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32.xml" ContentType="application/vnd.openxmlformats-officedocument.drawingml.chart+xml"/>
  <Override PartName="/xl/charts/chart31.xml" ContentType="application/vnd.openxmlformats-officedocument.drawingml.chart+xml"/>
  <Override PartName="/xl/charts/chart30.xml" ContentType="application/vnd.openxmlformats-officedocument.drawingml.chart+xml"/>
  <Override PartName="/xl/charts/chart29.xml" ContentType="application/vnd.openxmlformats-officedocument.drawingml.chart+xml"/>
  <Override PartName="/xl/charts/chart28.xml" ContentType="application/vnd.openxmlformats-officedocument.drawingml.chart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8560" windowHeight="829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<sst xmlns="http://schemas.openxmlformats.org/spreadsheetml/2006/main" uniqueCount="113" count="113">
  <si>
    <t>a</t>
  </si>
  <si>
    <t>c</t>
  </si>
  <si>
    <t>d</t>
  </si>
  <si>
    <t>Non-</t>
  </si>
  <si>
    <t>COVID-19</t>
  </si>
  <si>
    <t>New</t>
  </si>
  <si>
    <t>Calculated</t>
  </si>
  <si>
    <t>Cases</t>
  </si>
  <si>
    <t>Delta</t>
  </si>
  <si>
    <t>Deaths</t>
  </si>
  <si>
    <t>Deaths,</t>
  </si>
  <si>
    <t>YES</t>
  </si>
  <si>
    <t>NO</t>
  </si>
  <si>
    <t>Growth:</t>
  </si>
  <si>
    <t>Multiplier:</t>
  </si>
  <si>
    <t>New Total:</t>
  </si>
  <si>
    <t>Data:</t>
  </si>
  <si>
    <t>Total:</t>
  </si>
  <si>
    <t>TOTAL:</t>
  </si>
  <si>
    <t>Conf</t>
  </si>
  <si>
    <t>Prob</t>
  </si>
  <si>
    <t>Hosp</t>
  </si>
  <si>
    <t>incr</t>
  </si>
  <si>
    <t>% incr</t>
  </si>
  <si>
    <t>No.</t>
  </si>
  <si>
    <t>Town</t>
  </si>
  <si>
    <t>Date</t>
  </si>
  <si>
    <t>Rate</t>
  </si>
  <si>
    <t>Dead</t>
  </si>
  <si>
    <t>Confirmed</t>
  </si>
  <si>
    <t>Sun</t>
  </si>
  <si>
    <t>Andover</t>
  </si>
  <si>
    <t>Barkhamsted</t>
  </si>
  <si>
    <t>Mon</t>
  </si>
  <si>
    <t>Tue</t>
  </si>
  <si>
    <t>Wed</t>
  </si>
  <si>
    <t>Avon</t>
  </si>
  <si>
    <t>Thu</t>
  </si>
  <si>
    <t>Fri</t>
  </si>
  <si>
    <t>Bloomfield</t>
  </si>
  <si>
    <t>Sat</t>
  </si>
  <si>
    <t>Bolton</t>
  </si>
  <si>
    <t>Goshen</t>
  </si>
  <si>
    <t>Bristol</t>
  </si>
  <si>
    <t>Harwinton</t>
  </si>
  <si>
    <t>Burlington</t>
  </si>
  <si>
    <t>Canton</t>
  </si>
  <si>
    <t>Litchfield</t>
  </si>
  <si>
    <t>Cromwell</t>
  </si>
  <si>
    <t>East Granby</t>
  </si>
  <si>
    <t>New Hartford</t>
  </si>
  <si>
    <t>East Hampton</t>
  </si>
  <si>
    <t>East Hartford</t>
  </si>
  <si>
    <t>Norfolk</t>
  </si>
  <si>
    <t>East Lyme</t>
  </si>
  <si>
    <t>Somers</t>
  </si>
  <si>
    <t>East Windsor</t>
  </si>
  <si>
    <t>Farmington</t>
  </si>
  <si>
    <t>Glastonbury</t>
  </si>
  <si>
    <t>Granby</t>
  </si>
  <si>
    <t>Groton</t>
  </si>
  <si>
    <t>Torrington</t>
  </si>
  <si>
    <t>Hartford</t>
  </si>
  <si>
    <t>Hebron</t>
  </si>
  <si>
    <t>Watertown</t>
  </si>
  <si>
    <t>Ledyard</t>
  </si>
  <si>
    <t>Winchester</t>
  </si>
  <si>
    <t>Manchester</t>
  </si>
  <si>
    <t>Marlborough</t>
  </si>
  <si>
    <t>Meriden</t>
  </si>
  <si>
    <t>Middletown</t>
  </si>
  <si>
    <t>Montville</t>
  </si>
  <si>
    <t>New Britain</t>
  </si>
  <si>
    <t>Newington</t>
  </si>
  <si>
    <t>10th</t>
  </si>
  <si>
    <t>New London</t>
  </si>
  <si>
    <t>11th</t>
  </si>
  <si>
    <t>North Stonington</t>
  </si>
  <si>
    <t>13th</t>
  </si>
  <si>
    <t>Norwich</t>
  </si>
  <si>
    <t>14th</t>
  </si>
  <si>
    <t>Portland</t>
  </si>
  <si>
    <t>15th</t>
  </si>
  <si>
    <t>Rocky Hill</t>
  </si>
  <si>
    <t>Simsbury</t>
  </si>
  <si>
    <t>17th</t>
  </si>
  <si>
    <t>South Windsor</t>
  </si>
  <si>
    <t>18th</t>
  </si>
  <si>
    <t>Stonington</t>
  </si>
  <si>
    <t>Barkhmstd</t>
  </si>
  <si>
    <t>19th</t>
  </si>
  <si>
    <t>Vernon</t>
  </si>
  <si>
    <t>21st</t>
  </si>
  <si>
    <t>Wallingford</t>
  </si>
  <si>
    <t>E Hartford</t>
  </si>
  <si>
    <t>22nd</t>
  </si>
  <si>
    <t>Waterbury</t>
  </si>
  <si>
    <t>23rd</t>
  </si>
  <si>
    <t>Waterford</t>
  </si>
  <si>
    <t>West Hartford</t>
  </si>
  <si>
    <t>Wethersfield</t>
  </si>
  <si>
    <t>Windsor</t>
  </si>
  <si>
    <t>Windsor Locks</t>
  </si>
  <si>
    <t>_</t>
  </si>
  <si>
    <t>Columbia</t>
  </si>
  <si>
    <t>preliminary or provisional</t>
  </si>
  <si>
    <t>Coventry</t>
  </si>
  <si>
    <t>Ellington</t>
  </si>
  <si>
    <t>Mansfield</t>
  </si>
  <si>
    <t>Stafford</t>
  </si>
  <si>
    <t>Tolland</t>
  </si>
  <si>
    <t>Union</t>
  </si>
  <si>
    <t>Willington</t>
  </si>
</sst>
</file>

<file path=xl/styles.xml><?xml version="1.0" encoding="utf-8"?>
<styleSheet xmlns="http://schemas.openxmlformats.org/spreadsheetml/2006/main">
  <numFmts count="9">
    <numFmt formatCode="0.0%_);(0.0%)" numFmtId="100"/>
    <numFmt formatCode="#,##0_);(#,##0)" numFmtId="101"/>
    <numFmt formatCode="0_);(0)" numFmtId="102"/>
    <numFmt formatCode="m/d/yyyy" numFmtId="103"/>
    <numFmt formatCode="yyyy-mm-dd" numFmtId="104"/>
    <numFmt formatCode="d-mmm-yyyy" numFmtId="105"/>
    <numFmt formatCode="0.0%" numFmtId="106"/>
    <numFmt formatCode="0.000_);(0.000)" numFmtId="107"/>
    <numFmt formatCode="0.0000_);(0.0000)" numFmtId="108"/>
  </numFmts>
  <fonts count="2">
    <font>
      <b val="0"/>
      <i val="0"/>
      <u val="none"/>
      <color rgb="FF000000"/>
      <name val="Sans"/>
      <vertAlign val="baseline"/>
      <sz val="16"/>
      <strike val="0"/>
    </font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6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" xfId="0">
      <alignment horizontal="general" vertical="bottom" wrapText="0" shrinkToFit="0" textRotation="0" indent="0"/>
    </xf>
    <xf applyAlignment="1" applyBorder="1" applyFont="1" applyFill="1" applyNumberFormat="1" fontId="0" fillId="0" borderId="0" numFmtId="103" xfId="0">
      <alignment horizontal="general" vertical="bottom" wrapText="0" shrinkToFit="0" textRotation="0" indent="0"/>
    </xf>
    <xf applyAlignment="1" applyBorder="1" applyFont="1" applyFill="1" applyNumberFormat="1" fontId="0" fillId="0" borderId="0" numFmtId="104" xfId="0">
      <alignment horizontal="general" vertical="bottom" wrapText="0" shrinkToFit="0" textRotation="0" indent="0"/>
    </xf>
    <xf applyAlignment="1" applyBorder="1" applyFont="1" applyFill="1" applyNumberFormat="1" fontId="0" fillId="0" borderId="0" numFmtId="105" xfId="0">
      <alignment horizontal="general" vertical="bottom" wrapText="0" shrinkToFit="0" textRotation="0" indent="0"/>
    </xf>
    <xf applyAlignment="1" applyBorder="1" applyFont="1" applyFill="1" applyNumberFormat="1" fontId="0" fillId="0" borderId="0" numFmtId="106" xfId="0">
      <alignment horizontal="general" vertical="bottom" wrapText="0" shrinkToFit="0" textRotation="0" indent="0"/>
    </xf>
    <xf applyAlignment="1" applyBorder="1" applyFont="1" applyFill="1" applyNumberFormat="1" fontId="0" fillId="0" borderId="0" numFmtId="107" xfId="0">
      <alignment horizontal="general" vertical="bottom" wrapText="0" shrinkToFit="0" textRotation="0" indent="0"/>
    </xf>
    <xf applyAlignment="1" applyBorder="1" applyFont="1" applyFill="1" applyNumberFormat="1" fontId="0" fillId="0" borderId="0" numFmtId="108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3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Sheet1!$CG$11:$CG$114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Sheet1!$BK$11:$BK$114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Sheet1!$BV$11:$BV$114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Sheet1!$CR$11:$CR$114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Sheet1!$S$11:$S$114</c:f>
            </c:numRef>
          </c:val>
        </c:ser>
        <c:gapWidth val="150"/>
        <c:overlap val="100"/>
        <c:axId val="1"/>
        <c:axId val="2"/>
      </c:barChart>
      <c:catAx>
        <c:axId val="1"/>
        <c:scaling>
          <c:orientation val="minMax"/>
          <c:max val="12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"/>
        <c:crosses val="min"/>
        <c:majorUnit val="1"/>
        <c:minorUnit val="1"/>
      </c:catAx>
      <c:valAx>
        <c:axId val="2"/>
        <c:scaling>
          <c:orientation val="minMax"/>
          <c:max val="14"/>
          <c:min val="-11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1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"/>
          <c:y val="0.07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Sheet1!$FU$11:$FU$70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Sheet1!$FV$11:$FV$70</c:f>
            </c:numRef>
          </c:val>
        </c:ser>
        <c:gapWidth val="150"/>
        <c:overlap val="100"/>
        <c:axId val="19"/>
        <c:axId val="20"/>
      </c:barChart>
      <c:catAx>
        <c:axId val="19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0"/>
        <c:crosses val="min"/>
        <c:majorUnit val="1"/>
        <c:minorUnit val="2"/>
      </c:catAx>
      <c:valAx>
        <c:axId val="20"/>
        <c:scaling>
          <c:orientation val="minMax"/>
        </c:scaling>
        <c:delete val="0"/>
        <c:axPos val="l"/>
        <c:numFmt sourceLinked="1" formatCode="General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9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Sheet1!$AX$11:$AX$126</c:f>
            </c:numRef>
          </c:val>
        </c:ser>
        <c:gapWidth val="150"/>
        <c:overlap val="100"/>
        <c:axId val="21"/>
        <c:axId val="22"/>
      </c:barChart>
      <c:catAx>
        <c:axId val="21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2"/>
        <c:crosses val="min"/>
        <c:majorUnit val="1"/>
        <c:minorUnit val="1"/>
      </c:catAx>
      <c:valAx>
        <c:axId val="22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21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Sheet1!$AX$11:$AX$126</c:f>
            </c:numRef>
          </c:val>
        </c:ser>
        <c:gapWidth val="150"/>
        <c:overlap val="100"/>
        <c:axId val="23"/>
        <c:axId val="24"/>
      </c:barChart>
      <c:catAx>
        <c:axId val="23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4"/>
        <c:crosses val="min"/>
        <c:majorUnit val="1"/>
        <c:minorUnit val="1"/>
      </c:catAx>
      <c:valAx>
        <c:axId val="24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23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"New Haven"</c:f>
            </c:strRef>
          </c:tx>
          <c:spPr>
            <a:solidFill>
              <a:srgbClr val="3399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Sheet1!$AM$11:$AM$126</c:f>
            </c:numRef>
          </c:val>
        </c:ser>
        <c:gapWidth val="150"/>
        <c:overlap val="100"/>
        <c:axId val="25"/>
        <c:axId val="26"/>
      </c:barChart>
      <c:catAx>
        <c:axId val="25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6"/>
        <c:crosses val="min"/>
        <c:majorUnit val="1"/>
        <c:minorUnit val="1"/>
      </c:catAx>
      <c:valAx>
        <c:axId val="26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25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Sheet1!$AB$11:$AB$126</c:f>
            </c:numRef>
          </c:val>
        </c:ser>
        <c:gapWidth val="150"/>
        <c:overlap val="100"/>
        <c:axId val="27"/>
        <c:axId val="28"/>
      </c:barChart>
      <c:catAx>
        <c:axId val="27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8"/>
        <c:crosses val="min"/>
        <c:majorUnit val="1"/>
        <c:minorUnit val="1"/>
      </c:catAx>
      <c:valAx>
        <c:axId val="28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27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Sheet1!$AX$11:$AX$126</c:f>
            </c:numRef>
          </c:val>
        </c:ser>
        <c:gapWidth val="150"/>
        <c:overlap val="100"/>
        <c:axId val="29"/>
        <c:axId val="30"/>
      </c:barChart>
      <c:catAx>
        <c:axId val="29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0"/>
        <c:crosses val="min"/>
        <c:majorUnit val="1"/>
        <c:minorUnit val="1"/>
      </c:catAx>
      <c:valAx>
        <c:axId val="30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29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Sheet1!$AX$11:$AX$126</c:f>
            </c:numRef>
          </c:val>
        </c:ser>
        <c:gapWidth val="150"/>
        <c:overlap val="100"/>
        <c:axId val="31"/>
        <c:axId val="32"/>
      </c:barChart>
      <c:catAx>
        <c:axId val="31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2"/>
        <c:crosses val="min"/>
        <c:majorUnit val="1"/>
        <c:minorUnit val="1"/>
      </c:catAx>
      <c:valAx>
        <c:axId val="32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31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Sheet1!$AX$11:$AX$126</c:f>
            </c:numRef>
          </c:val>
        </c:ser>
        <c:gapWidth val="150"/>
        <c:overlap val="100"/>
        <c:axId val="33"/>
        <c:axId val="34"/>
      </c:barChart>
      <c:catAx>
        <c:axId val="33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4"/>
        <c:crosses val="min"/>
        <c:majorUnit val="1"/>
        <c:minorUnit val="1"/>
      </c:catAx>
      <c:valAx>
        <c:axId val="34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33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Sheet1!$AX$11:$AX$126</c:f>
            </c:numRef>
          </c:val>
        </c:ser>
        <c:gapWidth val="150"/>
        <c:overlap val="100"/>
        <c:axId val="35"/>
        <c:axId val="36"/>
      </c:barChart>
      <c:catAx>
        <c:axId val="35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6"/>
        <c:crosses val="min"/>
        <c:majorUnit val="1"/>
        <c:minorUnit val="1"/>
      </c:catAx>
      <c:valAx>
        <c:axId val="36"/>
        <c:scaling>
          <c:orientation val="minMax"/>
          <c:max val="1222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35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Sheet1!$DZ$169:$DZ$221</c:f>
            </c:numRef>
          </c:yVal>
          <c:smooth val="1"/>
        </c:ser>
        <c:ser>
          <c:idx val="1"/>
          <c:order val="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Sheet1!$DZ$2342:$DZ$2394</c:f>
            </c:numRef>
          </c:yVal>
          <c:smooth val="1"/>
        </c:ser>
        <c:ser>
          <c:idx val="2"/>
          <c:order val="2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Sheet1!$DZ$2660:$DZ$2712</c:f>
            </c:numRef>
          </c:yVal>
          <c:smooth val="1"/>
        </c:ser>
        <c:ser>
          <c:idx val="3"/>
          <c:order val="3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Sheet1!$DZ$1017:$DZ$1069</c:f>
            </c:numRef>
          </c:yVal>
          <c:smooth val="1"/>
        </c:ser>
        <c:ser>
          <c:idx val="4"/>
          <c:order val="4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Sheet1!$DZ$2183:$DZ$2235</c:f>
            </c:numRef>
          </c:yVal>
          <c:smooth val="1"/>
        </c:ser>
        <c:ser>
          <c:idx val="5"/>
          <c:order val="5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Sheet1!$DZ$593:$DZ$645</c:f>
            </c:numRef>
          </c:yVal>
          <c:smooth val="1"/>
        </c:ser>
        <c:ser>
          <c:idx val="6"/>
          <c:order val="6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Sheet1!$DZ$1547:$DZ$1599</c:f>
            </c:numRef>
          </c:yVal>
          <c:smooth val="1"/>
        </c:ser>
        <c:ser>
          <c:idx val="7"/>
          <c:order val="7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Sheet1!$DZ$1441:$DZ$1493</c:f>
            </c:numRef>
          </c:yVal>
          <c:smooth val="1"/>
        </c:ser>
        <c:ser>
          <c:idx val="8"/>
          <c:order val="8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Sheet1!$DZ$381:$DZ$433</c:f>
            </c:numRef>
          </c:yVal>
          <c:smooth val="1"/>
        </c:ser>
        <c:ser>
          <c:idx val="9"/>
          <c:order val="9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Sheet1!$DZ$805:$DZ$857</c:f>
            </c:numRef>
          </c:yVal>
          <c:smooth val="1"/>
        </c:ser>
        <c:ser>
          <c:idx val="10"/>
          <c:order val="10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Sheet1!$DZ$116:$DZ$168</c:f>
            </c:numRef>
          </c:yVal>
          <c:smooth val="1"/>
        </c:ser>
        <c:ser>
          <c:idx val="11"/>
          <c:order val="11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Sheet1!$DZ$63:$DZ$115</c:f>
            </c:numRef>
          </c:yVal>
          <c:smooth val="0"/>
        </c:ser>
        <c:ser>
          <c:idx val="12"/>
          <c:order val="12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Sheet1!$DZ$10:$DZ$62</c:f>
            </c:numRef>
          </c:yVal>
          <c:smooth val="0"/>
        </c:ser>
        <c:axId val="37"/>
        <c:axId val="38"/>
      </c:scatterChart>
      <c:valAx>
        <c:axId val="37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38"/>
        <c:crosses val="max"/>
        <c:majorUnit val="2"/>
        <c:minorUnit val="1"/>
      </c:valAx>
      <c:valAx>
        <c:axId val="38"/>
        <c:scaling>
          <c:orientation val="minMax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7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Sheet1!$CE$11:$CE$114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Sheet1!$BI$11:$BI$114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Sheet1!$BT$11:$BT$114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Sheet1!$CP$11:$CP$114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Sheet1!$Q$11:$Q$114</c:f>
            </c:numRef>
          </c:val>
        </c:ser>
        <c:axId val="3"/>
        <c:axId val="4"/>
      </c:areaChart>
      <c:catAx>
        <c:axId val="3"/>
        <c:scaling>
          <c:orientation val="minMax"/>
          <c:max val="121"/>
          <c:min val="1"/>
        </c:scaling>
        <c:delete val="0"/>
        <c:axPos val="b"/>
        <c:numFmt sourceLinked="1" formatCode="General"/>
        <c:majorTickMark val="out"/>
        <c:minorTickMark val="none"/>
        <c:tickLblPos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4"/>
        <c:crosses val="min"/>
        <c:majorUnit val="1"/>
        <c:minorUnit val="2"/>
      </c:catAx>
      <c:valAx>
        <c:axId val="4"/>
        <c:scaling>
          <c:orientation val="minMax"/>
          <c:max val="162"/>
          <c:min val="-10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"/>
        <c:crosses val="min"/>
        <c:majorUnit val="25"/>
        <c:minorUnit val="5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8"/>
          <c:y val="0.11999999999999997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Sheet1!$DY$1547:$DY$1599</c:f>
            </c:numRef>
          </c:yVal>
          <c:smooth val="1"/>
        </c:ser>
        <c:ser>
          <c:idx val="1"/>
          <c:order val="1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Sheet1!$DY$593:$DY$645</c:f>
            </c:numRef>
          </c:yVal>
          <c:smooth val="1"/>
        </c:ser>
        <c:ser>
          <c:idx val="2"/>
          <c:order val="2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Sheet1!$DY$2183:$DY$2235</c:f>
            </c:numRef>
          </c:yVal>
          <c:smooth val="1"/>
        </c:ser>
        <c:ser>
          <c:idx val="3"/>
          <c:order val="3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Sheet1!$DY$1441:$DY$1493</c:f>
            </c:numRef>
          </c:yVal>
          <c:smooth val="1"/>
        </c:ser>
        <c:ser>
          <c:idx val="4"/>
          <c:order val="4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Sheet1!$DY$2660:$DY$2712</c:f>
            </c:numRef>
          </c:yVal>
          <c:smooth val="1"/>
        </c:ser>
        <c:ser>
          <c:idx val="5"/>
          <c:order val="5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Sheet1!$DY$169:$DY$221</c:f>
            </c:numRef>
          </c:yVal>
          <c:smooth val="1"/>
        </c:ser>
        <c:ser>
          <c:idx val="6"/>
          <c:order val="6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Sheet1!$DY$805:$DY$857</c:f>
            </c:numRef>
          </c:yVal>
          <c:smooth val="1"/>
        </c:ser>
        <c:ser>
          <c:idx val="7"/>
          <c:order val="7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Sheet1!$DY$381:$DY$433</c:f>
            </c:numRef>
          </c:yVal>
          <c:smooth val="1"/>
        </c:ser>
        <c:ser>
          <c:idx val="8"/>
          <c:order val="8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Sheet1!$DY$63:$DY$115</c:f>
            </c:numRef>
          </c:yVal>
          <c:smooth val="0"/>
        </c:ser>
        <c:ser>
          <c:idx val="9"/>
          <c:order val="9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Sheet1!$DY$116:$DY$168</c:f>
            </c:numRef>
          </c:yVal>
          <c:smooth val="1"/>
        </c:ser>
        <c:ser>
          <c:idx val="10"/>
          <c:order val="10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Sheet1!$DY$10:$DY$62</c:f>
            </c:numRef>
          </c:yVal>
          <c:smooth val="0"/>
        </c:ser>
        <c:ser>
          <c:idx val="11"/>
          <c:order val="1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12"/>
          <c:order val="12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axId val="39"/>
        <c:axId val="40"/>
      </c:scatterChart>
      <c:valAx>
        <c:axId val="39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40"/>
        <c:crosses val="max"/>
        <c:majorUnit val="2"/>
        <c:minorUnit val="1"/>
      </c:valAx>
      <c:valAx>
        <c:axId val="40"/>
        <c:scaling>
          <c:orientation val="minMax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9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Sheet1!$DY$1017:$DY$1069</c:f>
            </c:numRef>
          </c:yVal>
          <c:smooth val="1"/>
        </c:ser>
        <c:ser>
          <c:idx val="1"/>
          <c:order val="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Sheet1!$DY$2342:$DY$2394</c:f>
            </c:numRef>
          </c:yVal>
          <c:smooth val="1"/>
        </c:ser>
        <c:ser>
          <c:idx val="2"/>
          <c:order val="2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Sheet1!$DY$1547:$DY$1599</c:f>
            </c:numRef>
          </c:yVal>
          <c:smooth val="1"/>
        </c:ser>
        <c:ser>
          <c:idx val="3"/>
          <c:order val="3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Sheet1!$DY$593:$DY$645</c:f>
            </c:numRef>
          </c:yVal>
          <c:smooth val="1"/>
        </c:ser>
        <c:ser>
          <c:idx val="4"/>
          <c:order val="4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Sheet1!$DY$2183:$DY$2235</c:f>
            </c:numRef>
          </c:yVal>
          <c:smooth val="1"/>
        </c:ser>
        <c:ser>
          <c:idx val="5"/>
          <c:order val="5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Sheet1!$DY$1441:$DY$1493</c:f>
            </c:numRef>
          </c:yVal>
          <c:smooth val="1"/>
        </c:ser>
        <c:ser>
          <c:idx val="6"/>
          <c:order val="6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Sheet1!$DY$2660:$DY$2712</c:f>
            </c:numRef>
          </c:yVal>
          <c:smooth val="1"/>
        </c:ser>
        <c:ser>
          <c:idx val="7"/>
          <c:order val="7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Sheet1!$DY$169:$DY$221</c:f>
            </c:numRef>
          </c:yVal>
          <c:smooth val="1"/>
        </c:ser>
        <c:ser>
          <c:idx val="8"/>
          <c:order val="8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Sheet1!$DY$805:$DY$857</c:f>
            </c:numRef>
          </c:yVal>
          <c:smooth val="1"/>
        </c:ser>
        <c:ser>
          <c:idx val="9"/>
          <c:order val="9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Sheet1!$DY$381:$DY$433</c:f>
            </c:numRef>
          </c:yVal>
          <c:smooth val="1"/>
        </c:ser>
        <c:ser>
          <c:idx val="10"/>
          <c:order val="10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Sheet1!$DY$63:$DY$115</c:f>
            </c:numRef>
          </c:yVal>
          <c:smooth val="0"/>
        </c:ser>
        <c:ser>
          <c:idx val="11"/>
          <c:order val="11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Sheet1!$DY$116:$DY$168</c:f>
            </c:numRef>
          </c:yVal>
          <c:smooth val="1"/>
        </c:ser>
        <c:ser>
          <c:idx val="12"/>
          <c:order val="12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Sheet1!$DY$10:$DY$62</c:f>
            </c:numRef>
          </c:yVal>
          <c:smooth val="0"/>
        </c:ser>
        <c:axId val="41"/>
        <c:axId val="42"/>
      </c:scatterChart>
      <c:valAx>
        <c:axId val="41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42"/>
        <c:crosses val="max"/>
        <c:majorUnit val="2"/>
        <c:minorUnit val="1"/>
      </c:valAx>
      <c:valAx>
        <c:axId val="42"/>
        <c:scaling>
          <c:orientation val="minMax"/>
          <c:max val="1776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1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Sheet1!$AY$19:$AY$114</c:f>
            </c:numRef>
          </c:yVal>
          <c:smooth val="0"/>
        </c:ser>
        <c:ser>
          <c:idx val="1"/>
          <c:order val="1"/>
          <c:tx>
            <c:strRef>
              <c:f>"New Haven"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Sheet1!$AN$19:$AN$114</c:f>
            </c:numRef>
          </c:yVal>
          <c:smooth val="1"/>
        </c:ser>
        <c:ser>
          <c:idx val="2"/>
          <c:order val="2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Sheet1!$AC$19:$AC$114</c:f>
            </c:numRef>
          </c:yVal>
          <c:smooth val="1"/>
        </c:ser>
        <c:ser>
          <c:idx val="3"/>
          <c:order val="3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Sheet1!$BJ$19:$BJ$114</c:f>
            </c:numRef>
          </c:yVal>
          <c:smooth val="1"/>
        </c:ser>
        <c:ser>
          <c:idx val="4"/>
          <c:order val="4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Sheet1!$R$19:$R$114</c:f>
            </c:numRef>
          </c:yVal>
          <c:smooth val="1"/>
        </c:ser>
        <c:ser>
          <c:idx val="5"/>
          <c:order val="5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Sheet1!$CQ$19:$CQ$114</c:f>
            </c:numRef>
          </c:yVal>
          <c:smooth val="1"/>
        </c:ser>
        <c:ser>
          <c:idx val="6"/>
          <c:order val="6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Sheet1!$BU$19:$BU$114</c:f>
            </c:numRef>
          </c:yVal>
          <c:smooth val="1"/>
        </c:ser>
        <c:ser>
          <c:idx val="7"/>
          <c:order val="7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Sheet1!$CF$19:$CF$114</c:f>
            </c:numRef>
          </c:yVal>
          <c:smooth val="1"/>
        </c:ser>
        <c:axId val="43"/>
        <c:axId val="44"/>
      </c:scatterChart>
      <c:valAx>
        <c:axId val="43"/>
        <c:scaling>
          <c:orientation val="minMax"/>
          <c:max val="114"/>
          <c:min val="2"/>
        </c:scaling>
        <c:delete val="0"/>
        <c:axPos val="t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4"/>
        <c:crosses val="max"/>
        <c:majorUnit val="1"/>
        <c:minorUnit val="1"/>
      </c:valAx>
      <c:valAx>
        <c:axId val="44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Sheet1!$CE$11:$CE$126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Sheet1!$BI$11:$BI$126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Sheet1!$BT$11:$BT$126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Sheet1!$CP$11:$CP$126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Sheet1!$Q$11:$Q$126</c:f>
            </c:numRef>
          </c:val>
        </c:ser>
        <c:gapWidth val="150"/>
        <c:overlap val="100"/>
        <c:axId val="45"/>
        <c:axId val="46"/>
      </c:barChart>
      <c:catAx>
        <c:axId val="45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6"/>
        <c:crosses val="min"/>
        <c:majorUnit val="1"/>
        <c:minorUnit val="1"/>
      </c:catAx>
      <c:valAx>
        <c:axId val="46"/>
        <c:scaling>
          <c:orientation val="minMax"/>
          <c:max val="162"/>
          <c:min val="-12"/>
        </c:scaling>
        <c:delete val="0"/>
        <c:axPos val="l"/>
        <c:numFmt sourceLinked="1" formatCode="0_);(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5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8"/>
          <c:y val="0.1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Sheet1!$CG$11:$CG$114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Sheet1!$BK$11:$BK$114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Sheet1!$BV$11:$BV$114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Sheet1!$CR$11:$CR$114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Sheet1!$S$11:$S$114</c:f>
            </c:numRef>
          </c:val>
        </c:ser>
        <c:ser>
          <c:idx val="5"/>
          <c:order val="5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Sheet1!$AD$11:$AD$114</c:f>
            </c:numRef>
          </c:val>
        </c:ser>
        <c:ser>
          <c:idx val="6"/>
          <c:order val="6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Sheet1!$AO$11:$AO$114</c:f>
            </c:numRef>
          </c:val>
        </c:ser>
        <c:ser>
          <c:idx val="7"/>
          <c:order val="7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Sheet1!$AZ$11:$AZ$114</c:f>
            </c:numRef>
          </c:val>
        </c:ser>
        <c:gapWidth val="150"/>
        <c:overlap val="100"/>
        <c:axId val="47"/>
        <c:axId val="48"/>
      </c:barChart>
      <c:catAx>
        <c:axId val="47"/>
        <c:scaling>
          <c:orientation val="minMax"/>
          <c:max val="12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8"/>
        <c:crosses val="min"/>
        <c:majorUnit val="1"/>
        <c:minorUnit val="1"/>
      </c:catAx>
      <c:valAx>
        <c:axId val="48"/>
        <c:scaling>
          <c:orientation val="minMax"/>
          <c:max val="166"/>
          <c:min val="-88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47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"/>
          <c:y val="0.07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"State - Hospitalizations"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Sheet1!$DT$11:$DT$114</c:f>
            </c:numRef>
          </c:val>
        </c:ser>
        <c:gapWidth val="150"/>
        <c:overlap val="100"/>
        <c:axId val="49"/>
        <c:axId val="50"/>
      </c:barChart>
      <c:catAx>
        <c:axId val="49"/>
        <c:scaling>
          <c:orientation val="minMax"/>
          <c:max val="12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50"/>
        <c:crosses val="min"/>
        <c:majorUnit val="1"/>
        <c:minorUnit val="1"/>
      </c:catAx>
      <c:valAx>
        <c:axId val="50"/>
        <c:scaling>
          <c:orientation val="minMax"/>
          <c:max val="210"/>
          <c:min val="-110"/>
        </c:scaling>
        <c:delete val="0"/>
        <c:axPos val="l"/>
        <c:numFmt sourceLinked="1" formatCode="0_);(0)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49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65"/>
          <c:y val="0.21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Sheet1!$CG$11:$CG$91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Sheet1!$BK$11:$BK$91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Sheet1!$BV$11:$BV$91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Sheet1!$CR$11:$CR$91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Sheet1!$S$11:$S$91</c:f>
            </c:numRef>
          </c:val>
        </c:ser>
        <c:gapWidth val="150"/>
        <c:overlap val="100"/>
        <c:axId val="51"/>
        <c:axId val="52"/>
      </c:barChart>
      <c:catAx>
        <c:axId val="51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52"/>
        <c:crosses val="min"/>
        <c:majorUnit val="1"/>
        <c:minorUnit val="1"/>
      </c:catAx>
      <c:valAx>
        <c:axId val="52"/>
        <c:scaling>
          <c:orientation val="minMax"/>
          <c:max val="14"/>
          <c:min val="-11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51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3"/>
          <c:y val="0.11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Sheet1!$BI$19:$BI$115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Sheet1!$Q$19:$Q$115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Sheet1!$CP$19:$CP$115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Sheet1!$BT$19:$BT$115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Sheet1!$CE$19:$CE$115</c:f>
            </c:numRef>
          </c:yVal>
          <c:smooth val="1"/>
        </c:ser>
        <c:axId val="53"/>
        <c:axId val="54"/>
      </c:scatterChart>
      <c:valAx>
        <c:axId val="53"/>
        <c:scaling>
          <c:orientation val="minMax"/>
          <c:max val="113"/>
          <c:min val="2"/>
        </c:scaling>
        <c:delete val="0"/>
        <c:axPos val="t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4"/>
        <c:crosses val="max"/>
        <c:majorUnit val="1"/>
        <c:minorUnit val="1"/>
      </c:valAx>
      <c:valAx>
        <c:axId val="54"/>
        <c:scaling>
          <c:orientation val="minMax"/>
          <c:max val="84"/>
          <c:min val="-8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Sheet1!$DA$11:$DA$126</c:f>
            </c:numRef>
          </c:val>
        </c:ser>
        <c:ser>
          <c:idx val="1"/>
          <c:order val="1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Sheet1!$CE$11:$CE$126</c:f>
            </c:numRef>
          </c:val>
        </c:ser>
        <c:ser>
          <c:idx val="2"/>
          <c:order val="2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Sheet1!$BI$11:$BI$126</c:f>
            </c:numRef>
          </c:val>
        </c:ser>
        <c:ser>
          <c:idx val="3"/>
          <c:order val="3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Sheet1!$BT$11:$BT$126</c:f>
            </c:numRef>
          </c:val>
        </c:ser>
        <c:ser>
          <c:idx val="4"/>
          <c:order val="4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Sheet1!$CP$11:$CP$126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Sheet1!$Q$11:$Q$126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Sheet1!$AB$11:$AB$126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Sheet1!$AM$11:$AM$126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Sheet1!$AX$11:$AX$126</c:f>
            </c:numRef>
          </c:val>
        </c:ser>
        <c:gapWidth val="150"/>
        <c:overlap val="100"/>
        <c:axId val="55"/>
        <c:axId val="56"/>
      </c:barChart>
      <c:catAx>
        <c:axId val="55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56"/>
        <c:crosses val="min"/>
        <c:majorUnit val="1"/>
        <c:minorUnit val="1"/>
      </c:catAx>
      <c:valAx>
        <c:axId val="56"/>
        <c:scaling>
          <c:orientation val="minMax"/>
          <c:max val="2177"/>
          <c:min val="-211"/>
        </c:scaling>
        <c:delete val="0"/>
        <c:axPos val="l"/>
        <c:numFmt sourceLinked="1" formatCode="0_);(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5"/>
        <c:crosses val="min"/>
        <c:majorUnit val="500"/>
        <c:minorUnit val="1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3"/>
          <c:y val="0.38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0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Sheet1!$DA$11:$DA$114</c:f>
            </c:numRef>
          </c:val>
        </c:ser>
        <c:ser>
          <c:idx val="1"/>
          <c:order val="1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Sheet1!$CE$11:$CE$114</c:f>
            </c:numRef>
          </c:val>
        </c:ser>
        <c:ser>
          <c:idx val="2"/>
          <c:order val="2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Sheet1!$BI$11:$BI$114</c:f>
            </c:numRef>
          </c:val>
        </c:ser>
        <c:ser>
          <c:idx val="3"/>
          <c:order val="3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Sheet1!$BT$11:$BT$114</c:f>
            </c:numRef>
          </c:val>
        </c:ser>
        <c:ser>
          <c:idx val="4"/>
          <c:order val="4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Sheet1!$CP$11:$CP$114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Sheet1!$Q$11:$Q$114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Sheet1!$AB$11:$AB$114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Sheet1!$AM$11:$AM$114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Sheet1!$AX$11:$AX$114</c:f>
            </c:numRef>
          </c:val>
        </c:ser>
        <c:axId val="57"/>
        <c:axId val="58"/>
      </c:areaChart>
      <c:catAx>
        <c:axId val="57"/>
        <c:scaling>
          <c:orientation val="minMax"/>
          <c:max val="121"/>
          <c:min val="1"/>
        </c:scaling>
        <c:delete val="0"/>
        <c:axPos val="b"/>
        <c:numFmt sourceLinked="1" formatCode="General"/>
        <c:majorTickMark val="out"/>
        <c:minorTickMark val="none"/>
        <c:tickLblPos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58"/>
        <c:crosses val="min"/>
        <c:majorUnit val="1"/>
        <c:minorUnit val="2"/>
      </c:catAx>
      <c:valAx>
        <c:axId val="58"/>
        <c:scaling>
          <c:orientation val="minMax"/>
          <c:max val="2150"/>
          <c:min val="-100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7"/>
        <c:crosses val="min"/>
        <c:majorUnit val="500"/>
        <c:minorUnit val="1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8"/>
          <c:y val="0.11999999999999997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Sheet1!$CE$91:$CE$114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Sheet1!$BI$91:$BI$114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Sheet1!$BT$91:$BT$114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Sheet1!$CP$91:$CP$114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Sheet1!$Q$91:$Q$114</c:f>
            </c:numRef>
          </c:val>
        </c:ser>
        <c:axId val="5"/>
        <c:axId val="6"/>
      </c:areaChart>
      <c:catAx>
        <c:axId val="5"/>
        <c:scaling>
          <c:orientation val="minMax"/>
          <c:max val="21"/>
          <c:min val="1"/>
        </c:scaling>
        <c:delete val="0"/>
        <c:axPos val="b"/>
        <c:numFmt sourceLinked="1" formatCode="General"/>
        <c:majorTickMark val="out"/>
        <c:minorTickMark val="none"/>
        <c:tickLblPos val="none"/>
        <c:spPr/>
        <c:txPr>
          <a:bodyPr/>
          <a:lstStyle/>
          <a:p>
            <a:pPr>
              <a:defRPr sz="2000" b="1">
                <a:latin typeface="Sans"/>
              </a:defRPr>
            </a:pPr>
          </a:p>
        </c:txPr>
        <c:crossAx val="6"/>
        <c:crosses val="min"/>
        <c:majorUnit val="1"/>
        <c:minorUnit val="2"/>
      </c:catAx>
      <c:valAx>
        <c:axId val="6"/>
        <c:scaling>
          <c:orientation val="minMax"/>
          <c:max val="74"/>
          <c:min val="-8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"/>
        <c:crosses val="min"/>
        <c:majorUnit val="25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37"/>
          <c:y val="0.2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Sheet1!$CC$11:$CC$114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Sheet1!$BR$11:$BR$114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Sheet1!$CN$11:$CN$114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Sheet1!$CY$11:$CY$114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Sheet1!$BG$11:$BG$114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Sheet1!$O$11:$O$114</c:f>
            </c:numRef>
          </c:val>
        </c:ser>
        <c:axId val="59"/>
        <c:axId val="60"/>
      </c:areaChart>
      <c:catAx>
        <c:axId val="59"/>
        <c:scaling>
          <c:orientation val="minMax"/>
          <c:max val="121"/>
          <c:min val="1"/>
        </c:scaling>
        <c:delete val="0"/>
        <c:axPos val="b"/>
        <c:numFmt sourceLinked="1" formatCode="General"/>
        <c:majorTickMark val="none"/>
        <c:minorTickMark val="none"/>
        <c:tickLblPos val="none"/>
        <c:spPr/>
        <c:crossAx val="60"/>
        <c:crosses val="min"/>
        <c:majorUnit val="1"/>
        <c:minorUnit val="2"/>
      </c:catAx>
      <c:valAx>
        <c:axId val="60"/>
        <c:scaling>
          <c:orientation val="minMax"/>
          <c:max val="5700"/>
          <c:min val="0"/>
        </c:scaling>
        <c:delete val="0"/>
        <c:axPos val="l"/>
        <c:numFmt sourceLinked="1" formatCode="#,##0_);(#,##0)"/>
        <c:majorTickMark val="out"/>
        <c:minorTickMark val="in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59"/>
        <c:crosses val="min"/>
        <c:majorUnit val="500"/>
        <c:min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9"/>
          <c:y val="0.529999999999999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Sheet1!$CC$11:$CC$114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Sheet1!$BR$11:$BR$114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Sheet1!$CN$11:$CN$114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Sheet1!$CY$11:$CY$114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Sheet1!$BG$11:$BG$114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Sheet1!$O$11:$O$114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Sheet1!$Z$11:$Z$114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Sheet1!$AK$11:$AK$114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Sheet1!$AV$11:$AV$114</c:f>
            </c:numRef>
          </c:val>
        </c:ser>
        <c:axId val="61"/>
        <c:axId val="62"/>
      </c:areaChart>
      <c:catAx>
        <c:axId val="61"/>
        <c:scaling>
          <c:orientation val="minMax"/>
          <c:max val="121"/>
          <c:min val="1"/>
        </c:scaling>
        <c:delete val="0"/>
        <c:axPos val="b"/>
        <c:numFmt sourceLinked="1" formatCode="General"/>
        <c:majorTickMark val="none"/>
        <c:minorTickMark val="none"/>
        <c:spPr/>
        <c:crossAx val="62"/>
        <c:crosses val="min"/>
        <c:majorUnit val="1"/>
        <c:minorUnit val="2"/>
      </c:catAx>
      <c:valAx>
        <c:axId val="62"/>
        <c:scaling>
          <c:orientation val="minMax"/>
          <c:max val="45200"/>
          <c:min val="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61"/>
        <c:crosses val="min"/>
        <c:majorUnit val="50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9"/>
          <c:y val="0.2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Sheet1!$CC$11:$CC$114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Sheet1!$BR$11:$BR$114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Sheet1!$CN$11:$CN$114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Sheet1!$CY$11:$CY$114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Sheet1!$BG$11:$BG$114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Sheet1!$O$11:$O$114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Sheet1!$Z$11:$Z$114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Sheet1!$AK$11:$AK$114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Sheet1!$AV$11:$AV$114</c:f>
            </c:numRef>
          </c:val>
        </c:ser>
        <c:axId val="63"/>
        <c:axId val="64"/>
      </c:areaChart>
      <c:catAx>
        <c:axId val="63"/>
        <c:scaling>
          <c:orientation val="minMax"/>
          <c:max val="121"/>
          <c:min val="1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64"/>
        <c:crosses val="min"/>
        <c:majorUnit val="1"/>
        <c:minorUnit val="2"/>
      </c:catAx>
      <c:valAx>
        <c:axId val="64"/>
        <c:scaling>
          <c:orientation val="minMax"/>
          <c:max val="45200"/>
          <c:min val="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63"/>
        <c:crosses val="min"/>
        <c:majorUnit val="1024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9"/>
          <c:y val="0.1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Sheet1!$BJ$19:$BJ$114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Sheet1!$R$19:$R$114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Sheet1!$CQ$19:$CQ$114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Sheet1!$BU$19:$BU$114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Sheet1!$CF$19:$CF$114</c:f>
            </c:numRef>
          </c:yVal>
          <c:smooth val="1"/>
        </c:ser>
        <c:axId val="7"/>
        <c:axId val="8"/>
      </c:scatterChart>
      <c:valAx>
        <c:axId val="7"/>
        <c:scaling>
          <c:orientation val="minMax"/>
          <c:max val="114"/>
          <c:min val="2"/>
        </c:scaling>
        <c:delete val="0"/>
        <c:axPos val="t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8"/>
        <c:crosses val="max"/>
        <c:majorUnit val="1"/>
        <c:minorUnit val="1"/>
      </c:valAx>
      <c:valAx>
        <c:axId val="8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7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Sheet1!$BJ$19:$BJ$115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Sheet1!$R$19:$R$115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Sheet1!$CQ$19:$CQ$115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Sheet1!$BU$19:$BU$115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Sheet1!$CF$19:$CF$115</c:f>
            </c:numRef>
          </c:yVal>
          <c:smooth val="1"/>
        </c:ser>
        <c:axId val="9"/>
        <c:axId val="10"/>
      </c:scatterChart>
      <c:valAx>
        <c:axId val="9"/>
        <c:scaling>
          <c:orientation val="minMax"/>
          <c:max val="114"/>
          <c:min val="2"/>
        </c:scaling>
        <c:delete val="0"/>
        <c:axPos val="t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0"/>
        <c:crosses val="max"/>
        <c:majorUnit val="1"/>
        <c:minorUnit val="1"/>
      </c:valAx>
      <c:valAx>
        <c:axId val="10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9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Sheet1!$HB$81:$HB$151</c:f>
            </c:numRef>
          </c:yVal>
          <c:smooth val="0"/>
        </c:ser>
        <c:ser>
          <c:idx val="1"/>
          <c:order val="1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Sheet1!$HB$152:$HB$222</c:f>
            </c:numRef>
          </c:yVal>
          <c:smooth val="1"/>
        </c:ser>
        <c:ser>
          <c:idx val="2"/>
          <c:order val="2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Sheet1!$HB$294:$HB$364</c:f>
            </c:numRef>
          </c:yVal>
          <c:smooth val="1"/>
        </c:ser>
        <c:ser>
          <c:idx val="3"/>
          <c:order val="3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Sheet1!$HB$223:$HB$293</c:f>
            </c:numRef>
          </c:yVal>
          <c:smooth val="1"/>
        </c:ser>
        <c:ser>
          <c:idx val="4"/>
          <c:order val="4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Sheet1!$HB$649:$HB$719</c:f>
            </c:numRef>
          </c:yVal>
          <c:smooth val="1"/>
        </c:ser>
        <c:ser>
          <c:idx val="5"/>
          <c:order val="5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Sheet1!$HB$10:$HB$80</c:f>
            </c:numRef>
          </c:yVal>
          <c:smooth val="0"/>
        </c:ser>
        <c:ser>
          <c:idx val="6"/>
          <c:order val="6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Sheet1!$HB$365:$HB$435</c:f>
            </c:numRef>
          </c:yVal>
          <c:smooth val="1"/>
        </c:ser>
        <c:ser>
          <c:idx val="7"/>
          <c:order val="7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Sheet1!$HB$862:$HB$932</c:f>
            </c:numRef>
          </c:yVal>
          <c:smooth val="1"/>
        </c:ser>
        <c:ser>
          <c:idx val="8"/>
          <c:order val="8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Sheet1!$HB$436:$HB$506</c:f>
            </c:numRef>
          </c:yVal>
          <c:smooth val="1"/>
        </c:ser>
        <c:axId val="11"/>
        <c:axId val="12"/>
      </c:scatterChart>
      <c:valAx>
        <c:axId val="11"/>
        <c:scaling>
          <c:orientation val="minMax"/>
          <c:max val="9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12"/>
        <c:crosses val="max"/>
        <c:majorUnit val="2"/>
        <c:minorUnit val="1"/>
      </c:valAx>
      <c:valAx>
        <c:axId val="12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1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"Somers"</c:f>
            </c:strRef>
          </c:tx>
          <c:spPr>
            <a:ln w="50800">
              <a:solidFill>
                <a:srgbClr val="ff99cc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Sheet1!$HB$507:$HB$577</c:f>
            </c:numRef>
          </c:yVal>
          <c:smooth val="1"/>
        </c:ser>
        <c:ser>
          <c:idx val="1"/>
          <c:order val="1"/>
          <c:tx>
            <c:strRef>
              <c:f>"Stafford"</c:f>
            </c:strRef>
          </c:tx>
          <c:spPr>
            <a:ln w="50800">
              <a:solidFill>
                <a:srgbClr val="00ff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Sheet1!$HB$578:$HB$648</c:f>
            </c:numRef>
          </c:yVal>
          <c:smooth val="1"/>
        </c:ser>
        <c:ser>
          <c:idx val="2"/>
          <c:order val="2"/>
          <c:tx>
            <c:strRef>
              <c:f>"Vernon"</c:f>
            </c:strRef>
          </c:tx>
          <c:spPr>
            <a:ln w="50800">
              <a:solidFill>
                <a:srgbClr val="993366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Sheet1!$HB$791:$HB$861</c:f>
            </c:numRef>
          </c:yVal>
          <c:smooth val="1"/>
        </c:ser>
        <c:ser>
          <c:idx val="3"/>
          <c:order val="3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Sheet1!$HB$81:$HB$151</c:f>
            </c:numRef>
          </c:yVal>
          <c:smooth val="0"/>
        </c:ser>
        <c:ser>
          <c:idx val="4"/>
          <c:order val="4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Sheet1!$HB$152:$HB$222</c:f>
            </c:numRef>
          </c:yVal>
          <c:smooth val="1"/>
        </c:ser>
        <c:ser>
          <c:idx val="5"/>
          <c:order val="5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Sheet1!$HB$649:$HB$719</c:f>
            </c:numRef>
          </c:yVal>
          <c:smooth val="1"/>
        </c:ser>
        <c:ser>
          <c:idx val="6"/>
          <c:order val="6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Sheet1!$HB$294:$HB$364</c:f>
            </c:numRef>
          </c:yVal>
          <c:smooth val="1"/>
        </c:ser>
        <c:ser>
          <c:idx val="7"/>
          <c:order val="7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Sheet1!$HB$10:$HB$80</c:f>
            </c:numRef>
          </c:yVal>
          <c:smooth val="0"/>
        </c:ser>
        <c:ser>
          <c:idx val="8"/>
          <c:order val="8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Sheet1!$HB$223:$HB$293</c:f>
            </c:numRef>
          </c:yVal>
          <c:smooth val="1"/>
        </c:ser>
        <c:ser>
          <c:idx val="9"/>
          <c:order val="9"/>
          <c:tx>
            <c:strRef>
              <c:f>"Union"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Sheet1!$HB$720:$HB$790</c:f>
            </c:numRef>
          </c:yVal>
          <c:smooth val="1"/>
        </c:ser>
        <c:ser>
          <c:idx val="10"/>
          <c:order val="10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Sheet1!$HB$365:$HB$435</c:f>
            </c:numRef>
          </c:yVal>
          <c:smooth val="1"/>
        </c:ser>
        <c:ser>
          <c:idx val="11"/>
          <c:order val="11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Sheet1!$HB$862:$HB$932</c:f>
            </c:numRef>
          </c:yVal>
          <c:smooth val="1"/>
        </c:ser>
        <c:ser>
          <c:idx val="12"/>
          <c:order val="12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Sheet1!$HB$436:$HB$506</c:f>
            </c:numRef>
          </c:yVal>
          <c:smooth val="1"/>
        </c:ser>
        <c:axId val="13"/>
        <c:axId val="14"/>
      </c:scatterChart>
      <c:valAx>
        <c:axId val="13"/>
        <c:scaling>
          <c:orientation val="minMax"/>
          <c:max val="9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14"/>
        <c:crosses val="max"/>
        <c:majorUnit val="2"/>
        <c:minorUnit val="1"/>
      </c:valAx>
      <c:valAx>
        <c:axId val="14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Sheet1!$GY$294:$GY$364</c:f>
            </c:numRef>
          </c:yVal>
          <c:smooth val="1"/>
        </c:ser>
        <c:ser>
          <c:idx val="1"/>
          <c:order val="1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Sheet1!$GY$649:$GY$719</c:f>
            </c:numRef>
          </c:yVal>
          <c:smooth val="1"/>
        </c:ser>
        <c:ser>
          <c:idx val="2"/>
          <c:order val="2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Sheet1!$GY$223:$GY$293</c:f>
            </c:numRef>
          </c:yVal>
          <c:smooth val="1"/>
        </c:ser>
        <c:ser>
          <c:idx val="3"/>
          <c:order val="3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Sheet1!$GY$436:$GY$506</c:f>
            </c:numRef>
          </c:yVal>
          <c:smooth val="1"/>
        </c:ser>
        <c:ser>
          <c:idx val="4"/>
          <c:order val="4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Sheet1!$GY$365:$GY$435</c:f>
            </c:numRef>
          </c:yVal>
          <c:smooth val="1"/>
        </c:ser>
        <c:ser>
          <c:idx val="5"/>
          <c:order val="5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Sheet1!$GY$81:$GY$151</c:f>
            </c:numRef>
          </c:yVal>
          <c:smooth val="0"/>
        </c:ser>
        <c:ser>
          <c:idx val="6"/>
          <c:order val="6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Sheet1!$GY$152:$GY$222</c:f>
            </c:numRef>
          </c:yVal>
          <c:smooth val="1"/>
        </c:ser>
        <c:ser>
          <c:idx val="7"/>
          <c:order val="7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Sheet1!$GY$862:$GY$932</c:f>
            </c:numRef>
          </c:yVal>
          <c:smooth val="1"/>
        </c:ser>
        <c:ser>
          <c:idx val="8"/>
          <c:order val="8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Sheet1!$GY$10:$GY$80</c:f>
            </c:numRef>
          </c:yVal>
          <c:smooth val="0"/>
        </c:ser>
        <c:ser>
          <c:idx val="9"/>
          <c:order val="9"/>
          <c:tx>
            <c:strRef>
              <c:f>"Union"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Sheet1!$GY$720:$GY$790</c:f>
            </c:numRef>
          </c:yVal>
          <c:smooth val="1"/>
        </c:ser>
        <c:axId val="15"/>
        <c:axId val="16"/>
      </c:scatterChart>
      <c:valAx>
        <c:axId val="15"/>
        <c:scaling>
          <c:orientation val="minMax"/>
          <c:max val="9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16"/>
        <c:crosses val="max"/>
        <c:majorUnit val="2"/>
        <c:minorUnit val="1"/>
      </c:valAx>
      <c:valAx>
        <c:axId val="16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"Somers"</c:f>
            </c:strRef>
          </c:tx>
          <c:spPr>
            <a:ln w="50800">
              <a:solidFill>
                <a:srgbClr val="ff99cc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Sheet1!$GY$507:$GY$577</c:f>
            </c:numRef>
          </c:yVal>
          <c:smooth val="1"/>
        </c:ser>
        <c:ser>
          <c:idx val="1"/>
          <c:order val="1"/>
          <c:tx>
            <c:strRef>
              <c:f>"Vernon"</c:f>
            </c:strRef>
          </c:tx>
          <c:spPr>
            <a:ln w="50800">
              <a:solidFill>
                <a:srgbClr val="993366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Sheet1!$GY$791:$GY$861</c:f>
            </c:numRef>
          </c:yVal>
          <c:smooth val="1"/>
        </c:ser>
        <c:ser>
          <c:idx val="2"/>
          <c:order val="2"/>
          <c:tx>
            <c:strRef>
              <c:f>"Stafford"</c:f>
            </c:strRef>
          </c:tx>
          <c:spPr>
            <a:ln w="50800">
              <a:solidFill>
                <a:srgbClr val="00ff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Sheet1!$GY$578:$GY$648</c:f>
            </c:numRef>
          </c:yVal>
          <c:smooth val="1"/>
        </c:ser>
        <c:ser>
          <c:idx val="3"/>
          <c:order val="3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Sheet1!$GY$294:$GY$364</c:f>
            </c:numRef>
          </c:yVal>
          <c:smooth val="1"/>
        </c:ser>
        <c:ser>
          <c:idx val="4"/>
          <c:order val="4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Sheet1!$GY$649:$GY$719</c:f>
            </c:numRef>
          </c:yVal>
          <c:smooth val="1"/>
        </c:ser>
        <c:ser>
          <c:idx val="5"/>
          <c:order val="5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Sheet1!$GY$223:$GY$293</c:f>
            </c:numRef>
          </c:yVal>
          <c:smooth val="1"/>
        </c:ser>
        <c:ser>
          <c:idx val="6"/>
          <c:order val="6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Sheet1!$GY$436:$GY$506</c:f>
            </c:numRef>
          </c:yVal>
          <c:smooth val="1"/>
        </c:ser>
        <c:ser>
          <c:idx val="7"/>
          <c:order val="7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Sheet1!$GY$365:$GY$435</c:f>
            </c:numRef>
          </c:yVal>
          <c:smooth val="1"/>
        </c:ser>
        <c:ser>
          <c:idx val="8"/>
          <c:order val="8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Sheet1!$GY$81:$GY$151</c:f>
            </c:numRef>
          </c:yVal>
          <c:smooth val="0"/>
        </c:ser>
        <c:ser>
          <c:idx val="9"/>
          <c:order val="9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Sheet1!$GY$152:$GY$222</c:f>
            </c:numRef>
          </c:yVal>
          <c:smooth val="1"/>
        </c:ser>
        <c:ser>
          <c:idx val="10"/>
          <c:order val="10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Sheet1!$GY$862:$GY$932</c:f>
            </c:numRef>
          </c:yVal>
          <c:smooth val="1"/>
        </c:ser>
        <c:ser>
          <c:idx val="11"/>
          <c:order val="11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Sheet1!$GY$10:$GY$80</c:f>
            </c:numRef>
          </c:yVal>
          <c:smooth val="0"/>
        </c:ser>
        <c:ser>
          <c:idx val="12"/>
          <c:order val="12"/>
          <c:tx>
            <c:strRef>
              <c:f>"Union"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Sheet1!$GY$720:$GY$790</c:f>
            </c:numRef>
          </c:yVal>
          <c:smooth val="1"/>
        </c:ser>
        <c:axId val="17"/>
        <c:axId val="18"/>
      </c:scatterChart>
      <c:valAx>
        <c:axId val="17"/>
        <c:scaling>
          <c:orientation val="minMax"/>
          <c:max val="9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18"/>
        <c:crosses val="max"/>
        <c:majorUnit val="2"/>
        <c:minorUnit val="1"/>
      </c:valAx>
      <c:valAx>
        <c:axId val="18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7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drawings/_rels/drawing1.xml.rels><?xml version="1.0" encoding="UTF-8"?>
<Relationships xmlns="http://schemas.openxmlformats.org/package/2006/relationships">
  <Relationship Id="rId32" Type="http://schemas.openxmlformats.org/officeDocument/2006/relationships/chart" Target="../charts/chart32.xml"/>
  <Relationship Id="rId31" Type="http://schemas.openxmlformats.org/officeDocument/2006/relationships/chart" Target="../charts/chart31.xml"/>
  <Relationship Id="rId30" Type="http://schemas.openxmlformats.org/officeDocument/2006/relationships/chart" Target="../charts/chart30.xml"/>
  <Relationship Id="rId29" Type="http://schemas.openxmlformats.org/officeDocument/2006/relationships/chart" Target="../charts/chart29.xml"/>
  <Relationship Id="rId28" Type="http://schemas.openxmlformats.org/officeDocument/2006/relationships/chart" Target="../charts/chart28.xml"/>
  <Relationship Id="rId27" Type="http://schemas.openxmlformats.org/officeDocument/2006/relationships/chart" Target="../charts/chart27.xml"/>
  <Relationship Id="rId26" Type="http://schemas.openxmlformats.org/officeDocument/2006/relationships/chart" Target="../charts/chart26.xml"/>
  <Relationship Id="rId25" Type="http://schemas.openxmlformats.org/officeDocument/2006/relationships/chart" Target="../charts/chart25.xml"/>
  <Relationship Id="rId24" Type="http://schemas.openxmlformats.org/officeDocument/2006/relationships/chart" Target="../charts/chart24.xml"/>
  <Relationship Id="rId23" Type="http://schemas.openxmlformats.org/officeDocument/2006/relationships/chart" Target="../charts/chart23.xml"/>
  <Relationship Id="rId22" Type="http://schemas.openxmlformats.org/officeDocument/2006/relationships/chart" Target="../charts/chart22.xml"/>
  <Relationship Id="rId21" Type="http://schemas.openxmlformats.org/officeDocument/2006/relationships/chart" Target="../charts/chart21.xml"/>
  <Relationship Id="rId20" Type="http://schemas.openxmlformats.org/officeDocument/2006/relationships/chart" Target="../charts/chart20.xml"/>
  <Relationship Id="rId19" Type="http://schemas.openxmlformats.org/officeDocument/2006/relationships/chart" Target="../charts/chart19.xml"/>
  <Relationship Id="rId18" Type="http://schemas.openxmlformats.org/officeDocument/2006/relationships/chart" Target="../charts/chart18.xml"/>
  <Relationship Id="rId17" Type="http://schemas.openxmlformats.org/officeDocument/2006/relationships/chart" Target="../charts/chart17.xml"/>
  <Relationship Id="rId16" Type="http://schemas.openxmlformats.org/officeDocument/2006/relationships/chart" Target="../charts/chart16.xml"/>
  <Relationship Id="rId15" Type="http://schemas.openxmlformats.org/officeDocument/2006/relationships/chart" Target="../charts/chart15.xml"/>
  <Relationship Id="rId14" Type="http://schemas.openxmlformats.org/officeDocument/2006/relationships/chart" Target="../charts/chart14.xml"/>
  <Relationship Id="rId13" Type="http://schemas.openxmlformats.org/officeDocument/2006/relationships/chart" Target="../charts/chart13.xml"/>
  <Relationship Id="rId12" Type="http://schemas.openxmlformats.org/officeDocument/2006/relationships/chart" Target="../charts/chart12.xml"/>
  <Relationship Id="rId11" Type="http://schemas.openxmlformats.org/officeDocument/2006/relationships/chart" Target="../charts/chart11.xml"/>
  <Relationship Id="rId10" Type="http://schemas.openxmlformats.org/officeDocument/2006/relationships/chart" Target="../charts/chart10.xml"/>
  <Relationship Id="rId9" Type="http://schemas.openxmlformats.org/officeDocument/2006/relationships/chart" Target="../charts/chart9.xml"/>
  <Relationship Id="rId8" Type="http://schemas.openxmlformats.org/officeDocument/2006/relationships/chart" Target="../charts/chart8.xml"/>
  <Relationship Id="rId7" Type="http://schemas.openxmlformats.org/officeDocument/2006/relationships/chart" Target="../charts/chart7.xml"/>
  <Relationship Id="rId6" Type="http://schemas.openxmlformats.org/officeDocument/2006/relationships/chart" Target="../charts/chart6.xml"/>
  <Relationship Id="rId5" Type="http://schemas.openxmlformats.org/officeDocument/2006/relationships/chart" Target="../charts/chart5.xml"/>
  <Relationship Id="rId4" Type="http://schemas.openxmlformats.org/officeDocument/2006/relationships/chart" Target="../charts/chart4.xml"/>
  <Relationship Id="rId3" Type="http://schemas.openxmlformats.org/officeDocument/2006/relationships/chart" Target="../charts/chart3.xml"/>
  <Relationship Id="rId2" Type="http://schemas.openxmlformats.org/officeDocument/2006/relationships/chart" Target="../charts/chart2.xml"/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88</xdr:col>
      <xdr:colOff>432053</xdr:colOff>
      <xdr:row>215</xdr:row>
      <xdr:rowOff>257175</xdr:rowOff>
    </xdr:from>
    <xdr:ext cx="13843000" cy="5842000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  <xdr:oneCellAnchor>
    <xdr:from>
      <xdr:col>66</xdr:col>
      <xdr:colOff>1007116</xdr:colOff>
      <xdr:row>180</xdr:row>
      <xdr:rowOff>257175</xdr:rowOff>
    </xdr:from>
    <xdr:ext cx="13843000" cy="6731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oneCellAnchor>
  <xdr:oneCellAnchor>
    <xdr:from>
      <xdr:col>66</xdr:col>
      <xdr:colOff>1007116</xdr:colOff>
      <xdr:row>213</xdr:row>
      <xdr:rowOff>257175</xdr:rowOff>
    </xdr:from>
    <xdr:ext cx="13843000" cy="67437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oneCellAnchor>
  <xdr:oneCellAnchor>
    <xdr:from>
      <xdr:col>37</xdr:col>
      <xdr:colOff>14676</xdr:colOff>
      <xdr:row>173</xdr:row>
      <xdr:rowOff>257175</xdr:rowOff>
    </xdr:from>
    <xdr:ext cx="16256000" cy="59055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oneCellAnchor>
  <xdr:oneCellAnchor>
    <xdr:from>
      <xdr:col>37</xdr:col>
      <xdr:colOff>865799</xdr:colOff>
      <xdr:row>295</xdr:row>
      <xdr:rowOff>73552</xdr:rowOff>
    </xdr:from>
    <xdr:ext cx="16255999" cy="59055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oneCellAnchor>
  <xdr:oneCellAnchor>
    <xdr:from>
      <xdr:col>230</xdr:col>
      <xdr:colOff>206714</xdr:colOff>
      <xdr:row>102</xdr:row>
      <xdr:rowOff>12426</xdr:rowOff>
    </xdr:from>
    <xdr:ext cx="16383000" cy="628650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oneCellAnchor>
  <xdr:oneCellAnchor>
    <xdr:from>
      <xdr:col>230</xdr:col>
      <xdr:colOff>250842</xdr:colOff>
      <xdr:row>70</xdr:row>
      <xdr:rowOff>205740</xdr:rowOff>
    </xdr:from>
    <xdr:ext cx="16383000" cy="628650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oneCellAnchor>
  <xdr:oneCellAnchor>
    <xdr:from>
      <xdr:col>230</xdr:col>
      <xdr:colOff>709187</xdr:colOff>
      <xdr:row>36</xdr:row>
      <xdr:rowOff>198831</xdr:rowOff>
    </xdr:from>
    <xdr:ext cx="16383000" cy="6286500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oneCellAnchor>
  <xdr:oneCellAnchor>
    <xdr:from>
      <xdr:col>230</xdr:col>
      <xdr:colOff>648775</xdr:colOff>
      <xdr:row>8</xdr:row>
      <xdr:rowOff>167163</xdr:rowOff>
    </xdr:from>
    <xdr:ext cx="16383000" cy="6286500"/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oneCellAnchor>
  <xdr:oneCellAnchor>
    <xdr:from>
      <xdr:col>241</xdr:col>
      <xdr:colOff>177075</xdr:colOff>
      <xdr:row>72</xdr:row>
      <xdr:rowOff>146846</xdr:rowOff>
    </xdr:from>
    <xdr:ext cx="17399000" cy="3924300"/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oneCellAnchor>
  <xdr:oneCellAnchor>
    <xdr:from>
      <xdr:col>259</xdr:col>
      <xdr:colOff>303861</xdr:colOff>
      <xdr:row>346</xdr:row>
      <xdr:rowOff>21177</xdr:rowOff>
    </xdr:from>
    <xdr:ext cx="27051000" cy="10096500"/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oneCellAnchor>
  <xdr:oneCellAnchor>
    <xdr:from>
      <xdr:col>259</xdr:col>
      <xdr:colOff>303861</xdr:colOff>
      <xdr:row>301</xdr:row>
      <xdr:rowOff>17153</xdr:rowOff>
    </xdr:from>
    <xdr:ext cx="27051000" cy="10096500"/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oneCellAnchor>
  <xdr:oneCellAnchor>
    <xdr:from>
      <xdr:col>259</xdr:col>
      <xdr:colOff>310236</xdr:colOff>
      <xdr:row>251</xdr:row>
      <xdr:rowOff>12858</xdr:rowOff>
    </xdr:from>
    <xdr:ext cx="27432000" cy="11531600"/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oneCellAnchor>
  <xdr:oneCellAnchor>
    <xdr:from>
      <xdr:col>259</xdr:col>
      <xdr:colOff>235864</xdr:colOff>
      <xdr:row>199</xdr:row>
      <xdr:rowOff>167163</xdr:rowOff>
    </xdr:from>
    <xdr:ext cx="27432000" cy="11620499"/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oneCellAnchor>
  <xdr:oneCellAnchor>
    <xdr:from>
      <xdr:col>259</xdr:col>
      <xdr:colOff>295361</xdr:colOff>
      <xdr:row>154</xdr:row>
      <xdr:rowOff>38576</xdr:rowOff>
    </xdr:from>
    <xdr:ext cx="27051000" cy="10096500"/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oneCellAnchor>
  <xdr:oneCellAnchor>
    <xdr:from>
      <xdr:col>259</xdr:col>
      <xdr:colOff>383899</xdr:colOff>
      <xdr:row>108</xdr:row>
      <xdr:rowOff>231457</xdr:rowOff>
    </xdr:from>
    <xdr:ext cx="27051000" cy="10096500"/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oneCellAnchor>
  <xdr:oneCellAnchor>
    <xdr:from>
      <xdr:col>259</xdr:col>
      <xdr:colOff>472437</xdr:colOff>
      <xdr:row>62</xdr:row>
      <xdr:rowOff>257175</xdr:rowOff>
    </xdr:from>
    <xdr:ext cx="27051000" cy="10096500"/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oneCellAnchor>
  <xdr:oneCellAnchor>
    <xdr:from>
      <xdr:col>259</xdr:col>
      <xdr:colOff>516352</xdr:colOff>
      <xdr:row>10</xdr:row>
      <xdr:rowOff>257175</xdr:rowOff>
    </xdr:from>
    <xdr:ext cx="27432000" cy="11582400"/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oneCellAnchor>
  <xdr:oneCellAnchor>
    <xdr:from>
      <xdr:col>143</xdr:col>
      <xdr:colOff>29111</xdr:colOff>
      <xdr:row>107</xdr:row>
      <xdr:rowOff>219113</xdr:rowOff>
    </xdr:from>
    <xdr:ext cx="16383000" cy="6286500"/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9"/>
        </a:graphicData>
      </a:graphic>
    </xdr:graphicFrame>
    <xdr:clientData/>
  </xdr:oneCellAnchor>
  <xdr:oneCellAnchor>
    <xdr:from>
      <xdr:col>144</xdr:col>
      <xdr:colOff>29111</xdr:colOff>
      <xdr:row>73</xdr:row>
      <xdr:rowOff>219113</xdr:rowOff>
    </xdr:from>
    <xdr:ext cx="16383000" cy="6286500"/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0"/>
        </a:graphicData>
      </a:graphic>
    </xdr:graphicFrame>
    <xdr:clientData/>
  </xdr:oneCellAnchor>
  <xdr:oneCellAnchor>
    <xdr:from>
      <xdr:col>144</xdr:col>
      <xdr:colOff>29111</xdr:colOff>
      <xdr:row>40</xdr:row>
      <xdr:rowOff>211755</xdr:rowOff>
    </xdr:from>
    <xdr:ext cx="16383000" cy="6286500"/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1"/>
        </a:graphicData>
      </a:graphic>
    </xdr:graphicFrame>
    <xdr:clientData/>
  </xdr:oneCellAnchor>
  <xdr:oneCellAnchor>
    <xdr:from>
      <xdr:col>36</xdr:col>
      <xdr:colOff>1267528</xdr:colOff>
      <xdr:row>146</xdr:row>
      <xdr:rowOff>71579</xdr:rowOff>
    </xdr:from>
    <xdr:ext cx="16256000" cy="5905500"/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2"/>
        </a:graphicData>
      </a:graphic>
    </xdr:graphicFrame>
    <xdr:clientData/>
  </xdr:oneCellAnchor>
  <xdr:oneCellAnchor>
    <xdr:from>
      <xdr:col>241</xdr:col>
      <xdr:colOff>442688</xdr:colOff>
      <xdr:row>40</xdr:row>
      <xdr:rowOff>248539</xdr:rowOff>
    </xdr:from>
    <xdr:ext cx="13843000" cy="5791199"/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3"/>
        </a:graphicData>
      </a:graphic>
    </xdr:graphicFrame>
    <xdr:clientData/>
  </xdr:oneCellAnchor>
  <xdr:oneCellAnchor>
    <xdr:from>
      <xdr:col>87</xdr:col>
      <xdr:colOff>605764</xdr:colOff>
      <xdr:row>183</xdr:row>
      <xdr:rowOff>128587</xdr:rowOff>
    </xdr:from>
    <xdr:ext cx="13843000" cy="5842000"/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4"/>
        </a:graphicData>
      </a:graphic>
    </xdr:graphicFrame>
    <xdr:clientData/>
  </xdr:oneCellAnchor>
  <xdr:oneCellAnchor>
    <xdr:from>
      <xdr:col>87</xdr:col>
      <xdr:colOff>75745</xdr:colOff>
      <xdr:row>149</xdr:row>
      <xdr:rowOff>62134</xdr:rowOff>
    </xdr:from>
    <xdr:ext cx="13843000" cy="5842000"/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5"/>
        </a:graphicData>
      </a:graphic>
    </xdr:graphicFrame>
    <xdr:clientData/>
  </xdr:oneCellAnchor>
  <xdr:oneCellAnchor>
    <xdr:from>
      <xdr:col>88</xdr:col>
      <xdr:colOff>503558</xdr:colOff>
      <xdr:row>263</xdr:row>
      <xdr:rowOff>64293</xdr:rowOff>
    </xdr:from>
    <xdr:ext cx="13843000" cy="5778500"/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6"/>
        </a:graphicData>
      </a:graphic>
    </xdr:graphicFrame>
    <xdr:clientData/>
  </xdr:oneCellAnchor>
  <xdr:oneCellAnchor>
    <xdr:from>
      <xdr:col>36</xdr:col>
      <xdr:colOff>1090563</xdr:colOff>
      <xdr:row>208</xdr:row>
      <xdr:rowOff>73552</xdr:rowOff>
    </xdr:from>
    <xdr:ext cx="16256000" cy="5905500"/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7"/>
        </a:graphicData>
      </a:graphic>
    </xdr:graphicFrame>
    <xdr:clientData/>
  </xdr:oneCellAnchor>
  <xdr:oneCellAnchor>
    <xdr:from>
      <xdr:col>241</xdr:col>
      <xdr:colOff>337860</xdr:colOff>
      <xdr:row>10</xdr:row>
      <xdr:rowOff>114185</xdr:rowOff>
    </xdr:from>
    <xdr:ext cx="13843000" cy="5765800"/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8"/>
        </a:graphicData>
      </a:graphic>
    </xdr:graphicFrame>
    <xdr:clientData/>
  </xdr:oneCellAnchor>
  <xdr:oneCellAnchor>
    <xdr:from>
      <xdr:col>66</xdr:col>
      <xdr:colOff>863099</xdr:colOff>
      <xdr:row>147</xdr:row>
      <xdr:rowOff>62134</xdr:rowOff>
    </xdr:from>
    <xdr:ext cx="13843000" cy="6731000"/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9"/>
        </a:graphicData>
      </a:graphic>
    </xdr:graphicFrame>
    <xdr:clientData/>
  </xdr:oneCellAnchor>
  <xdr:oneCellAnchor>
    <xdr:from>
      <xdr:col>12</xdr:col>
      <xdr:colOff>177097</xdr:colOff>
      <xdr:row>204</xdr:row>
      <xdr:rowOff>36776</xdr:rowOff>
    </xdr:from>
    <xdr:ext cx="15113000" cy="7124700"/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0"/>
        </a:graphicData>
      </a:graphic>
    </xdr:graphicFrame>
    <xdr:clientData/>
  </xdr:oneCellAnchor>
  <xdr:oneCellAnchor>
    <xdr:from>
      <xdr:col>12</xdr:col>
      <xdr:colOff>486072</xdr:colOff>
      <xdr:row>144</xdr:row>
      <xdr:rowOff>173977</xdr:rowOff>
    </xdr:from>
    <xdr:ext cx="16129000" cy="6591300"/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1"/>
        </a:graphicData>
      </a:graphic>
    </xdr:graphicFrame>
    <xdr:clientData/>
  </xdr:oneCellAnchor>
  <xdr:oneCellAnchor>
    <xdr:from>
      <xdr:col>12</xdr:col>
      <xdr:colOff>310767</xdr:colOff>
      <xdr:row>174</xdr:row>
      <xdr:rowOff>110328</xdr:rowOff>
    </xdr:from>
    <xdr:ext cx="16129000" cy="6591300"/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2"/>
        </a:graphicData>
      </a:graphic>
    </xdr:graphicFrame>
    <xdr:clientData/>
  </xdr:one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3:LM2765"/>
  <sheetViews>
    <sheetView workbookViewId="0" tabSelected="1">
      <pane ySplit="8" topLeftCell="A9" activePane="bottomLeft" state="frozen"/>
      <selection pane="bottomLeft" activeCell="A9" sqref="A9"/>
    </sheetView>
  </sheetViews>
  <sheetFormatPr defaultRowHeight="12.75"/>
  <cols>
    <col min="1" max="1" style="1" width="17.856069711538463" bestFit="1" customWidth="1"/>
    <col min="2" max="2" style="1" width="15.713341346153848" bestFit="1" customWidth="1"/>
    <col min="3" max="3" style="2" width="20.284495192307695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18.284615384615385" customWidth="1"/>
    <col min="8" max="8" style="2" width="19.427403846153847" bestFit="1" customWidth="1"/>
    <col min="9" max="9" style="2" width="19.427403846153847" customWidth="1"/>
    <col min="10" max="10" style="2" width="22.855769230769234" customWidth="1"/>
    <col min="11" max="11" style="2" width="24.569951923076925" customWidth="1"/>
    <col min="12" max="12" style="2" width="17.141826923076923" bestFit="1" customWidth="1"/>
    <col min="13" max="13" style="1" width="25.712740384615387" customWidth="1"/>
    <col min="14" max="14" style="1" width="16.570432692307694" customWidth="1"/>
    <col min="15" max="15" style="4" width="16.397109775641027" customWidth="1"/>
    <col min="16" max="16" style="4" width="19.427403846153847" customWidth="1"/>
    <col min="17" max="17" style="3" width="9.99939903846154" customWidth="1"/>
    <col min="18" max="18" style="4" width="15.279081730769231" customWidth="1"/>
    <col min="19" max="19" style="4" width="10.856490384615386" customWidth="1"/>
    <col min="20" max="20" style="4" width="13.713461538461539" customWidth="1"/>
    <col min="21" max="21" style="4" width="12.713521634615386" customWidth="1"/>
    <col min="22" max="22" style="4" width="10.856490384615386" customWidth="1"/>
    <col min="23" max="23" style="4" width="12.42782451923077" customWidth="1"/>
    <col min="24" max="24" style="1" width="27.579294871794875" customWidth="1"/>
    <col min="25" max="25" style="1" width="16.570432692307694" customWidth="1"/>
    <col min="26" max="26" style="4" width="18.284615384615385" customWidth="1"/>
    <col min="27" max="27" style="4" width="12.713521634615386" customWidth="1"/>
    <col min="28" max="28" style="4" width="12.99921875" bestFit="1" customWidth="1"/>
    <col min="29" max="29" style="4" width="14.78196875" customWidth="1"/>
    <col min="30" max="30" style="4" width="12.738282051282052" bestFit="1" customWidth="1"/>
    <col min="31" max="31" style="4" width="13.713461538461539" customWidth="1"/>
    <col min="32" max="32" style="4" width="14.82006169871795" customWidth="1"/>
    <col min="33" max="33" style="4" width="12.04879967948718" bestFit="1" customWidth="1"/>
    <col min="34" max="34" style="4" width="12.99921875" bestFit="1" customWidth="1"/>
    <col min="35" max="35" style="1" width="26.95076121794872" customWidth="1"/>
    <col min="36" max="36" style="1" width="16.570432692307694" customWidth="1"/>
    <col min="37" max="37" style="4" width="18.570312500000004" customWidth="1"/>
    <col min="38" max="38" style="4" width="12.713521634615386" customWidth="1"/>
    <col min="39" max="39" style="4" width="12.99921875" bestFit="1" customWidth="1"/>
    <col min="40" max="40" style="4" width="13.663940705128205" customWidth="1"/>
    <col min="41" max="41" style="4" width="12.99921875" bestFit="1" customWidth="1"/>
    <col min="42" max="42" style="4" width="13.713461538461539" customWidth="1"/>
    <col min="43" max="44" style="4" width="12.713521634615386" customWidth="1"/>
    <col min="45" max="45" style="4" width="12.99921875" bestFit="1" customWidth="1"/>
    <col min="46" max="46" style="1" width="27.579294871794875" customWidth="1"/>
    <col min="47" max="47" style="1" width="16.570432692307694" customWidth="1"/>
    <col min="48" max="48" style="4" width="16.570432692307694" customWidth="1"/>
    <col min="49" max="49" style="4" width="12.570673076923079" customWidth="1"/>
    <col min="50" max="50" style="4" width="13.427764423076924" customWidth="1"/>
    <col min="51" max="51" style="4" width="13.570612980769232" bestFit="1" customWidth="1"/>
    <col min="52" max="52" style="4" width="12.99921875" bestFit="1" customWidth="1"/>
    <col min="53" max="53" style="4" width="13.713461538461539" customWidth="1"/>
    <col min="54" max="56" style="4" width="12.570673076923079" customWidth="1"/>
    <col min="57" max="57" style="1" width="26.588878205128207" customWidth="1"/>
    <col min="58" max="58" style="1" width="16.570432692307694" customWidth="1"/>
    <col min="59" max="59" style="4" width="13.999158653846155" customWidth="1"/>
    <col min="60" max="60" style="4" width="13.856310096153848" customWidth="1"/>
    <col min="61" max="61" style="4" width="13.284915865384617" customWidth="1"/>
    <col min="62" max="62" style="4" width="13.540138621794874" customWidth="1"/>
    <col min="63" max="63" style="4" width="12.99921875" bestFit="1" customWidth="1"/>
    <col min="64" max="64" style="4" width="13.713461538461539" customWidth="1"/>
    <col min="65" max="65" style="4" width="14.28485576923077" customWidth="1"/>
    <col min="66" max="66" style="4" width="9.565139423076923" bestFit="1" customWidth="1"/>
    <col min="67" max="67" style="4" width="12.99921875" bestFit="1" customWidth="1"/>
    <col min="68" max="68" style="1" width="23.71286057692308" customWidth="1"/>
    <col min="69" max="69" style="1" width="16.570432692307694" customWidth="1"/>
    <col min="70" max="70" style="4" width="14.142007211538463" customWidth="1"/>
    <col min="71" max="71" style="4" width="15.427644230769232" customWidth="1"/>
    <col min="72" max="72" style="4" width="10.713641826923078" customWidth="1"/>
    <col min="73" max="73" style="4" width="13.663940705128205" customWidth="1"/>
    <col min="74" max="74" style="4" width="10.999338942307693" customWidth="1"/>
    <col min="75" max="75" style="4" width="13.713461538461539" customWidth="1"/>
    <col min="76" max="76" style="4" width="12.570673076923079" customWidth="1"/>
    <col min="77" max="77" style="4" width="12.284975961538462" customWidth="1"/>
    <col min="78" max="78" style="4" width="14.28485576923077" customWidth="1"/>
    <col min="79" max="79" style="1" width="18.25985496794872" customWidth="1"/>
    <col min="80" max="80" style="1" width="16.570432692307694" customWidth="1"/>
    <col min="81" max="81" style="4" width="13.570612980769232" customWidth="1"/>
    <col min="82" max="82" style="4" width="15.776194711538462" customWidth="1"/>
    <col min="83" max="83" style="4" width="11.28503605769231" customWidth="1"/>
    <col min="84" max="84" style="4" width="17.141826923076923" customWidth="1"/>
    <col min="85" max="85" style="4" width="12.142127403846155" customWidth="1"/>
    <col min="86" max="86" style="4" width="13.713461538461539" customWidth="1"/>
    <col min="87" max="87" style="4" width="13.14206730769231" customWidth="1"/>
    <col min="88" max="88" style="4" width="12.713521634615386" customWidth="1"/>
    <col min="89" max="89" style="4" width="12.99921875" bestFit="1" customWidth="1"/>
    <col min="90" max="90" style="1" width="20.874935897435897" customWidth="1"/>
    <col min="91" max="91" style="1" width="16.570432692307694" customWidth="1"/>
    <col min="92" max="92" style="4" width="14.28485576923077" customWidth="1"/>
    <col min="93" max="93" style="4" width="10.713641826923078" customWidth="1"/>
    <col min="94" max="94" style="4" width="11.570733173076924" customWidth="1"/>
    <col min="95" max="95" style="4" width="14.408657852564104" customWidth="1"/>
    <col min="96" max="96" style="4" width="11.999278846153848" customWidth="1"/>
    <col min="97" max="97" style="4" width="13.713461538461539" customWidth="1"/>
    <col min="98" max="98" style="4" width="11.427884615384617" customWidth="1"/>
    <col min="99" max="99" style="4" width="11.85643028846154" customWidth="1"/>
    <col min="100" max="100" style="4" width="13.427764423076924" customWidth="1"/>
    <col min="101" max="101" style="1" width="16.644713942307693" customWidth="1"/>
    <col min="102" max="102" style="1" width="16.570432692307694" customWidth="1"/>
    <col min="103" max="103" style="4" width="12.298308493589744" customWidth="1"/>
    <col min="104" max="104" style="4" width="16.894222756410258" customWidth="1"/>
    <col min="105" max="105" style="4" width="10.999338942307693" customWidth="1"/>
    <col min="106" max="106" style="4" width="13.911544871794874" customWidth="1"/>
    <col min="107" max="107" style="4" width="11.28503605769231" customWidth="1"/>
    <col min="108" max="108" style="4" width="13.713461538461539" customWidth="1"/>
    <col min="109" max="109" style="4" width="14.675308493589744" customWidth="1"/>
    <col min="110" max="110" style="4" width="15.842857371794874" customWidth="1"/>
    <col min="111" max="111" style="4" width="12.570673076923079" customWidth="1"/>
    <col min="112" max="112" style="1" width="26.70315705128205" customWidth="1"/>
    <col min="113" max="113" style="1" width="16.570432692307694" customWidth="1"/>
    <col min="114" max="114" style="4" width="16.570432692307694" customWidth="1"/>
    <col min="115" max="115" style="4" width="13.856310096153848" bestFit="1" customWidth="1"/>
    <col min="116" max="116" style="4" width="12.669714743589743" customWidth="1"/>
    <col min="117" max="117" style="4" width="13.911544871794874" customWidth="1"/>
    <col min="118" max="118" style="4" width="15.402883814102566" customWidth="1"/>
    <col min="119" max="119" style="4" width="15.155279647435897" customWidth="1"/>
    <col min="120" max="120" style="4" width="14.658166666666666" customWidth="1"/>
    <col min="121" max="121" style="4" width="13.540138621794874" customWidth="1"/>
    <col min="122" max="122" style="4" width="12.99921875" bestFit="1" customWidth="1"/>
    <col min="123" max="123" style="4" width="6.955772435897437" customWidth="1"/>
    <col min="124" max="124" style="5" width="11.427884615384617" customWidth="1"/>
    <col min="125" max="125" style="1" width="17.284675480769234" customWidth="1"/>
    <col min="126" max="126" style="1" width="13.427764423076924" customWidth="1"/>
    <col min="127" max="127" style="1" width="26.28413461538462" bestFit="1" customWidth="1"/>
    <col min="128" max="128" style="1" width="21.6939342948718" customWidth="1"/>
    <col min="129" max="129" style="1" width="8.808994391025642" bestFit="1" customWidth="1"/>
    <col min="130" max="130" style="1" width="12.380208333333334" customWidth="1"/>
    <col min="131" max="131" style="1" width="8.570913461538462" bestFit="1" customWidth="1"/>
    <col min="132" max="178" style="1" width="13.713461538461539" bestFit="1" customWidth="1"/>
    <col min="179" max="182" style="1" width="9.142307692307693"/>
    <col min="183" max="183" style="1" width="26.28413461538462" customWidth="1"/>
    <col min="184" max="184" style="2" width="21.998677884615386" customWidth="1"/>
    <col min="185" max="185" style="6" width="13.713461538461539" bestFit="1" customWidth="1"/>
    <col min="186" max="186" style="1" width="16.520911858974358" bestFit="1" customWidth="1"/>
    <col min="187" max="187" style="1" width="18.71316105769231" customWidth="1"/>
    <col min="188" max="188" style="1" width="18.391275641025643" customWidth="1"/>
    <col min="189" max="189" style="1" width="17.320863782051283" customWidth="1"/>
    <col min="190" max="190" style="1" width="16.71328125" bestFit="1" customWidth="1"/>
    <col min="191" max="191" style="1" width="17.141826923076923" customWidth="1"/>
    <col min="192" max="196" style="1" width="16.71328125" bestFit="1" customWidth="1"/>
    <col min="197" max="200" style="1" width="11.999278846153848" bestFit="1" customWidth="1"/>
    <col min="201" max="201" style="1" width="9.142307692307693"/>
    <col min="202" max="202" style="1" width="43.99735576923077" customWidth="1"/>
    <col min="203" max="203" style="1" width="15.713341346153848" bestFit="1" customWidth="1"/>
    <col min="204" max="204" style="1" width="16.189503205128208" bestFit="1" customWidth="1"/>
    <col min="205" max="205" style="1" width="20.57019230769231" customWidth="1"/>
    <col min="206" max="206" style="1" width="21.71298076923077" customWidth="1"/>
    <col min="207" max="207" style="1" width="21.903445512820515" customWidth="1"/>
    <col min="208" max="208" style="1" width="9.142307692307693"/>
    <col min="209" max="209" style="1" width="25.712740384615387" customWidth="1"/>
    <col min="210" max="210" style="1" width="17.9036858974359" customWidth="1"/>
    <col min="211" max="211" style="1" width="22.093910256410258" customWidth="1"/>
    <col min="212" max="219" style="1" width="9.142307692307693"/>
    <col min="220" max="220" style="1" width="25.3318108974359" customWidth="1"/>
    <col min="221" max="225" style="1" width="9.142307692307693"/>
    <col min="226" max="226" style="1" width="20.57019230769231" customWidth="1"/>
    <col min="227" max="227" style="1" width="15.713341346153848" bestFit="1" customWidth="1"/>
    <col min="228" max="228" style="1" width="12.570673076923079" customWidth="1"/>
    <col min="229" max="229" style="1" width="36.56923076923077" customWidth="1"/>
    <col min="230" max="230" style="1" width="28.56971153846154" customWidth="1"/>
    <col min="231" max="231" style="1" width="33.90272435897436" customWidth="1"/>
    <col min="232" max="232" style="1" width="45.14014423076924" customWidth="1"/>
    <col min="233" max="233" style="1" width="9.142307692307693"/>
    <col min="234" max="234" style="1" width="57.32988782051282" customWidth="1"/>
    <col min="235" max="235" style="1" width="9.142307692307693"/>
    <col min="236" max="236" style="1" width="30.66482371794872" customWidth="1"/>
    <col min="237" max="237" style="1" width="9.142307692307693"/>
    <col min="238" max="238" style="1" width="33.90272435897436" customWidth="1"/>
    <col min="239" max="239" style="1" width="9.142307692307693"/>
    <col min="240" max="240" style="1" width="50.09222756410257" customWidth="1"/>
    <col min="241" max="241" style="1" width="15.046714743589746" customWidth="1"/>
    <col min="242" max="249" style="1" width="9.142307692307693"/>
    <col min="250" max="250" style="1" width="45.33060897435898" customWidth="1"/>
    <col min="251" max="252" style="1" width="9.142307692307693"/>
    <col min="253" max="253" style="1" width="55.615705128205136" customWidth="1"/>
    <col min="254" max="254" style="1" width="9.142307692307693"/>
    <col min="255" max="255" style="1" width="34.66458333333334" customWidth="1"/>
    <col min="256" max="256" style="1" width="9.142307692307693"/>
    <col min="257" max="257" style="1" width="39.426201923076924" customWidth="1"/>
    <col min="258" max="269" style="1" width="9.142307692307693"/>
    <col min="270" max="270" style="1" width="65.71033653846155" customWidth="1"/>
    <col min="271" max="272" style="1" width="9.142307692307693"/>
    <col min="273" max="273" style="1" width="78.77621794871796" customWidth="1"/>
    <col min="274" max="275" style="1" width="13.713461538461539" bestFit="1" customWidth="1"/>
    <col min="276" max="276" style="1" width="15.713341346153848" bestFit="1" customWidth="1"/>
    <col min="277" max="278" style="1" width="13.713461538461539" bestFit="1" customWidth="1"/>
    <col min="279" max="279" style="1" width="142.44858173076923" customWidth="1"/>
    <col min="280" max="282" style="1" width="13.713461538461539" bestFit="1" customWidth="1"/>
    <col min="283" max="283" style="1" width="40.81659455128206" customWidth="1"/>
    <col min="284" max="285" style="1" width="13.713461538461539" bestFit="1" customWidth="1"/>
    <col min="286" max="312" style="1" width="9.142307692307693"/>
    <col min="313" max="324" style="1" width="20.951121794871796" bestFit="1" customWidth="1"/>
    <col min="325" max="512" style="1" width="9.142307692307693"/>
  </cols>
  <sheetData>
    <row r="3" spans="1:325" customHeight="1" ht="9.13">
      <c r="A3" t="s">
        <v>0</v>
      </c>
      <c r="JX3" t="inlineStr">
        <is>
          <t>col 1</t>
        </is>
      </c>
      <c r="JY3" t="inlineStr">
        <is>
          <t>col 2</t>
        </is>
      </c>
      <c r="JZ3" t="inlineStr">
        <is>
          <t>col 3</t>
        </is>
      </c>
      <c r="KA3" t="inlineStr">
        <is>
          <t>col 4</t>
        </is>
      </c>
      <c r="KB3" t="inlineStr">
        <is>
          <t>col 5</t>
        </is>
      </c>
      <c r="KC3" t="inlineStr">
        <is>
          <t>col 6</t>
        </is>
      </c>
    </row>
    <row r="4" spans="1:325" customHeight="1" ht="9.13">
      <c r="A4" t="inlineStr">
        <is>
          <t>b</t>
        </is>
      </c>
      <c r="C4" s="1"/>
    </row>
    <row r="5" spans="1:325" ht="20.29">
      <c r="A5" t="s">
        <v>1</v>
      </c>
      <c r="C5" t="inlineStr">
        <is>
          <t>Last revision:  Friday, 19 June 2020 06:53:31 UTC</t>
        </is>
      </c>
      <c r="N5" s="4" t="inlineStr">
        <is>
          <t>1. Litchfield</t>
        </is>
      </c>
      <c r="Y5" s="4" t="inlineStr">
        <is>
          <t>2. Hartford</t>
        </is>
      </c>
      <c r="AJ5" s="4" t="inlineStr">
        <is>
          <t>3. New Haven</t>
        </is>
      </c>
      <c r="AU5" s="4" t="inlineStr">
        <is>
          <t>4. Fairfield</t>
        </is>
      </c>
      <c r="BF5" s="4" t="inlineStr">
        <is>
          <t>5. Middlesex</t>
        </is>
      </c>
      <c r="BQ5" s="4" t="inlineStr">
        <is>
          <t>6. Tolland</t>
        </is>
      </c>
      <c r="CB5" s="4" t="inlineStr">
        <is>
          <t>7. Windham</t>
        </is>
      </c>
      <c r="CM5" s="4" t="inlineStr">
        <is>
          <t>8. New London</t>
        </is>
      </c>
      <c r="CX5" s="4" t="inlineStr">
        <is>
          <t>9. Pending address</t>
        </is>
      </c>
      <c r="DI5" s="4" t="inlineStr">
        <is>
          <t>0. State of CT</t>
        </is>
      </c>
      <c r="GK5" s="4"/>
      <c r="GP5" s="4"/>
      <c r="GQ5" s="4"/>
      <c r="GR5" s="4"/>
      <c r="HB5" t="inlineStr">
        <is>
          <t>YES vs NO for if present in earlier data format.</t>
        </is>
      </c>
      <c r="JZ5" t="inlineStr">
        <is>
          <t>Columns 7-13 to the right,</t>
        </is>
      </c>
    </row>
    <row r="6" spans="1:325" ht="19.57">
      <c r="A6" t="s">
        <v>2</v>
      </c>
      <c r="C6" s="1"/>
      <c r="D6" s="7"/>
      <c r="I6" t="s">
        <v>3</v>
      </c>
      <c r="J6" t="inlineStr">
        <is>
          <t>United</t>
        </is>
      </c>
      <c r="N6" s="4" t="s">
        <v>4</v>
      </c>
      <c r="O6" s="1"/>
      <c r="T6" t="s">
        <v>4</v>
      </c>
      <c r="Y6" s="4" t="s">
        <v>4</v>
      </c>
      <c r="Z6" s="1"/>
      <c r="AB6" s="3"/>
      <c r="AE6" t="s">
        <v>4</v>
      </c>
      <c r="AJ6" s="4" t="s">
        <v>4</v>
      </c>
      <c r="AK6" s="1"/>
      <c r="AM6" s="3"/>
      <c r="AP6" t="s">
        <v>4</v>
      </c>
      <c r="AU6" s="4" t="s">
        <v>4</v>
      </c>
      <c r="AV6" s="1"/>
      <c r="AX6" s="3"/>
      <c r="BA6" t="s">
        <v>4</v>
      </c>
      <c r="BF6" s="4" t="s">
        <v>4</v>
      </c>
      <c r="BG6" s="1"/>
      <c r="BI6" s="3"/>
      <c r="BL6" t="s">
        <v>4</v>
      </c>
      <c r="BQ6" s="4" t="s">
        <v>4</v>
      </c>
      <c r="BR6" s="1"/>
      <c r="BT6" s="3"/>
      <c r="BW6" t="s">
        <v>4</v>
      </c>
      <c r="CB6" s="4" t="s">
        <v>4</v>
      </c>
      <c r="CC6" s="1"/>
      <c r="CE6" s="3"/>
      <c r="CH6" t="s">
        <v>4</v>
      </c>
      <c r="CM6" s="4" t="s">
        <v>4</v>
      </c>
      <c r="CN6" s="1"/>
      <c r="CP6" s="3"/>
      <c r="CS6" t="s">
        <v>4</v>
      </c>
      <c r="CX6" s="4" t="s">
        <v>4</v>
      </c>
      <c r="CY6" s="1"/>
      <c r="DA6" s="3"/>
      <c r="DD6" t="s">
        <v>4</v>
      </c>
      <c r="DI6" s="4" t="s">
        <v>4</v>
      </c>
      <c r="DJ6" s="1"/>
      <c r="DL6" s="3"/>
      <c r="DO6" t="s">
        <v>4</v>
      </c>
      <c r="GV6" t="inlineStr">
        <is>
          <t>Tolland County work-up 04 June:</t>
        </is>
      </c>
      <c r="JZ6" t="inlineStr">
        <is>
          <t>but left unmarked so that</t>
        </is>
      </c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</row>
    <row r="7" spans="1:325" ht="20.25">
      <c r="A7" t="inlineStr">
        <is>
          <t>e</t>
        </is>
      </c>
      <c r="C7" t="s">
        <v>5</v>
      </c>
      <c r="G7" t="inlineStr">
        <is>
          <t>15x</t>
        </is>
      </c>
      <c r="H7" t="s">
        <v>6</v>
      </c>
      <c r="I7" t="s">
        <v>6</v>
      </c>
      <c r="J7" t="inlineStr">
        <is>
          <t>States</t>
        </is>
      </c>
      <c r="K7" t="inlineStr">
        <is>
          <t>Connecticut,</t>
        </is>
      </c>
      <c r="N7" s="4" t="s">
        <v>7</v>
      </c>
      <c r="O7" s="1"/>
      <c r="Q7" s="4" t="s">
        <v>8</v>
      </c>
      <c r="S7" t="s">
        <v>8</v>
      </c>
      <c r="T7" t="s">
        <v>9</v>
      </c>
      <c r="U7" s="1"/>
      <c r="W7" t="s">
        <v>10</v>
      </c>
      <c r="Y7" s="4" t="s">
        <v>7</v>
      </c>
      <c r="Z7" s="1"/>
      <c r="AB7" t="s">
        <v>8</v>
      </c>
      <c r="AD7" t="s">
        <v>8</v>
      </c>
      <c r="AE7" t="s">
        <v>9</v>
      </c>
      <c r="AF7" s="1"/>
      <c r="AH7" t="s">
        <v>10</v>
      </c>
      <c r="AJ7" s="4" t="s">
        <v>7</v>
      </c>
      <c r="AK7" s="1"/>
      <c r="AM7" t="s">
        <v>8</v>
      </c>
      <c r="AO7" t="s">
        <v>8</v>
      </c>
      <c r="AP7" t="s">
        <v>9</v>
      </c>
      <c r="AQ7" s="1"/>
      <c r="AS7" t="s">
        <v>10</v>
      </c>
      <c r="AU7" s="4" t="s">
        <v>7</v>
      </c>
      <c r="AV7" s="1"/>
      <c r="AX7" t="s">
        <v>8</v>
      </c>
      <c r="AZ7" t="s">
        <v>8</v>
      </c>
      <c r="BA7" t="s">
        <v>9</v>
      </c>
      <c r="BB7" s="1"/>
      <c r="BD7" t="s">
        <v>10</v>
      </c>
      <c r="BF7" s="4" t="s">
        <v>7</v>
      </c>
      <c r="BG7" s="1"/>
      <c r="BI7" t="s">
        <v>8</v>
      </c>
      <c r="BK7" t="s">
        <v>8</v>
      </c>
      <c r="BL7" t="s">
        <v>9</v>
      </c>
      <c r="BM7" s="1"/>
      <c r="BO7" t="s">
        <v>10</v>
      </c>
      <c r="BQ7" s="4" t="s">
        <v>7</v>
      </c>
      <c r="BR7" s="1"/>
      <c r="BT7" t="s">
        <v>8</v>
      </c>
      <c r="BV7" t="s">
        <v>8</v>
      </c>
      <c r="BW7" t="s">
        <v>9</v>
      </c>
      <c r="BX7" s="1"/>
      <c r="BZ7" t="s">
        <v>10</v>
      </c>
      <c r="CB7" s="4" t="s">
        <v>7</v>
      </c>
      <c r="CC7" s="1"/>
      <c r="CE7" t="s">
        <v>8</v>
      </c>
      <c r="CG7" t="s">
        <v>8</v>
      </c>
      <c r="CH7" t="s">
        <v>9</v>
      </c>
      <c r="CI7" s="1"/>
      <c r="CK7" t="s">
        <v>10</v>
      </c>
      <c r="CM7" s="4" t="s">
        <v>7</v>
      </c>
      <c r="CN7" s="1"/>
      <c r="CP7" t="s">
        <v>8</v>
      </c>
      <c r="CR7" t="s">
        <v>8</v>
      </c>
      <c r="CS7" t="s">
        <v>9</v>
      </c>
      <c r="CT7" s="1"/>
      <c r="CV7" t="s">
        <v>10</v>
      </c>
      <c r="CX7" s="4" t="s">
        <v>7</v>
      </c>
      <c r="CY7" s="1"/>
      <c r="DA7" t="s">
        <v>8</v>
      </c>
      <c r="DC7" t="s">
        <v>8</v>
      </c>
      <c r="DD7" t="s">
        <v>9</v>
      </c>
      <c r="DE7" s="1"/>
      <c r="DG7" t="s">
        <v>10</v>
      </c>
      <c r="DI7" s="4" t="s">
        <v>7</v>
      </c>
      <c r="DJ7" s="1"/>
      <c r="DL7" t="s">
        <v>8</v>
      </c>
      <c r="DN7" t="inlineStr">
        <is>
          <t>Hosp,</t>
        </is>
      </c>
      <c r="DO7" t="s">
        <v>9</v>
      </c>
      <c r="DP7" s="1"/>
      <c r="DR7" t="s">
        <v>10</v>
      </c>
      <c r="DT7" t="s">
        <v>8</v>
      </c>
      <c r="GB7" t="inlineStr">
        <is>
          <t>United States,</t>
        </is>
      </c>
      <c r="GE7" s="4"/>
      <c r="GO7" s="4"/>
      <c r="GY7" t="s">
        <v>11</v>
      </c>
      <c r="GZ7" t="s">
        <v>12</v>
      </c>
      <c r="HA7" t="s">
        <v>12</v>
      </c>
      <c r="HB7" t="s">
        <v>11</v>
      </c>
      <c r="HC7" t="s">
        <v>11</v>
      </c>
      <c r="HD7" t="s">
        <v>12</v>
      </c>
      <c r="HE7" t="s">
        <v>12</v>
      </c>
      <c r="HF7" t="s">
        <v>12</v>
      </c>
      <c r="HG7" t="s">
        <v>12</v>
      </c>
      <c r="HH7" t="s">
        <v>12</v>
      </c>
      <c r="HI7" t="s">
        <v>12</v>
      </c>
      <c r="HJ7" t="s">
        <v>12</v>
      </c>
      <c r="HK7" t="s">
        <v>12</v>
      </c>
      <c r="JZ7" t="inlineStr">
        <is>
          <t>no problem deleting them.</t>
        </is>
      </c>
    </row>
    <row r="8" spans="1:325" ht="20.25">
      <c r="A8" t="inlineStr">
        <is>
          <t>f</t>
        </is>
      </c>
      <c r="C8" t="s">
        <v>13</v>
      </c>
      <c r="D8" t="s">
        <v>14</v>
      </c>
      <c r="G8" t="inlineStr">
        <is>
          <t>measured:</t>
        </is>
      </c>
      <c r="H8" t="s">
        <v>15</v>
      </c>
      <c r="I8" t="s">
        <v>16</v>
      </c>
      <c r="J8" t="s">
        <v>17</v>
      </c>
      <c r="K8" t="s">
        <v>17</v>
      </c>
      <c r="N8" t="s">
        <v>18</v>
      </c>
      <c r="O8" t="s">
        <v>19</v>
      </c>
      <c r="P8" t="s">
        <v>20</v>
      </c>
      <c r="Q8" s="4" t="s">
        <v>19</v>
      </c>
      <c r="R8" t="s">
        <v>21</v>
      </c>
      <c r="S8" t="s">
        <v>21</v>
      </c>
      <c r="T8" s="1" t="s">
        <v>18</v>
      </c>
      <c r="U8" t="s">
        <v>19</v>
      </c>
      <c r="V8" t="s">
        <v>20</v>
      </c>
      <c r="W8" t="s">
        <v>22</v>
      </c>
      <c r="Y8" t="s">
        <v>18</v>
      </c>
      <c r="Z8" t="s">
        <v>19</v>
      </c>
      <c r="AA8" t="s">
        <v>20</v>
      </c>
      <c r="AB8" t="s">
        <v>19</v>
      </c>
      <c r="AC8" t="s">
        <v>21</v>
      </c>
      <c r="AD8" t="s">
        <v>21</v>
      </c>
      <c r="AE8" s="1" t="s">
        <v>18</v>
      </c>
      <c r="AF8" t="s">
        <v>19</v>
      </c>
      <c r="AG8" t="s">
        <v>20</v>
      </c>
      <c r="AH8" t="s">
        <v>22</v>
      </c>
      <c r="AJ8" t="s">
        <v>18</v>
      </c>
      <c r="AK8" t="s">
        <v>19</v>
      </c>
      <c r="AL8" t="s">
        <v>20</v>
      </c>
      <c r="AM8" t="s">
        <v>19</v>
      </c>
      <c r="AN8" t="s">
        <v>21</v>
      </c>
      <c r="AO8" t="s">
        <v>21</v>
      </c>
      <c r="AP8" s="1" t="s">
        <v>18</v>
      </c>
      <c r="AQ8" t="s">
        <v>19</v>
      </c>
      <c r="AR8" t="s">
        <v>20</v>
      </c>
      <c r="AS8" t="s">
        <v>22</v>
      </c>
      <c r="AU8" t="s">
        <v>18</v>
      </c>
      <c r="AV8" t="s">
        <v>19</v>
      </c>
      <c r="AW8" t="s">
        <v>20</v>
      </c>
      <c r="AX8" t="s">
        <v>19</v>
      </c>
      <c r="AY8" t="s">
        <v>21</v>
      </c>
      <c r="AZ8" t="s">
        <v>21</v>
      </c>
      <c r="BA8" s="1" t="s">
        <v>18</v>
      </c>
      <c r="BB8" t="s">
        <v>19</v>
      </c>
      <c r="BC8" t="s">
        <v>20</v>
      </c>
      <c r="BD8" t="s">
        <v>22</v>
      </c>
      <c r="BF8" t="s">
        <v>18</v>
      </c>
      <c r="BG8" t="s">
        <v>19</v>
      </c>
      <c r="BH8" t="s">
        <v>20</v>
      </c>
      <c r="BI8" t="s">
        <v>19</v>
      </c>
      <c r="BJ8" t="s">
        <v>21</v>
      </c>
      <c r="BK8" t="s">
        <v>21</v>
      </c>
      <c r="BL8" s="1" t="s">
        <v>18</v>
      </c>
      <c r="BM8" t="s">
        <v>19</v>
      </c>
      <c r="BN8" t="s">
        <v>20</v>
      </c>
      <c r="BO8" t="s">
        <v>22</v>
      </c>
      <c r="BQ8" t="s">
        <v>18</v>
      </c>
      <c r="BR8" t="s">
        <v>19</v>
      </c>
      <c r="BS8" t="s">
        <v>20</v>
      </c>
      <c r="BT8" t="s">
        <v>19</v>
      </c>
      <c r="BU8" t="s">
        <v>21</v>
      </c>
      <c r="BV8" t="s">
        <v>21</v>
      </c>
      <c r="BW8" s="1" t="s">
        <v>18</v>
      </c>
      <c r="BX8" t="s">
        <v>19</v>
      </c>
      <c r="BY8" t="s">
        <v>20</v>
      </c>
      <c r="BZ8" t="s">
        <v>22</v>
      </c>
      <c r="CB8" t="s">
        <v>18</v>
      </c>
      <c r="CC8" t="s">
        <v>19</v>
      </c>
      <c r="CD8" t="s">
        <v>20</v>
      </c>
      <c r="CE8" t="s">
        <v>19</v>
      </c>
      <c r="CF8" t="s">
        <v>21</v>
      </c>
      <c r="CG8" t="s">
        <v>21</v>
      </c>
      <c r="CH8" s="1" t="s">
        <v>18</v>
      </c>
      <c r="CI8" t="s">
        <v>19</v>
      </c>
      <c r="CJ8" t="s">
        <v>20</v>
      </c>
      <c r="CK8" t="s">
        <v>22</v>
      </c>
      <c r="CM8" t="s">
        <v>18</v>
      </c>
      <c r="CN8" t="s">
        <v>19</v>
      </c>
      <c r="CO8" t="s">
        <v>20</v>
      </c>
      <c r="CP8" t="s">
        <v>19</v>
      </c>
      <c r="CQ8" t="s">
        <v>21</v>
      </c>
      <c r="CR8" t="s">
        <v>21</v>
      </c>
      <c r="CS8" s="1" t="s">
        <v>18</v>
      </c>
      <c r="CT8" t="s">
        <v>19</v>
      </c>
      <c r="CU8" t="s">
        <v>20</v>
      </c>
      <c r="CV8" t="s">
        <v>22</v>
      </c>
      <c r="CX8" t="s">
        <v>18</v>
      </c>
      <c r="CY8" t="s">
        <v>19</v>
      </c>
      <c r="CZ8" t="s">
        <v>20</v>
      </c>
      <c r="DA8" t="s">
        <v>19</v>
      </c>
      <c r="DB8" t="s">
        <v>21</v>
      </c>
      <c r="DC8" t="s">
        <v>21</v>
      </c>
      <c r="DD8" s="1" t="s">
        <v>18</v>
      </c>
      <c r="DE8" t="s">
        <v>19</v>
      </c>
      <c r="DF8" t="s">
        <v>20</v>
      </c>
      <c r="DG8" t="s">
        <v>22</v>
      </c>
      <c r="DI8" t="s">
        <v>18</v>
      </c>
      <c r="DJ8" t="s">
        <v>19</v>
      </c>
      <c r="DK8" t="s">
        <v>20</v>
      </c>
      <c r="DL8" t="s">
        <v>19</v>
      </c>
      <c r="DM8" t="s">
        <v>21</v>
      </c>
      <c r="DN8" t="s">
        <v>23</v>
      </c>
      <c r="DO8" s="1" t="s">
        <v>18</v>
      </c>
      <c r="DP8" t="s">
        <v>19</v>
      </c>
      <c r="DQ8" t="s">
        <v>20</v>
      </c>
      <c r="DR8" t="s">
        <v>23</v>
      </c>
      <c r="DT8" t="inlineStr">
        <is>
          <t>Hosp:</t>
        </is>
      </c>
      <c r="DV8" t="s">
        <v>24</v>
      </c>
      <c r="DW8" t="s">
        <v>25</v>
      </c>
      <c r="DX8" s="8" t="s">
        <v>26</v>
      </c>
      <c r="DY8" t="s">
        <v>19</v>
      </c>
      <c r="DZ8" t="s">
        <v>27</v>
      </c>
      <c r="EA8" t="s">
        <v>28</v>
      </c>
      <c r="ES8" t="s">
        <v>24</v>
      </c>
      <c r="ET8" t="s">
        <v>25</v>
      </c>
      <c r="EU8" s="8" t="s">
        <v>26</v>
      </c>
      <c r="EV8" t="s">
        <v>19</v>
      </c>
      <c r="EX8" t="s">
        <v>27</v>
      </c>
      <c r="EY8" t="s">
        <v>28</v>
      </c>
      <c r="FU8" t="inlineStr">
        <is>
          <t>Signal A</t>
        </is>
      </c>
      <c r="FV8" t="inlineStr">
        <is>
          <t>Signal B</t>
        </is>
      </c>
      <c r="FW8" t="inlineStr">
        <is>
          <t>Signal C</t>
        </is>
      </c>
      <c r="FX8" t="inlineStr">
        <is>
          <t>Signal D</t>
        </is>
      </c>
      <c r="FY8" t="inlineStr">
        <is>
          <t>Signal E</t>
        </is>
      </c>
      <c r="GB8" t="s">
        <v>29</v>
      </c>
      <c r="GE8" s="4"/>
      <c r="GV8" t="s">
        <v>24</v>
      </c>
      <c r="GW8" t="s">
        <v>25</v>
      </c>
      <c r="GX8" s="8" t="s">
        <v>26</v>
      </c>
      <c r="GY8" t="s">
        <v>19</v>
      </c>
      <c r="GZ8" t="s">
        <v>27</v>
      </c>
      <c r="HA8" t="s">
        <v>28</v>
      </c>
      <c r="HW8" t="inlineStr">
        <is>
          <t>The four graphs below for Tolland County are current to 2 June 2020 dataset.</t>
        </is>
      </c>
      <c r="LM8" s="4"/>
    </row>
    <row r="9" spans="1:325" ht="20.25">
      <c r="A9" t="inlineStr">
        <is>
          <t>g</t>
        </is>
      </c>
      <c r="C9" s="1"/>
      <c r="H9" s="1"/>
      <c r="AD9" s="1"/>
      <c r="AE9" s="1"/>
      <c r="AO9" s="1"/>
      <c r="AP9" s="1"/>
      <c r="AZ9" s="1"/>
      <c r="BA9" s="1"/>
      <c r="BK9" s="1"/>
      <c r="BL9" s="1"/>
      <c r="BV9" s="1"/>
      <c r="BW9" s="1"/>
      <c r="CG9" s="1"/>
      <c r="CH9" s="1"/>
      <c r="CR9" s="1"/>
      <c r="CS9" s="1"/>
      <c r="DN9" s="1"/>
      <c r="DO9" s="1"/>
      <c r="DX9" s="8"/>
      <c r="EU9" s="8"/>
      <c r="GC9" s="1"/>
      <c r="GE9" s="4"/>
      <c r="GV9" s="9" t="inlineStr">
        <is>
          <t>Last update date</t>
        </is>
      </c>
      <c r="GW9" t="inlineStr">
        <is>
          <t>Town number</t>
        </is>
      </c>
      <c r="GX9" t="s">
        <v>25</v>
      </c>
      <c r="GY9" t="inlineStr">
        <is>
          <t>Total cases</t>
        </is>
      </c>
      <c r="GZ9" t="inlineStr">
        <is>
          <t>Confirmed cases</t>
        </is>
      </c>
      <c r="HA9" t="inlineStr">
        <is>
          <t>Probable cases</t>
        </is>
      </c>
      <c r="HB9" t="inlineStr">
        <is>
          <t>Case rate</t>
        </is>
      </c>
      <c r="HC9" t="inlineStr">
        <is>
          <t>Total deaths</t>
        </is>
      </c>
      <c r="HD9" t="inlineStr">
        <is>
          <t>Confirmed deaths</t>
        </is>
      </c>
      <c r="HE9" t="inlineStr">
        <is>
          <t>Probable deaths</t>
        </is>
      </c>
      <c r="HF9" t="inlineStr">
        <is>
          <t>People tested</t>
        </is>
      </c>
      <c r="HG9" t="inlineStr">
        <is>
          <t>Rate tested per 100k</t>
        </is>
      </c>
      <c r="HH9" t="inlineStr">
        <is>
          <t>Number of tests</t>
        </is>
      </c>
      <c r="HI9" t="inlineStr">
        <is>
          <t>Number of positives</t>
        </is>
      </c>
      <c r="HJ9" t="inlineStr">
        <is>
          <t>Number of negatives</t>
        </is>
      </c>
      <c r="HK9" t="inlineStr">
        <is>
          <t>Number of indeterminates</t>
        </is>
      </c>
      <c r="JZ9" t="inlineStr">
        <is>
          <t>Assuming something bad</t>
        </is>
      </c>
    </row>
    <row r="10" spans="1:325" ht="20.25">
      <c r="A10" t="inlineStr">
        <is>
          <t>h</t>
        </is>
      </c>
      <c r="C10" s="1">
        <v>1</v>
      </c>
      <c r="D10">
        <v>0</v>
      </c>
      <c r="E10" t="s">
        <v>30</v>
      </c>
      <c r="F10" s="10">
        <v>43898</v>
      </c>
      <c r="G10" s="2">
        <f>H10*15</f>
        <v>15</v>
      </c>
      <c r="H10">
        <f>H9+C10</f>
        <v>1</v>
      </c>
      <c r="I10">
        <v>1</v>
      </c>
      <c r="K10">
        <f>O10+Z10+AK10+AV10+BG10+BR10+CC10+CN10</f>
        <v>1</v>
      </c>
      <c r="O10">
        <f>O9+0</f>
        <v>0</v>
      </c>
      <c r="AB10" s="1"/>
      <c r="AM10" s="1"/>
      <c r="AU10" s="4">
        <f>AV10</f>
        <v>1</v>
      </c>
      <c r="AV10">
        <f>AV9+1</f>
        <v>1</v>
      </c>
      <c r="AX10" s="5">
        <f>AV10-AV9</f>
        <v>1</v>
      </c>
      <c r="BI10" s="1"/>
      <c r="CE10" s="1"/>
      <c r="CP10" s="1"/>
      <c r="DJ10">
        <f>O10+Z10+AK10+AV10+BG10+BR10+CC10+CN10</f>
        <v>1</v>
      </c>
      <c r="DL10" s="5">
        <f>DJ10-DJ9</f>
        <v>1</v>
      </c>
      <c r="DM10">
        <f>R10+AC10+AN10+AY10+BJ10+BU10+CF10+CQ10</f>
        <v>0</v>
      </c>
      <c r="DP10">
        <f>U10+AF10+AQ10+BB10+BM10+BX10+CI10+CT10</f>
        <v>0</v>
      </c>
      <c r="DV10">
        <v>1</v>
      </c>
      <c r="DW10" t="s">
        <v>31</v>
      </c>
      <c r="DX10" s="8">
        <v>43914</v>
      </c>
      <c r="DY10">
        <v>0</v>
      </c>
      <c r="EA10">
        <v>0</v>
      </c>
      <c r="EB10">
        <v>-5</v>
      </c>
      <c r="EI10">
        <v>52</v>
      </c>
      <c r="ES10" t="inlineStr">
        <is>
          <t>x</t>
        </is>
      </c>
      <c r="ET10" t="s">
        <v>32</v>
      </c>
      <c r="EU10" s="8">
        <v>43955</v>
      </c>
      <c r="EV10">
        <v>18</v>
      </c>
      <c r="EW10" s="11">
        <f>(EV10/$EV$37)</f>
        <v>0.016901408450704224</v>
      </c>
      <c r="EX10">
        <v>497</v>
      </c>
      <c r="EY10">
        <v>0</v>
      </c>
      <c r="EZ10">
        <v>-5</v>
      </c>
      <c r="GC10" s="1"/>
      <c r="GE10" s="4"/>
      <c r="GL10" t="s">
        <v>24</v>
      </c>
      <c r="GM10" t="s">
        <v>25</v>
      </c>
      <c r="GN10" s="8" t="s">
        <v>26</v>
      </c>
      <c r="GO10" t="s">
        <v>19</v>
      </c>
      <c r="GP10" t="s">
        <v>27</v>
      </c>
      <c r="GQ10" t="s">
        <v>28</v>
      </c>
      <c r="GV10" s="8">
        <v>43914</v>
      </c>
      <c r="GW10">
        <v>1</v>
      </c>
      <c r="GX10" t="s">
        <v>31</v>
      </c>
      <c r="GY10">
        <v>0</v>
      </c>
      <c r="HC10">
        <v>0</v>
      </c>
      <c r="JZ10" t="inlineStr">
        <is>
          <t>happens when there's data</t>
        </is>
      </c>
    </row>
    <row r="11" spans="1:325" ht="20.25">
      <c r="A11" t="inlineStr">
        <is>
          <t>i</t>
        </is>
      </c>
      <c r="C11">
        <f>H10*D11</f>
        <v>1</v>
      </c>
      <c r="D11">
        <v>1</v>
      </c>
      <c r="E11" t="s">
        <v>33</v>
      </c>
      <c r="F11" s="10">
        <v>43899</v>
      </c>
      <c r="G11" s="2">
        <f>H11*15</f>
        <v>30</v>
      </c>
      <c r="H11">
        <f>H10+C11</f>
        <v>2</v>
      </c>
      <c r="I11">
        <v>2</v>
      </c>
      <c r="J11">
        <v>583</v>
      </c>
      <c r="K11">
        <f>O11+Z11+AK11+AV11+BG11+BR11+CC11+CN11</f>
        <v>2</v>
      </c>
      <c r="L11" s="3">
        <f>(K11/K10)-1</f>
        <v>1</v>
      </c>
      <c r="O11">
        <f>O10+1</f>
        <v>1</v>
      </c>
      <c r="Q11" s="5">
        <f>O11-O10</f>
        <v>1</v>
      </c>
      <c r="AU11" s="4">
        <f>AV11</f>
        <v>1</v>
      </c>
      <c r="AV11">
        <f>AV10+0</f>
        <v>1</v>
      </c>
      <c r="AX11" s="5">
        <f>AV11-AV10</f>
        <v>0</v>
      </c>
      <c r="DJ11">
        <f>O11+Z11+AK11+AV11+BG11+BR11+CC11+CN11</f>
        <v>2</v>
      </c>
      <c r="DL11" s="5">
        <f>DJ11-DJ10</f>
        <v>1</v>
      </c>
      <c r="DM11">
        <f>R11+AC11+AN11+AY11+BJ11+BU11+CF11+CQ11</f>
        <v>0</v>
      </c>
      <c r="DP11">
        <f>U11+AF11+AQ11+BB11+BM11+BX11+CI11+CT11</f>
        <v>0</v>
      </c>
      <c r="DV11">
        <v>1</v>
      </c>
      <c r="DW11" t="s">
        <v>31</v>
      </c>
      <c r="DX11" s="8">
        <v>43915</v>
      </c>
      <c r="DY11">
        <v>0</v>
      </c>
      <c r="EA11">
        <v>0</v>
      </c>
      <c r="EB11">
        <v>-4</v>
      </c>
      <c r="ET11" t="inlineStr">
        <is>
          <t>Bethlehem</t>
        </is>
      </c>
      <c r="EU11" s="8">
        <v>43955</v>
      </c>
      <c r="EV11">
        <v>10</v>
      </c>
      <c r="EW11" s="11">
        <f>(EV11/$EV$37)</f>
        <v>0.0093896713615023476</v>
      </c>
      <c r="EX11">
        <v>292</v>
      </c>
      <c r="EY11">
        <v>1</v>
      </c>
      <c r="FU11">
        <v>25</v>
      </c>
      <c r="FV11">
        <v>10</v>
      </c>
      <c r="FW11">
        <v>90</v>
      </c>
      <c r="GV11" s="8">
        <v>43915</v>
      </c>
      <c r="GW11">
        <v>1</v>
      </c>
      <c r="GX11" t="s">
        <v>31</v>
      </c>
      <c r="GY11">
        <v>0</v>
      </c>
      <c r="HC11">
        <v>0</v>
      </c>
      <c r="JZ11" t="inlineStr">
        <is>
          <t>there and a new column</t>
        </is>
      </c>
    </row>
    <row r="12" spans="1:325" ht="20.25">
      <c r="C12">
        <f>H11*D12</f>
        <v>0</v>
      </c>
      <c r="D12">
        <v>0</v>
      </c>
      <c r="E12" t="s">
        <v>34</v>
      </c>
      <c r="F12" s="10">
        <v>43900</v>
      </c>
      <c r="G12" s="2">
        <f>H12*15</f>
        <v>30</v>
      </c>
      <c r="H12">
        <f>H11+C12</f>
        <v>2</v>
      </c>
      <c r="I12">
        <v>2</v>
      </c>
      <c r="J12">
        <v>959</v>
      </c>
      <c r="K12">
        <f>O12+Z12+AK12+AV12+BG12+BR12+CC12+CN12</f>
        <v>2</v>
      </c>
      <c r="L12" s="3">
        <f>(K12/K11)-1</f>
        <v>0</v>
      </c>
      <c r="O12">
        <f>O11+0</f>
        <v>1</v>
      </c>
      <c r="Q12" s="5">
        <f>O12-O11</f>
        <v>0</v>
      </c>
      <c r="AU12" s="4">
        <f>AV12</f>
        <v>1</v>
      </c>
      <c r="AV12">
        <f>AV11+0</f>
        <v>1</v>
      </c>
      <c r="AX12" s="5">
        <f>AV12-AV11</f>
        <v>0</v>
      </c>
      <c r="DJ12">
        <f>O12+Z12+AK12+AV12+BG12+BR12+CC12+CN12</f>
        <v>2</v>
      </c>
      <c r="DL12" s="5">
        <f>DJ12-DJ11</f>
        <v>0</v>
      </c>
      <c r="DM12">
        <f>R12+AC12+AN12+AY12+BJ12+BU12+CF12+CQ12</f>
        <v>0</v>
      </c>
      <c r="DP12">
        <f>U12+AF12+AQ12+BB12+BM12+BX12+CI12+CT12</f>
        <v>0</v>
      </c>
      <c r="DV12">
        <v>1</v>
      </c>
      <c r="DW12" t="s">
        <v>31</v>
      </c>
      <c r="DX12" s="8">
        <v>43916</v>
      </c>
      <c r="DY12">
        <v>0</v>
      </c>
      <c r="EA12">
        <v>0</v>
      </c>
      <c r="EB12">
        <v>-3</v>
      </c>
      <c r="EG12" t="s">
        <v>31</v>
      </c>
      <c r="EH12">
        <v>8</v>
      </c>
      <c r="EI12">
        <f>EH12+$EI$10</f>
        <v>60</v>
      </c>
      <c r="ET12" t="inlineStr">
        <is>
          <t>Bridgewater</t>
        </is>
      </c>
      <c r="EU12" s="8">
        <v>43955</v>
      </c>
      <c r="EV12">
        <v>4</v>
      </c>
      <c r="EW12" s="11">
        <f>(EV12/$EV$37)</f>
        <v>0.0037558685446009389</v>
      </c>
      <c r="EX12">
        <v>244</v>
      </c>
      <c r="EY12">
        <v>0</v>
      </c>
      <c r="FU12">
        <v>50</v>
      </c>
      <c r="FV12">
        <v>50</v>
      </c>
      <c r="FW12">
        <v>190</v>
      </c>
      <c r="GA12" s="10">
        <v>43852</v>
      </c>
      <c r="GB12">
        <v>1</v>
      </c>
      <c r="GE12" s="2"/>
      <c r="GF12" s="2"/>
      <c r="GJ12" s="2"/>
      <c r="GK12" s="2"/>
      <c r="GL12">
        <v>1</v>
      </c>
      <c r="GM12" t="s">
        <v>31</v>
      </c>
      <c r="GN12" s="8">
        <v>43956</v>
      </c>
      <c r="GO12">
        <v>6</v>
      </c>
      <c r="GP12">
        <v>186</v>
      </c>
      <c r="GQ12">
        <v>0</v>
      </c>
      <c r="GU12" s="2"/>
      <c r="GV12" s="8">
        <v>43916</v>
      </c>
      <c r="GW12">
        <v>1</v>
      </c>
      <c r="GX12" t="s">
        <v>31</v>
      </c>
      <c r="GY12">
        <v>0</v>
      </c>
      <c r="HC12">
        <v>0</v>
      </c>
      <c r="HS12" s="2"/>
      <c r="HT12" s="2"/>
      <c r="JZ12" t="inlineStr">
        <is>
          <t>gets inserted, anyway. ;)</t>
        </is>
      </c>
    </row>
    <row r="13" spans="1:325" ht="20.25">
      <c r="C13">
        <f>H12*D13</f>
        <v>1</v>
      </c>
      <c r="D13">
        <v>0.5</v>
      </c>
      <c r="E13" t="s">
        <v>35</v>
      </c>
      <c r="F13" s="10">
        <v>43901</v>
      </c>
      <c r="G13" s="2">
        <f>H13*15</f>
        <v>45</v>
      </c>
      <c r="H13">
        <f>H12+C13</f>
        <v>3</v>
      </c>
      <c r="I13">
        <v>3</v>
      </c>
      <c r="J13">
        <v>1281</v>
      </c>
      <c r="K13">
        <f>O13+Z13+AK13+AV13+BG13+BR13+CC13+CN13</f>
        <v>3</v>
      </c>
      <c r="L13" s="3">
        <f>(K13/K12)-1</f>
        <v>0.5</v>
      </c>
      <c r="O13">
        <f>O12+0</f>
        <v>1</v>
      </c>
      <c r="Q13" s="5">
        <f>O13-O12</f>
        <v>0</v>
      </c>
      <c r="AU13" s="4">
        <f>AV13</f>
        <v>2</v>
      </c>
      <c r="AV13">
        <f>AV12+1</f>
        <v>2</v>
      </c>
      <c r="AX13" s="5">
        <f>AV13-AV12</f>
        <v>1</v>
      </c>
      <c r="DJ13">
        <f>O13+Z13+AK13+AV13+BG13+BR13+CC13+CN13</f>
        <v>3</v>
      </c>
      <c r="DL13" s="5">
        <f>DJ13-DJ12</f>
        <v>1</v>
      </c>
      <c r="DM13">
        <f>R13+AC13+AN13+AY13+BJ13+BU13+CF13+CQ13</f>
        <v>0</v>
      </c>
      <c r="DP13">
        <f>U13+AF13+AQ13+BB13+BM13+BX13+CI13+CT13</f>
        <v>0</v>
      </c>
      <c r="DV13">
        <v>1</v>
      </c>
      <c r="DW13" t="s">
        <v>31</v>
      </c>
      <c r="DX13" s="8">
        <v>43917</v>
      </c>
      <c r="DY13">
        <v>0</v>
      </c>
      <c r="EA13">
        <v>0</v>
      </c>
      <c r="EB13">
        <v>-2</v>
      </c>
      <c r="EG13" t="s">
        <v>36</v>
      </c>
      <c r="EH13">
        <f>EH12+$EI$10+1</f>
        <v>61</v>
      </c>
      <c r="EI13">
        <f>EH13+$EI$10</f>
        <v>113</v>
      </c>
      <c r="ET13" t="inlineStr">
        <is>
          <t>Canaan</t>
        </is>
      </c>
      <c r="EU13" s="8">
        <v>43955</v>
      </c>
      <c r="EV13">
        <v>0</v>
      </c>
      <c r="EW13" s="11">
        <f>(EV13/$EV$37)</f>
        <v>0</v>
      </c>
      <c r="EX13">
        <v>0</v>
      </c>
      <c r="EY13">
        <v>0</v>
      </c>
      <c r="FU13">
        <v>100</v>
      </c>
      <c r="FV13">
        <v>100</v>
      </c>
      <c r="FW13">
        <v>90</v>
      </c>
      <c r="GA13" s="10">
        <v>43853</v>
      </c>
      <c r="GB13">
        <v>1</v>
      </c>
      <c r="GC13">
        <f>(GB13/GB12)-1</f>
        <v>0</v>
      </c>
      <c r="GE13" s="4">
        <v>2094058</v>
      </c>
      <c r="GF13" s="4">
        <v>2114026</v>
      </c>
      <c r="GG13" s="4"/>
      <c r="GH13" s="4"/>
      <c r="GL13">
        <v>1</v>
      </c>
      <c r="GM13" t="s">
        <v>31</v>
      </c>
      <c r="GN13" s="8">
        <v>43957</v>
      </c>
      <c r="GO13">
        <v>6</v>
      </c>
      <c r="GP13">
        <v>186</v>
      </c>
      <c r="GQ13">
        <v>0</v>
      </c>
      <c r="GV13" s="8">
        <v>43917</v>
      </c>
      <c r="GW13">
        <v>1</v>
      </c>
      <c r="GX13" t="s">
        <v>31</v>
      </c>
      <c r="GY13">
        <v>0</v>
      </c>
      <c r="HC13">
        <v>0</v>
      </c>
    </row>
    <row r="14" spans="1:325" ht="20.25">
      <c r="C14">
        <f>H13*D14</f>
        <v>3</v>
      </c>
      <c r="D14">
        <v>1</v>
      </c>
      <c r="E14" t="s">
        <v>37</v>
      </c>
      <c r="F14" s="10">
        <v>43902</v>
      </c>
      <c r="G14" s="2">
        <f>H14*15</f>
        <v>90</v>
      </c>
      <c r="H14">
        <f>H13+C14</f>
        <v>6</v>
      </c>
      <c r="I14">
        <v>6</v>
      </c>
      <c r="J14">
        <v>1663</v>
      </c>
      <c r="K14">
        <f>O14+Z14+AK14+AV14+BG14+BR14+CC14+CN14</f>
        <v>6</v>
      </c>
      <c r="L14" s="3">
        <f>(K14/K13)-1</f>
        <v>1</v>
      </c>
      <c r="O14">
        <f>O13+0</f>
        <v>1</v>
      </c>
      <c r="Q14" s="5">
        <f>O14-O13</f>
        <v>0</v>
      </c>
      <c r="AU14" s="4">
        <f>AV14</f>
        <v>5</v>
      </c>
      <c r="AV14">
        <f>AV13+3</f>
        <v>5</v>
      </c>
      <c r="AX14" s="5">
        <f>AV14-AV13</f>
        <v>3</v>
      </c>
      <c r="DJ14">
        <f>O14+Z14+AK14+AV14+BG14+BR14+CC14+CN14</f>
        <v>6</v>
      </c>
      <c r="DL14" s="5">
        <f>DJ14-DJ13</f>
        <v>3</v>
      </c>
      <c r="DM14">
        <f>R14+AC14+AN14+AY14+BJ14+BU14+CF14+CQ14</f>
        <v>0</v>
      </c>
      <c r="DP14">
        <f>U14+AF14+AQ14+BB14+BM14+BX14+CI14+CT14</f>
        <v>0</v>
      </c>
      <c r="DV14">
        <v>1</v>
      </c>
      <c r="DW14" t="s">
        <v>31</v>
      </c>
      <c r="DX14" s="8">
        <v>43918</v>
      </c>
      <c r="DY14">
        <v>0</v>
      </c>
      <c r="EA14">
        <v>0</v>
      </c>
      <c r="EB14">
        <v>-1</v>
      </c>
      <c r="EG14" t="s">
        <v>32</v>
      </c>
      <c r="EH14">
        <f>EH13+$EI$10+1</f>
        <v>114</v>
      </c>
      <c r="EI14">
        <f>EH14+$EI$10</f>
        <v>166</v>
      </c>
      <c r="ET14" t="inlineStr">
        <is>
          <t>Colebrook</t>
        </is>
      </c>
      <c r="EU14" s="8">
        <v>43955</v>
      </c>
      <c r="EV14">
        <v>2</v>
      </c>
      <c r="EW14" s="11">
        <f>(EV14/$EV$37)</f>
        <v>0.0018779342723004694</v>
      </c>
      <c r="EX14">
        <v>142</v>
      </c>
      <c r="EY14">
        <v>0</v>
      </c>
      <c r="FU14">
        <v>100</v>
      </c>
      <c r="FV14">
        <v>100</v>
      </c>
      <c r="FW14">
        <v>290</v>
      </c>
      <c r="GA14" s="10">
        <v>43854</v>
      </c>
      <c r="GB14">
        <v>2</v>
      </c>
      <c r="GC14">
        <f>(GB14/GB13)-1</f>
        <v>1</v>
      </c>
      <c r="GH14" s="2"/>
      <c r="GI14" s="2"/>
      <c r="GJ14" s="2"/>
      <c r="GK14" s="2"/>
      <c r="GL14">
        <v>1</v>
      </c>
      <c r="GM14" t="s">
        <v>31</v>
      </c>
      <c r="GN14" s="8">
        <v>43958</v>
      </c>
      <c r="GO14">
        <v>6</v>
      </c>
      <c r="GP14">
        <v>186</v>
      </c>
      <c r="GQ14">
        <v>0</v>
      </c>
      <c r="GU14" s="2"/>
      <c r="GV14" s="8">
        <v>43918</v>
      </c>
      <c r="GW14">
        <v>1</v>
      </c>
      <c r="GX14" t="s">
        <v>31</v>
      </c>
      <c r="GY14">
        <v>0</v>
      </c>
      <c r="HC14">
        <v>0</v>
      </c>
      <c r="HS14" s="2"/>
      <c r="HT14" s="2"/>
    </row>
    <row r="15" spans="1:325" ht="20.25">
      <c r="C15">
        <f>H14*D15</f>
        <v>4.9999999999979998</v>
      </c>
      <c r="D15">
        <v>0.83333333333299997</v>
      </c>
      <c r="E15" t="s">
        <v>38</v>
      </c>
      <c r="F15" s="10">
        <v>43903</v>
      </c>
      <c r="G15" s="2">
        <f>H15*15</f>
        <v>164.99999999996999</v>
      </c>
      <c r="H15">
        <f>H14+C15</f>
        <v>10.999999999998</v>
      </c>
      <c r="I15">
        <v>11</v>
      </c>
      <c r="J15">
        <v>2179</v>
      </c>
      <c r="K15">
        <f>O15+Z15+AK15+AV15+BG15+BR15+CC15+CN15</f>
        <v>11</v>
      </c>
      <c r="L15" s="3">
        <f>(K15/K14)-1</f>
        <v>0.83333333333333326</v>
      </c>
      <c r="O15">
        <f>O14+2</f>
        <v>3</v>
      </c>
      <c r="Q15" s="5">
        <f>O15-O14</f>
        <v>2</v>
      </c>
      <c r="S15" s="1"/>
      <c r="T15" s="1"/>
      <c r="AU15" s="4">
        <f>AV15</f>
        <v>8</v>
      </c>
      <c r="AV15">
        <v>8</v>
      </c>
      <c r="AX15" s="5">
        <f>AV15-AV14</f>
        <v>3</v>
      </c>
      <c r="DJ15">
        <f>O15+Z15+AK15+AV15+BG15+BR15+CC15+CN15</f>
        <v>11</v>
      </c>
      <c r="DL15" s="5">
        <f>DJ15-DJ14</f>
        <v>5</v>
      </c>
      <c r="DM15">
        <f>R15+AC15+AN15+AY15+BJ15+BU15+CF15+CQ15</f>
        <v>0</v>
      </c>
      <c r="DP15">
        <f>U15+AF15+AQ15+BB15+BM15+BX15+CI15+CT15</f>
        <v>0</v>
      </c>
      <c r="DV15">
        <v>1</v>
      </c>
      <c r="DW15" t="s">
        <v>31</v>
      </c>
      <c r="DX15" s="8">
        <v>43919</v>
      </c>
      <c r="DY15">
        <v>0</v>
      </c>
      <c r="EA15">
        <v>0</v>
      </c>
      <c r="EB15">
        <v>0</v>
      </c>
      <c r="EG15" t="s">
        <v>39</v>
      </c>
      <c r="EH15">
        <f>EH14+$EI$10+1</f>
        <v>167</v>
      </c>
      <c r="EI15">
        <f>EH15+$EI$10</f>
        <v>219</v>
      </c>
      <c r="ET15" t="inlineStr">
        <is>
          <t>Cornwall</t>
        </is>
      </c>
      <c r="EU15" s="8">
        <v>43955</v>
      </c>
      <c r="EV15">
        <v>3</v>
      </c>
      <c r="EW15" s="11">
        <f>(EV15/$EV$37)</f>
        <v>0.0028169014084507044</v>
      </c>
      <c r="EX15">
        <v>219</v>
      </c>
      <c r="EY15">
        <v>0</v>
      </c>
      <c r="FU15">
        <v>100</v>
      </c>
      <c r="FV15">
        <v>100</v>
      </c>
      <c r="FW15">
        <v>90</v>
      </c>
      <c r="GA15" s="10">
        <v>43855</v>
      </c>
      <c r="GB15">
        <v>2</v>
      </c>
      <c r="GC15">
        <f>(GB15/GB14)-1</f>
        <v>0</v>
      </c>
      <c r="GE15">
        <v>2094058</v>
      </c>
      <c r="GF15">
        <v>2114026</v>
      </c>
      <c r="GG15">
        <v>2137731</v>
      </c>
      <c r="GH15" s="2"/>
      <c r="GL15">
        <v>1</v>
      </c>
      <c r="GM15" t="s">
        <v>31</v>
      </c>
      <c r="GN15" s="8">
        <v>43959</v>
      </c>
      <c r="GO15">
        <v>6</v>
      </c>
      <c r="GP15">
        <v>186</v>
      </c>
      <c r="GQ15">
        <v>0</v>
      </c>
      <c r="GV15" s="8">
        <v>43919</v>
      </c>
      <c r="GW15">
        <v>1</v>
      </c>
      <c r="GX15" t="s">
        <v>31</v>
      </c>
      <c r="GY15">
        <v>0</v>
      </c>
      <c r="HC15">
        <v>0</v>
      </c>
      <c r="HS15" s="2"/>
      <c r="HT15" s="2"/>
    </row>
    <row r="16" spans="1:325" ht="20.25">
      <c r="C16">
        <f>H15*D16</f>
        <v>9.0000000000003624</v>
      </c>
      <c r="D16">
        <v>0.81818181818199998</v>
      </c>
      <c r="E16" t="s">
        <v>40</v>
      </c>
      <c r="F16" s="10">
        <v>43904</v>
      </c>
      <c r="G16" s="2">
        <f>H16*15</f>
        <v>299.99999999997544</v>
      </c>
      <c r="H16">
        <f>H15+C16</f>
        <v>19.999999999998362</v>
      </c>
      <c r="I16">
        <v>20</v>
      </c>
      <c r="J16">
        <v>2727</v>
      </c>
      <c r="K16">
        <f>O16+Z16+AK16+AV16+BG16+BR16+CC16+CN16</f>
        <v>20</v>
      </c>
      <c r="L16" s="3">
        <f>(K16/K15)-1</f>
        <v>0.81818181818181812</v>
      </c>
      <c r="O16">
        <f>O15+0</f>
        <v>3</v>
      </c>
      <c r="Q16" s="5">
        <f>O16-O15</f>
        <v>0</v>
      </c>
      <c r="Z16">
        <f>Z15+1</f>
        <v>1</v>
      </c>
      <c r="AB16" s="5">
        <f>Z16-Z15</f>
        <v>1</v>
      </c>
      <c r="AK16">
        <f>AK15+1</f>
        <v>1</v>
      </c>
      <c r="AM16" s="5">
        <f>AK16-AK15</f>
        <v>1</v>
      </c>
      <c r="AU16" s="4">
        <f>AV16</f>
        <v>15</v>
      </c>
      <c r="AV16">
        <f>AV15+7</f>
        <v>15</v>
      </c>
      <c r="AX16" s="5">
        <f>AV16-AV15</f>
        <v>7</v>
      </c>
      <c r="DJ16">
        <f>O16+Z16+AK16+AV16+BG16+BR16+CC16+CN16</f>
        <v>20</v>
      </c>
      <c r="DL16" s="5">
        <f>DJ16-DJ15</f>
        <v>9</v>
      </c>
      <c r="DM16">
        <f>R16+AC16+AN16+AY16+BJ16+BU16+CF16+CQ16</f>
        <v>0</v>
      </c>
      <c r="DP16">
        <f>U16+AF16+AQ16+BB16+BM16+BX16+CI16+CT16</f>
        <v>0</v>
      </c>
      <c r="DT16" s="1"/>
      <c r="DV16">
        <v>1</v>
      </c>
      <c r="DW16" t="s">
        <v>31</v>
      </c>
      <c r="DX16" s="8">
        <v>43920</v>
      </c>
      <c r="DY16">
        <v>0</v>
      </c>
      <c r="EA16">
        <v>0</v>
      </c>
      <c r="EB16">
        <v>1</v>
      </c>
      <c r="EG16" t="s">
        <v>41</v>
      </c>
      <c r="EH16">
        <f>EH15+$EI$10+1</f>
        <v>220</v>
      </c>
      <c r="EI16">
        <f>EH16+$EI$10</f>
        <v>272</v>
      </c>
      <c r="ET16" t="s">
        <v>42</v>
      </c>
      <c r="EU16" s="8">
        <v>43955</v>
      </c>
      <c r="EV16">
        <v>8</v>
      </c>
      <c r="EW16" s="11">
        <f>(EV16/$EV$37)</f>
        <v>0.0075117370892018778</v>
      </c>
      <c r="EX16">
        <v>278</v>
      </c>
      <c r="EY16">
        <v>0</v>
      </c>
      <c r="FU16">
        <v>100</v>
      </c>
      <c r="FV16">
        <v>100</v>
      </c>
      <c r="FW16">
        <v>390</v>
      </c>
      <c r="GA16" s="10">
        <v>43856</v>
      </c>
      <c r="GB16">
        <v>5</v>
      </c>
      <c r="GC16">
        <f>(GB16/GB15)-1</f>
        <v>1.5</v>
      </c>
      <c r="GF16" s="2"/>
      <c r="GG16" s="2"/>
      <c r="GH16" s="2"/>
      <c r="GI16" s="2"/>
      <c r="GJ16" s="2"/>
      <c r="GK16" s="2"/>
      <c r="GL16">
        <v>1</v>
      </c>
      <c r="GM16" t="s">
        <v>31</v>
      </c>
      <c r="GN16" s="8">
        <v>43960</v>
      </c>
      <c r="GO16">
        <v>6</v>
      </c>
      <c r="GP16">
        <v>186</v>
      </c>
      <c r="GQ16">
        <v>0</v>
      </c>
      <c r="GU16" s="2"/>
      <c r="GV16" s="8">
        <v>43920</v>
      </c>
      <c r="GW16">
        <v>1</v>
      </c>
      <c r="GX16" t="s">
        <v>31</v>
      </c>
      <c r="GY16">
        <v>0</v>
      </c>
      <c r="HC16">
        <v>0</v>
      </c>
      <c r="HS16" s="2"/>
      <c r="HT16" s="2"/>
    </row>
    <row r="17" spans="1:325" ht="20.25">
      <c r="C17">
        <f>H16*D17</f>
        <v>5.9999999999995088</v>
      </c>
      <c r="D17">
        <v>0.29999999999999999</v>
      </c>
      <c r="E17" t="s">
        <v>30</v>
      </c>
      <c r="F17" s="10">
        <v>43905</v>
      </c>
      <c r="G17" s="2">
        <f>H17*15</f>
        <v>389.99999999996805</v>
      </c>
      <c r="H17">
        <f>H16+C17</f>
        <v>25.999999999997872</v>
      </c>
      <c r="I17">
        <v>26</v>
      </c>
      <c r="J17">
        <v>3499</v>
      </c>
      <c r="K17">
        <f>O17+Z17+AK17+AV17+BG17+BR17+CC17+CN17</f>
        <v>26</v>
      </c>
      <c r="L17" s="3">
        <f>(K17/K16)-1</f>
        <v>0.30000000000000004</v>
      </c>
      <c r="O17">
        <f>O16+1</f>
        <v>4</v>
      </c>
      <c r="Q17" s="5">
        <f>O17-O16</f>
        <v>1</v>
      </c>
      <c r="Z17">
        <f>Z16+2</f>
        <v>3</v>
      </c>
      <c r="AB17" s="5">
        <f>Z17-Z16</f>
        <v>2</v>
      </c>
      <c r="AK17">
        <f>AK16+2</f>
        <v>3</v>
      </c>
      <c r="AM17" s="5">
        <f>AK17-AK16</f>
        <v>2</v>
      </c>
      <c r="AU17" s="4">
        <f>AV17</f>
        <v>16</v>
      </c>
      <c r="AV17">
        <f>AV16+1</f>
        <v>16</v>
      </c>
      <c r="AX17" s="5">
        <f>AV17-AV16</f>
        <v>1</v>
      </c>
      <c r="DJ17">
        <f>O17+Z17+AK17+AV17+BG17+BR17+CC17+CN17</f>
        <v>26</v>
      </c>
      <c r="DL17" s="5">
        <f>DJ17-DJ16</f>
        <v>6</v>
      </c>
      <c r="DM17">
        <f>R17+AC17+AN17+AY17+BJ17+BU17+CF17+CQ17</f>
        <v>0</v>
      </c>
      <c r="DP17">
        <f>U17+AF17+AQ17+BB17+BM17+BX17+CI17+CT17</f>
        <v>0</v>
      </c>
      <c r="DV17">
        <v>1</v>
      </c>
      <c r="DW17" t="s">
        <v>31</v>
      </c>
      <c r="DX17" s="8">
        <v>43921</v>
      </c>
      <c r="DY17">
        <v>0</v>
      </c>
      <c r="EA17">
        <v>0</v>
      </c>
      <c r="EB17">
        <v>2</v>
      </c>
      <c r="EG17" t="s">
        <v>43</v>
      </c>
      <c r="EH17">
        <f>EH16+$EI$10+1</f>
        <v>273</v>
      </c>
      <c r="EI17">
        <f>EH17+$EI$10</f>
        <v>325</v>
      </c>
      <c r="ET17" t="s">
        <v>44</v>
      </c>
      <c r="EU17" s="8">
        <v>43955</v>
      </c>
      <c r="EV17">
        <v>26</v>
      </c>
      <c r="EW17" s="11">
        <f>(EV17/$EV$37)</f>
        <v>0.024413145539906103</v>
      </c>
      <c r="EX17">
        <v>479</v>
      </c>
      <c r="EY17">
        <v>2</v>
      </c>
      <c r="FU17">
        <v>25</v>
      </c>
      <c r="FV17">
        <v>25</v>
      </c>
      <c r="FW17">
        <v>90</v>
      </c>
      <c r="GA17" s="10">
        <v>43857</v>
      </c>
      <c r="GB17">
        <v>5</v>
      </c>
      <c r="GC17">
        <f>(GB17/GB16)-1</f>
        <v>0</v>
      </c>
      <c r="GE17" s="4">
        <v>2094058</v>
      </c>
      <c r="GF17" s="2"/>
      <c r="GG17" s="2"/>
      <c r="GH17" s="2"/>
      <c r="GI17" s="2"/>
      <c r="GJ17" s="2"/>
      <c r="GK17" s="2"/>
      <c r="GL17">
        <v>1</v>
      </c>
      <c r="GM17" t="s">
        <v>31</v>
      </c>
      <c r="GN17" s="8">
        <v>43961</v>
      </c>
      <c r="GO17">
        <v>6</v>
      </c>
      <c r="GP17">
        <v>186</v>
      </c>
      <c r="GQ17">
        <v>0</v>
      </c>
      <c r="GU17" s="2"/>
      <c r="GV17" s="8">
        <v>43921</v>
      </c>
      <c r="GW17">
        <v>1</v>
      </c>
      <c r="GX17" t="s">
        <v>31</v>
      </c>
      <c r="GY17">
        <v>0</v>
      </c>
      <c r="HC17">
        <v>0</v>
      </c>
      <c r="HS17" s="2"/>
      <c r="HT17" s="2"/>
    </row>
    <row r="18" spans="1:325" ht="20.25">
      <c r="C18">
        <f>H17*D18</f>
        <v>14.999999999996774</v>
      </c>
      <c r="D18">
        <v>0.57692307692300004</v>
      </c>
      <c r="E18" t="s">
        <v>33</v>
      </c>
      <c r="F18" s="10">
        <v>43906</v>
      </c>
      <c r="G18" s="2">
        <f>H18*15</f>
        <v>614.99999999991962</v>
      </c>
      <c r="H18">
        <f>H17+C18</f>
        <v>40.999999999994643</v>
      </c>
      <c r="I18">
        <v>41</v>
      </c>
      <c r="J18">
        <v>4632</v>
      </c>
      <c r="K18">
        <f>O18+Z18+AK18+AV18+BG18+BR18+CC18+CN18</f>
        <v>41</v>
      </c>
      <c r="L18" s="3">
        <f>(K18/K17)-1</f>
        <v>0.57692307692307687</v>
      </c>
      <c r="O18">
        <f>O17+0</f>
        <v>4</v>
      </c>
      <c r="Q18" s="5">
        <f>O18-O17</f>
        <v>0</v>
      </c>
      <c r="Z18">
        <f>Z17+1</f>
        <v>4</v>
      </c>
      <c r="AB18" s="5">
        <f>Z18-Z17</f>
        <v>1</v>
      </c>
      <c r="AK18">
        <f>AK17+1</f>
        <v>4</v>
      </c>
      <c r="AM18" s="5">
        <f>AK18-AK17</f>
        <v>1</v>
      </c>
      <c r="AU18" s="4">
        <f>AV18</f>
        <v>29</v>
      </c>
      <c r="AV18">
        <f>AV17+13</f>
        <v>29</v>
      </c>
      <c r="AX18" s="5">
        <f>AV18-AV17</f>
        <v>13</v>
      </c>
      <c r="DJ18">
        <f>O18+Z18+AK18+AV18+BG18+BR18+CC18+CN18</f>
        <v>41</v>
      </c>
      <c r="DL18" s="5">
        <f>DJ18-DJ17</f>
        <v>15</v>
      </c>
      <c r="DM18">
        <f>R18+AC18+AN18+AY18+BJ18+BU18+CF18+CQ18</f>
        <v>0</v>
      </c>
      <c r="DP18">
        <f>U18+AF18+AQ18+BB18+BM18+BX18+CI18+CT18</f>
        <v>0</v>
      </c>
      <c r="DV18">
        <v>1</v>
      </c>
      <c r="DW18" t="s">
        <v>31</v>
      </c>
      <c r="DX18" s="8">
        <v>43922</v>
      </c>
      <c r="DY18">
        <v>0</v>
      </c>
      <c r="EA18">
        <v>0</v>
      </c>
      <c r="EB18">
        <v>3</v>
      </c>
      <c r="EG18" t="s">
        <v>45</v>
      </c>
      <c r="EH18">
        <f>EH17+$EI$10+1</f>
        <v>326</v>
      </c>
      <c r="EI18">
        <f>EH18+$EI$10</f>
        <v>378</v>
      </c>
      <c r="ET18" t="inlineStr">
        <is>
          <t>Kent</t>
        </is>
      </c>
      <c r="EU18" s="8">
        <v>43955</v>
      </c>
      <c r="EV18">
        <v>7</v>
      </c>
      <c r="EW18" s="11">
        <f>(EV18/$EV$37)</f>
        <v>0.0065727699530516428</v>
      </c>
      <c r="EX18">
        <v>251</v>
      </c>
      <c r="EY18">
        <v>0</v>
      </c>
      <c r="FU18">
        <v>100</v>
      </c>
      <c r="FV18">
        <v>100</v>
      </c>
      <c r="FW18">
        <v>490</v>
      </c>
      <c r="GA18" s="10">
        <v>43858</v>
      </c>
      <c r="GB18">
        <v>5</v>
      </c>
      <c r="GC18">
        <f>(GB18/GB17)-1</f>
        <v>0</v>
      </c>
      <c r="GE18" s="4">
        <v>2114026</v>
      </c>
      <c r="GL18">
        <v>1</v>
      </c>
      <c r="GM18" t="s">
        <v>31</v>
      </c>
      <c r="GN18" s="8">
        <v>43962</v>
      </c>
      <c r="GO18">
        <v>7</v>
      </c>
      <c r="GP18">
        <v>217</v>
      </c>
      <c r="GQ18">
        <v>0</v>
      </c>
      <c r="GV18" s="8">
        <v>43922</v>
      </c>
      <c r="GW18">
        <v>1</v>
      </c>
      <c r="GX18" t="s">
        <v>31</v>
      </c>
      <c r="GY18">
        <v>0</v>
      </c>
      <c r="HC18">
        <v>0</v>
      </c>
    </row>
    <row r="19" spans="1:325" ht="20.25">
      <c r="C19">
        <f>H18*D19</f>
        <v>27.000000000002473</v>
      </c>
      <c r="D19">
        <v>0.65853658536600002</v>
      </c>
      <c r="E19" t="s">
        <v>34</v>
      </c>
      <c r="F19" s="10">
        <v>43907</v>
      </c>
      <c r="G19" s="2">
        <f>H19*15</f>
        <v>1019.9999999999567</v>
      </c>
      <c r="H19">
        <f>H18+C19</f>
        <v>67.999999999997115</v>
      </c>
      <c r="I19">
        <v>68</v>
      </c>
      <c r="J19">
        <v>6421</v>
      </c>
      <c r="K19">
        <f>O19+Z19+AK19+AV19+BG19+BR19+CC19+CN19</f>
        <v>68</v>
      </c>
      <c r="L19" s="3">
        <f>(K19/K18)-1</f>
        <v>0.65853658536585358</v>
      </c>
      <c r="O19">
        <f>O18+1</f>
        <v>5</v>
      </c>
      <c r="Q19" s="5">
        <f>O19-O18</f>
        <v>1</v>
      </c>
      <c r="Z19">
        <f>Z18+3</f>
        <v>7</v>
      </c>
      <c r="AB19" s="5">
        <f>Z19-Z18</f>
        <v>3</v>
      </c>
      <c r="AK19">
        <f>AK18+4</f>
        <v>8</v>
      </c>
      <c r="AM19" s="5">
        <f>AK19-AK18</f>
        <v>4</v>
      </c>
      <c r="AU19" s="4">
        <f>AV19</f>
        <v>48</v>
      </c>
      <c r="AV19">
        <f>AV18+19</f>
        <v>48</v>
      </c>
      <c r="AX19" s="5">
        <f>AV19-AV18</f>
        <v>19</v>
      </c>
      <c r="DJ19">
        <f>O19+Z19+AK19+AV19+BG19+BR19+CC19+CN19</f>
        <v>68</v>
      </c>
      <c r="DL19" s="5">
        <f>DJ19-DJ18</f>
        <v>27</v>
      </c>
      <c r="DM19">
        <f>R19+AC19+AN19+AY19+BJ19+BU19+CF19+CQ19</f>
        <v>0</v>
      </c>
      <c r="DP19">
        <f>U19+AF19+AQ19+BB19+BM19+BX19+CI19+CT19</f>
        <v>0</v>
      </c>
      <c r="DV19">
        <v>1</v>
      </c>
      <c r="DW19" t="s">
        <v>31</v>
      </c>
      <c r="DX19" s="8">
        <v>43923</v>
      </c>
      <c r="DY19">
        <v>0</v>
      </c>
      <c r="EA19">
        <v>0</v>
      </c>
      <c r="EB19">
        <v>4</v>
      </c>
      <c r="EG19" t="s">
        <v>46</v>
      </c>
      <c r="EH19">
        <f>EH18+$EI$10+1</f>
        <v>379</v>
      </c>
      <c r="EI19">
        <f>EH19+$EI$10</f>
        <v>431</v>
      </c>
      <c r="ET19" t="s">
        <v>47</v>
      </c>
      <c r="EU19" s="8">
        <v>43955</v>
      </c>
      <c r="EV19">
        <v>29</v>
      </c>
      <c r="EW19" s="11">
        <f>(EV19/$EV$37)</f>
        <v>0.027230046948356807</v>
      </c>
      <c r="EX19">
        <v>357</v>
      </c>
      <c r="EY19">
        <v>3</v>
      </c>
      <c r="FU19">
        <v>100</v>
      </c>
      <c r="FV19">
        <v>100</v>
      </c>
      <c r="FW19">
        <v>90</v>
      </c>
      <c r="GA19" s="10">
        <v>43859</v>
      </c>
      <c r="GB19">
        <v>5</v>
      </c>
      <c r="GC19">
        <f>(GB19/GB18)-1</f>
        <v>0</v>
      </c>
      <c r="GE19" s="4">
        <v>2137731</v>
      </c>
      <c r="GF19" s="2"/>
      <c r="GG19" s="2"/>
      <c r="GL19">
        <v>1</v>
      </c>
      <c r="GM19" t="s">
        <v>31</v>
      </c>
      <c r="GN19" s="8">
        <v>43963</v>
      </c>
      <c r="GO19">
        <v>7</v>
      </c>
      <c r="GP19">
        <v>217</v>
      </c>
      <c r="GQ19">
        <v>0</v>
      </c>
      <c r="GV19" s="8">
        <v>43923</v>
      </c>
      <c r="GW19">
        <v>1</v>
      </c>
      <c r="GX19" t="s">
        <v>31</v>
      </c>
      <c r="GY19">
        <v>0</v>
      </c>
      <c r="HC19">
        <v>0</v>
      </c>
    </row>
    <row r="20" spans="1:325" ht="20.25">
      <c r="C20">
        <f>H19*D20</f>
        <v>27.999999999974811</v>
      </c>
      <c r="D20">
        <v>0.41176470588199998</v>
      </c>
      <c r="E20" t="s">
        <v>35</v>
      </c>
      <c r="F20" s="10">
        <v>43908</v>
      </c>
      <c r="G20" s="2">
        <f>H20*15</f>
        <v>1439.9999999995789</v>
      </c>
      <c r="H20">
        <f>H19+C20</f>
        <v>95.999999999971919</v>
      </c>
      <c r="I20">
        <v>96</v>
      </c>
      <c r="J20">
        <v>7783</v>
      </c>
      <c r="K20">
        <f>O20+Z20+AK20+AV20+BG20+BR20+CC20+CN20</f>
        <v>96</v>
      </c>
      <c r="L20" s="3">
        <f>(K20/K19)-1</f>
        <v>0.41176470588235303</v>
      </c>
      <c r="O20">
        <f>O19+0</f>
        <v>5</v>
      </c>
      <c r="Q20" s="5">
        <f>O20-O19</f>
        <v>0</v>
      </c>
      <c r="Z20">
        <f>Z19+4</f>
        <v>11</v>
      </c>
      <c r="AB20" s="5">
        <f>Z20-Z19</f>
        <v>4</v>
      </c>
      <c r="AK20">
        <f>AK19+2</f>
        <v>10</v>
      </c>
      <c r="AM20" s="5">
        <f>AK20-AK19</f>
        <v>2</v>
      </c>
      <c r="AU20" s="4">
        <f>AV20</f>
        <v>69</v>
      </c>
      <c r="AV20">
        <f>AV19+21</f>
        <v>69</v>
      </c>
      <c r="AX20" s="5">
        <f>AV20-AV19</f>
        <v>21</v>
      </c>
      <c r="AY20">
        <f>AY19+0</f>
        <v>0</v>
      </c>
      <c r="BB20">
        <f>BB19+1</f>
        <v>1</v>
      </c>
      <c r="BG20">
        <f>BG19+1</f>
        <v>1</v>
      </c>
      <c r="BI20" s="5">
        <f>BG20-BG19</f>
        <v>1</v>
      </c>
      <c r="BR20">
        <f>BR19+0</f>
        <v>0</v>
      </c>
      <c r="CC20">
        <f>CC19+0</f>
        <v>0</v>
      </c>
      <c r="DJ20">
        <f>O20+Z20+AK20+AV20+BG20+BR20+CC20+CN20</f>
        <v>96</v>
      </c>
      <c r="DL20" s="5">
        <f>DJ20-DJ19</f>
        <v>28</v>
      </c>
      <c r="DM20">
        <f>R20+AC20+AN20+AY20+BJ20+BU20+CF20+CQ20</f>
        <v>0</v>
      </c>
      <c r="DP20">
        <f>U20+AF20+AQ20+BB20+BM20+BX20+CI20+CT20</f>
        <v>1</v>
      </c>
      <c r="DV20">
        <v>1</v>
      </c>
      <c r="DW20" t="s">
        <v>31</v>
      </c>
      <c r="DX20" s="8">
        <v>43924</v>
      </c>
      <c r="DY20">
        <v>0</v>
      </c>
      <c r="EA20">
        <v>0</v>
      </c>
      <c r="EB20">
        <v>5</v>
      </c>
      <c r="EG20" t="s">
        <v>48</v>
      </c>
      <c r="EH20">
        <f>EH19+$EI$10+1</f>
        <v>432</v>
      </c>
      <c r="EI20">
        <f>EH20+$EI$10</f>
        <v>484</v>
      </c>
      <c r="ET20" t="inlineStr">
        <is>
          <t>Morris</t>
        </is>
      </c>
      <c r="EU20" s="8">
        <v>43955</v>
      </c>
      <c r="EV20">
        <v>12</v>
      </c>
      <c r="EW20" s="11">
        <f>(EV20/$EV$37)</f>
        <v>0.011267605633802818</v>
      </c>
      <c r="EX20">
        <v>531</v>
      </c>
      <c r="EY20">
        <v>0</v>
      </c>
      <c r="FU20">
        <v>100</v>
      </c>
      <c r="FV20">
        <v>100</v>
      </c>
      <c r="FW20">
        <v>290</v>
      </c>
      <c r="GA20" s="10">
        <v>43860</v>
      </c>
      <c r="GB20">
        <v>5</v>
      </c>
      <c r="GC20">
        <f>(GB20/GB19)-1</f>
        <v>0</v>
      </c>
      <c r="GE20" s="4"/>
      <c r="GL20">
        <v>1</v>
      </c>
      <c r="GM20" t="s">
        <v>31</v>
      </c>
      <c r="GN20" s="8">
        <v>43964</v>
      </c>
      <c r="GO20">
        <v>7</v>
      </c>
      <c r="GP20">
        <v>217</v>
      </c>
      <c r="GQ20">
        <v>0</v>
      </c>
      <c r="GV20" s="8">
        <v>43924</v>
      </c>
      <c r="GW20">
        <v>1</v>
      </c>
      <c r="GX20" t="s">
        <v>31</v>
      </c>
      <c r="GY20">
        <v>0</v>
      </c>
      <c r="HC20">
        <v>0</v>
      </c>
    </row>
    <row r="21" spans="1:325" ht="20.25">
      <c r="C21">
        <f>H20*D21</f>
        <v>62.999999999981569</v>
      </c>
      <c r="D21">
        <v>0.65625</v>
      </c>
      <c r="E21" t="s">
        <v>37</v>
      </c>
      <c r="F21" s="10">
        <v>43909</v>
      </c>
      <c r="G21" s="2">
        <f>H21*15</f>
        <v>2384.9999999993024</v>
      </c>
      <c r="H21">
        <f>H20+C21</f>
        <v>158.9999999999535</v>
      </c>
      <c r="I21">
        <v>159</v>
      </c>
      <c r="J21">
        <v>13677</v>
      </c>
      <c r="K21">
        <f>O21+Z21+AK21+AV21+BG21+BR21+CC21+CN21</f>
        <v>159</v>
      </c>
      <c r="L21" s="3">
        <f>(K21/K20)-1</f>
        <v>0.65625</v>
      </c>
      <c r="O21">
        <f>O20+2</f>
        <v>7</v>
      </c>
      <c r="Q21" s="5">
        <f>O21-O20</f>
        <v>2</v>
      </c>
      <c r="Z21">
        <f>Z20+7</f>
        <v>18</v>
      </c>
      <c r="AB21" s="5">
        <f>Z21-Z20</f>
        <v>7</v>
      </c>
      <c r="AK21">
        <f>AK20+13</f>
        <v>23</v>
      </c>
      <c r="AM21" s="5">
        <f>AK21-AK20</f>
        <v>13</v>
      </c>
      <c r="AU21" s="4">
        <f>AV21</f>
        <v>102</v>
      </c>
      <c r="AV21">
        <f>AV20+33</f>
        <v>102</v>
      </c>
      <c r="AX21" s="5">
        <f>AV21-AV20</f>
        <v>33</v>
      </c>
      <c r="AY21">
        <f>AY20+0</f>
        <v>0</v>
      </c>
      <c r="BB21">
        <f>BB20+2</f>
        <v>3</v>
      </c>
      <c r="BD21" s="3">
        <f>(BB21/BB20)-1</f>
        <v>2</v>
      </c>
      <c r="BG21">
        <f>BG20+2</f>
        <v>3</v>
      </c>
      <c r="BI21" s="5">
        <f>BG21-BG20</f>
        <v>2</v>
      </c>
      <c r="BJ21">
        <f>BJ20+0</f>
        <v>0</v>
      </c>
      <c r="BR21">
        <f>BR20+4</f>
        <v>4</v>
      </c>
      <c r="BT21" s="5">
        <f>BR21-BR20</f>
        <v>4</v>
      </c>
      <c r="CC21">
        <f>CC20+2</f>
        <v>2</v>
      </c>
      <c r="CE21" s="5">
        <f>CC21-CC20</f>
        <v>2</v>
      </c>
      <c r="DJ21">
        <f>O21+Z21+AK21+AV21+BG21+BR21+CC21+CN21</f>
        <v>159</v>
      </c>
      <c r="DL21" s="5">
        <f>DJ21-DJ20</f>
        <v>63</v>
      </c>
      <c r="DM21">
        <f>R21+AC21+AN21+AY21+BJ21+BU21+CF21+CQ21</f>
        <v>0</v>
      </c>
      <c r="DP21">
        <f>U21+AF21+AQ21+BB21+BM21+BX21+CI21+CT21</f>
        <v>3</v>
      </c>
      <c r="DR21" s="3">
        <f>(DP21/DP20)-1</f>
        <v>2</v>
      </c>
      <c r="DS21" s="3"/>
      <c r="DV21">
        <v>1</v>
      </c>
      <c r="DW21" t="s">
        <v>31</v>
      </c>
      <c r="DX21" s="8">
        <v>43925</v>
      </c>
      <c r="DY21">
        <v>0</v>
      </c>
      <c r="EA21">
        <v>0</v>
      </c>
      <c r="EB21">
        <v>6</v>
      </c>
      <c r="EG21" t="s">
        <v>49</v>
      </c>
      <c r="EH21">
        <f>EH20+$EI$10+1</f>
        <v>485</v>
      </c>
      <c r="EI21">
        <f>EH21+$EI$10</f>
        <v>537</v>
      </c>
      <c r="ET21" t="s">
        <v>50</v>
      </c>
      <c r="EU21" s="8">
        <v>43955</v>
      </c>
      <c r="EV21">
        <v>21</v>
      </c>
      <c r="EW21" s="11">
        <f>(EV21/$EV$37)</f>
        <v>0.019718309859154931</v>
      </c>
      <c r="EX21">
        <v>314</v>
      </c>
      <c r="EY21">
        <v>1</v>
      </c>
      <c r="FU21">
        <v>100</v>
      </c>
      <c r="FV21">
        <v>100</v>
      </c>
      <c r="FW21">
        <v>90</v>
      </c>
      <c r="GA21" s="10">
        <v>43861</v>
      </c>
      <c r="GB21">
        <v>7</v>
      </c>
      <c r="GC21">
        <f>(GB21/GB20)-1</f>
        <v>0.39999999999999991</v>
      </c>
      <c r="GI21" s="2"/>
      <c r="GJ21" s="2"/>
      <c r="GK21" s="2"/>
      <c r="GL21">
        <v>1</v>
      </c>
      <c r="GM21" t="s">
        <v>31</v>
      </c>
      <c r="GN21" s="8">
        <v>43965</v>
      </c>
      <c r="GO21">
        <v>8</v>
      </c>
      <c r="GP21">
        <v>248</v>
      </c>
      <c r="GQ21">
        <v>0</v>
      </c>
      <c r="GV21" s="8">
        <v>43925</v>
      </c>
      <c r="GW21">
        <v>1</v>
      </c>
      <c r="GX21" t="s">
        <v>31</v>
      </c>
      <c r="GY21">
        <v>0</v>
      </c>
      <c r="HC21">
        <v>0</v>
      </c>
    </row>
    <row r="22" spans="1:325" ht="20.25">
      <c r="C22">
        <f>H21*D22</f>
        <v>35.000000000065768</v>
      </c>
      <c r="D22">
        <v>0.220125786164</v>
      </c>
      <c r="E22" t="s">
        <v>38</v>
      </c>
      <c r="F22" s="10">
        <v>43910</v>
      </c>
      <c r="G22" s="2">
        <f>H22*15</f>
        <v>2910.0000000002892</v>
      </c>
      <c r="H22">
        <f>H21+C22</f>
        <v>194.00000000001927</v>
      </c>
      <c r="I22">
        <v>194</v>
      </c>
      <c r="J22">
        <v>19100</v>
      </c>
      <c r="K22">
        <f>O22+Z22+AK22+AV22+BG22+BR22+CC22+CN22</f>
        <v>194</v>
      </c>
      <c r="L22" s="3">
        <f>(K22/K21)-1</f>
        <v>0.22012578616352196</v>
      </c>
      <c r="O22">
        <f>O21+1</f>
        <v>8</v>
      </c>
      <c r="Q22" s="5">
        <f>O22-O21</f>
        <v>1</v>
      </c>
      <c r="R22">
        <f>R21+0</f>
        <v>0</v>
      </c>
      <c r="Z22">
        <f>Z21+11</f>
        <v>29</v>
      </c>
      <c r="AB22" s="5">
        <f>Z22-Z21</f>
        <v>11</v>
      </c>
      <c r="AC22">
        <f>AC21+0</f>
        <v>0</v>
      </c>
      <c r="AK22">
        <f>AK21+0</f>
        <v>23</v>
      </c>
      <c r="AM22" s="5">
        <f>AK22-AK21</f>
        <v>0</v>
      </c>
      <c r="AU22" s="4">
        <f>AV22</f>
        <v>122</v>
      </c>
      <c r="AV22">
        <f>AV21+20</f>
        <v>122</v>
      </c>
      <c r="AX22" s="5">
        <f>AV22-AV21</f>
        <v>20</v>
      </c>
      <c r="AY22">
        <f>AY21+0</f>
        <v>0</v>
      </c>
      <c r="BB22">
        <f>BB21+1</f>
        <v>4</v>
      </c>
      <c r="BD22" s="3">
        <f>(BB22/BB21)-1</f>
        <v>0.33333333333333326</v>
      </c>
      <c r="BG22">
        <f>BG21+2</f>
        <v>5</v>
      </c>
      <c r="BI22" s="5">
        <f>BG22-BG21</f>
        <v>2</v>
      </c>
      <c r="BJ22">
        <f>BJ21+0</f>
        <v>0</v>
      </c>
      <c r="BM22">
        <f>BM21+0</f>
        <v>0</v>
      </c>
      <c r="BR22">
        <f>BR21+0</f>
        <v>4</v>
      </c>
      <c r="BT22" s="5">
        <f>BR22-BR21</f>
        <v>0</v>
      </c>
      <c r="CC22">
        <f>CC21+0</f>
        <v>2</v>
      </c>
      <c r="CE22" s="5">
        <f>CC22-CC21</f>
        <v>0</v>
      </c>
      <c r="CN22">
        <f>CN21+1</f>
        <v>1</v>
      </c>
      <c r="CP22" s="5">
        <f>CN22-CN21</f>
        <v>1</v>
      </c>
      <c r="DJ22">
        <f>O22+Z22+AK22+AV22+BG22+BR22+CC22+CN22</f>
        <v>194</v>
      </c>
      <c r="DL22" s="5">
        <f>DJ22-DJ21</f>
        <v>35</v>
      </c>
      <c r="DM22">
        <f>R22+AC22+AN22+AY22+BJ22+BU22+CF22+CQ22</f>
        <v>0</v>
      </c>
      <c r="DP22">
        <f>U22+AF22+AQ22+BB22+BM22+BX22+CI22+CT22</f>
        <v>4</v>
      </c>
      <c r="DR22" s="3">
        <f>(DP22/DP21)-1</f>
        <v>0.33333333333333326</v>
      </c>
      <c r="DS22" s="3"/>
      <c r="DV22">
        <v>1</v>
      </c>
      <c r="DW22" t="s">
        <v>31</v>
      </c>
      <c r="DX22" s="8">
        <v>43926</v>
      </c>
      <c r="DY22">
        <v>0</v>
      </c>
      <c r="EA22">
        <v>0</v>
      </c>
      <c r="EB22">
        <v>7</v>
      </c>
      <c r="EG22" t="s">
        <v>51</v>
      </c>
      <c r="EH22">
        <f>EH21+$EI$10+1</f>
        <v>538</v>
      </c>
      <c r="EI22">
        <f>EH22+$EI$10</f>
        <v>590</v>
      </c>
      <c r="ET22" t="inlineStr">
        <is>
          <t>New Milford</t>
        </is>
      </c>
      <c r="EU22" s="8">
        <v>43955</v>
      </c>
      <c r="EV22">
        <v>216</v>
      </c>
      <c r="EW22" s="11">
        <f>(EV22/$EV$37)</f>
        <v>0.20281690140845071</v>
      </c>
      <c r="EX22">
        <v>801</v>
      </c>
      <c r="EY22">
        <v>12</v>
      </c>
      <c r="FU22">
        <v>11</v>
      </c>
      <c r="FV22">
        <v>22</v>
      </c>
      <c r="FW22">
        <v>390</v>
      </c>
      <c r="GA22" s="10">
        <v>43862</v>
      </c>
      <c r="GB22">
        <v>8</v>
      </c>
      <c r="GC22">
        <f>(GB22/GB21)-1</f>
        <v>0.14285714285714279</v>
      </c>
      <c r="GL22">
        <v>1</v>
      </c>
      <c r="GM22" t="s">
        <v>31</v>
      </c>
      <c r="GN22" s="8">
        <v>43966</v>
      </c>
      <c r="GO22">
        <v>9</v>
      </c>
      <c r="GP22">
        <v>279</v>
      </c>
      <c r="GQ22">
        <v>0</v>
      </c>
      <c r="GV22" s="8">
        <v>43926</v>
      </c>
      <c r="GW22">
        <v>1</v>
      </c>
      <c r="GX22" t="s">
        <v>31</v>
      </c>
      <c r="GY22">
        <v>0</v>
      </c>
      <c r="HC22">
        <v>0</v>
      </c>
    </row>
    <row r="23" spans="1:325" ht="20.25">
      <c r="C23">
        <f>H22*D23</f>
        <v>28.99999999991088</v>
      </c>
      <c r="D23">
        <v>0.14948453608199999</v>
      </c>
      <c r="E23" t="s">
        <v>40</v>
      </c>
      <c r="F23" s="10">
        <v>43911</v>
      </c>
      <c r="G23" s="2">
        <f>H23*15</f>
        <v>3344.9999999989523</v>
      </c>
      <c r="H23">
        <f>H22+C23</f>
        <v>222.99999999993014</v>
      </c>
      <c r="I23">
        <v>223</v>
      </c>
      <c r="J23">
        <v>25489</v>
      </c>
      <c r="K23">
        <f>O23+Z23+AK23+AV23+BG23+BR23+CC23+CN23</f>
        <v>223</v>
      </c>
      <c r="L23" s="3">
        <f>(K23/K22)-1</f>
        <v>0.14948453608247414</v>
      </c>
      <c r="O23">
        <f>O22+3</f>
        <v>11</v>
      </c>
      <c r="Q23" s="5">
        <f>O23-O22</f>
        <v>3</v>
      </c>
      <c r="R23">
        <f>R22+2</f>
        <v>2</v>
      </c>
      <c r="S23" s="5">
        <f>R23-R22</f>
        <v>2</v>
      </c>
      <c r="T23" s="5"/>
      <c r="U23">
        <f>U22+0</f>
        <v>0</v>
      </c>
      <c r="Z23">
        <f>Z22+6</f>
        <v>35</v>
      </c>
      <c r="AB23" s="5">
        <f>Z23-Z22</f>
        <v>6</v>
      </c>
      <c r="AC23">
        <f>AC22+12</f>
        <v>12</v>
      </c>
      <c r="AD23" s="5">
        <f>AC23-AC22</f>
        <v>12</v>
      </c>
      <c r="AE23" s="5"/>
      <c r="AK23">
        <f>AK22+1</f>
        <v>24</v>
      </c>
      <c r="AM23" s="5">
        <f>AK23-AK22</f>
        <v>1</v>
      </c>
      <c r="AN23">
        <f>AN22+9</f>
        <v>9</v>
      </c>
      <c r="AO23" s="5">
        <f>AN23-AN22</f>
        <v>9</v>
      </c>
      <c r="AP23" s="5"/>
      <c r="AQ23">
        <f>AQ22+0</f>
        <v>0</v>
      </c>
      <c r="AU23" s="4">
        <f>AV23</f>
        <v>140</v>
      </c>
      <c r="AV23">
        <f>AV22+18</f>
        <v>140</v>
      </c>
      <c r="AX23" s="5">
        <f>AV23-AV22</f>
        <v>18</v>
      </c>
      <c r="AY23">
        <f>AY22+15</f>
        <v>15</v>
      </c>
      <c r="AZ23" s="5">
        <f>AY23-AY22</f>
        <v>15</v>
      </c>
      <c r="BA23" s="5"/>
      <c r="BB23">
        <f>BB22+0</f>
        <v>4</v>
      </c>
      <c r="BD23" s="3">
        <f>(BB23/BB22)-1</f>
        <v>0</v>
      </c>
      <c r="BG23">
        <f>BG22+1</f>
        <v>6</v>
      </c>
      <c r="BI23" s="5">
        <f>BG23-BG22</f>
        <v>1</v>
      </c>
      <c r="BJ23">
        <f>BJ22+3</f>
        <v>3</v>
      </c>
      <c r="BK23" s="5">
        <f>BJ23-BJ22</f>
        <v>3</v>
      </c>
      <c r="BL23" s="5"/>
      <c r="BM23">
        <f>BM22+0</f>
        <v>0</v>
      </c>
      <c r="BR23">
        <f>BR22+1</f>
        <v>5</v>
      </c>
      <c r="BT23" s="5">
        <f>BR23-BR22</f>
        <v>1</v>
      </c>
      <c r="BU23">
        <f>BU22+2</f>
        <v>2</v>
      </c>
      <c r="BV23" s="5">
        <f>BU23-BU22</f>
        <v>2</v>
      </c>
      <c r="BW23" s="5"/>
      <c r="BX23">
        <f>BX22+1</f>
        <v>1</v>
      </c>
      <c r="CC23">
        <f>CC22-1</f>
        <v>1</v>
      </c>
      <c r="CE23" s="5">
        <f>CC23-CC22</f>
        <v>-1</v>
      </c>
      <c r="CF23">
        <f>CF22+0</f>
        <v>0</v>
      </c>
      <c r="CI23">
        <f>CI22+0</f>
        <v>0</v>
      </c>
      <c r="CN23">
        <f>CN22+0</f>
        <v>1</v>
      </c>
      <c r="CP23" s="5">
        <f>CN23-CN22</f>
        <v>0</v>
      </c>
      <c r="CT23">
        <f>CT22+0</f>
        <v>0</v>
      </c>
      <c r="DJ23">
        <f>O23+Z23+AK23+AV23+BG23+BR23+CC23+CN23</f>
        <v>223</v>
      </c>
      <c r="DL23" s="5">
        <f>DJ23-DJ22</f>
        <v>29</v>
      </c>
      <c r="DM23">
        <f>R23+AC23+AN23+AY23+BJ23+BU23+CF23+CQ23</f>
        <v>43</v>
      </c>
      <c r="DP23">
        <f>U23+AF23+AQ23+BB23+BM23+BX23+CI23+CT23</f>
        <v>5</v>
      </c>
      <c r="DR23" s="3">
        <f>(DP23/DP22)-1</f>
        <v>0.25</v>
      </c>
      <c r="DS23" s="3"/>
      <c r="DT23">
        <f>DM23-DM22</f>
        <v>43</v>
      </c>
      <c r="DV23">
        <v>1</v>
      </c>
      <c r="DW23" t="s">
        <v>31</v>
      </c>
      <c r="DX23" s="8">
        <v>43927</v>
      </c>
      <c r="DY23">
        <v>0</v>
      </c>
      <c r="EA23">
        <v>0</v>
      </c>
      <c r="EB23">
        <v>8</v>
      </c>
      <c r="EG23" t="s">
        <v>52</v>
      </c>
      <c r="EH23">
        <f>EH22+$EI$10+1</f>
        <v>591</v>
      </c>
      <c r="EI23">
        <f>EH23+$EI$10</f>
        <v>643</v>
      </c>
      <c r="ET23" t="s">
        <v>53</v>
      </c>
      <c r="EU23" s="8">
        <v>43955</v>
      </c>
      <c r="EV23">
        <v>7</v>
      </c>
      <c r="EW23" s="11">
        <f>(EV23/$EV$37)</f>
        <v>0.0065727699530516428</v>
      </c>
      <c r="EX23">
        <v>427</v>
      </c>
      <c r="EY23">
        <v>0</v>
      </c>
      <c r="FU23">
        <v>100</v>
      </c>
      <c r="FV23">
        <v>100</v>
      </c>
      <c r="FW23">
        <v>90</v>
      </c>
      <c r="GA23" s="10">
        <v>43863</v>
      </c>
      <c r="GB23">
        <v>8</v>
      </c>
      <c r="GC23">
        <f>(GB23/GB22)-1</f>
        <v>0</v>
      </c>
      <c r="GF23" s="2"/>
      <c r="GG23" s="2"/>
      <c r="GU23" s="2"/>
      <c r="GV23" s="8">
        <v>43927</v>
      </c>
      <c r="GW23">
        <v>1</v>
      </c>
      <c r="GX23" t="s">
        <v>31</v>
      </c>
      <c r="GY23">
        <v>0</v>
      </c>
      <c r="HC23">
        <v>0</v>
      </c>
    </row>
    <row r="24" spans="1:325" ht="20.25">
      <c r="C24">
        <f>H23*D24</f>
        <v>103.99999999896743</v>
      </c>
      <c r="D24">
        <v>0.46636771300000002</v>
      </c>
      <c r="E24" t="s">
        <v>30</v>
      </c>
      <c r="F24" s="10">
        <v>43912</v>
      </c>
      <c r="G24" s="2">
        <f>H24*15</f>
        <v>4904.9999999834636</v>
      </c>
      <c r="H24">
        <f>H23+C24</f>
        <v>326.99999999889758</v>
      </c>
      <c r="I24">
        <v>327</v>
      </c>
      <c r="J24">
        <v>33276</v>
      </c>
      <c r="K24">
        <f>O24+Z24+AK24+AV24+BG24+BR24+CC24+CN24</f>
        <v>327</v>
      </c>
      <c r="L24" s="3">
        <f>(K24/K23)-1</f>
        <v>0.46636771300448432</v>
      </c>
      <c r="O24">
        <f>O23+1</f>
        <v>12</v>
      </c>
      <c r="Q24" s="5">
        <f>O24-O23</f>
        <v>1</v>
      </c>
      <c r="R24">
        <f>R23+1</f>
        <v>3</v>
      </c>
      <c r="S24" s="5">
        <f>R24-R23</f>
        <v>1</v>
      </c>
      <c r="T24" s="5"/>
      <c r="U24">
        <f>U23+0</f>
        <v>0</v>
      </c>
      <c r="Z24">
        <f>Z23+19</f>
        <v>54</v>
      </c>
      <c r="AB24" s="5">
        <f>Z24-Z23</f>
        <v>19</v>
      </c>
      <c r="AC24">
        <f>AC23+1</f>
        <v>13</v>
      </c>
      <c r="AD24" s="5">
        <f>AC24-AC23</f>
        <v>1</v>
      </c>
      <c r="AE24" s="5"/>
      <c r="AF24">
        <f>AF23+1</f>
        <v>1</v>
      </c>
      <c r="AK24">
        <f>AK23+5</f>
        <v>29</v>
      </c>
      <c r="AM24" s="5">
        <f>AK24-AK23</f>
        <v>5</v>
      </c>
      <c r="AN24">
        <f>AN23+0</f>
        <v>9</v>
      </c>
      <c r="AO24" s="5">
        <f>AN24-AN23</f>
        <v>0</v>
      </c>
      <c r="AP24" s="5"/>
      <c r="AQ24">
        <f>AQ23+0</f>
        <v>0</v>
      </c>
      <c r="AU24" s="4">
        <f>AV24</f>
        <v>208</v>
      </c>
      <c r="AV24">
        <f>AV23+68</f>
        <v>208</v>
      </c>
      <c r="AX24" s="5">
        <f>AV24-AV23</f>
        <v>68</v>
      </c>
      <c r="AY24">
        <f>AY23+5</f>
        <v>20</v>
      </c>
      <c r="AZ24" s="5">
        <f>AY24-AY23</f>
        <v>5</v>
      </c>
      <c r="BA24" s="5"/>
      <c r="BB24">
        <f>BB23+1</f>
        <v>5</v>
      </c>
      <c r="BD24" s="3">
        <f>(BB24/BB23)-1</f>
        <v>0.25</v>
      </c>
      <c r="BG24">
        <f>BG23+0</f>
        <v>6</v>
      </c>
      <c r="BI24" s="5">
        <f>BG24-BG23</f>
        <v>0</v>
      </c>
      <c r="BJ24">
        <f>BJ23+0</f>
        <v>3</v>
      </c>
      <c r="BK24" s="5">
        <f>BJ24-BJ23</f>
        <v>0</v>
      </c>
      <c r="BL24" s="5"/>
      <c r="BM24">
        <f>BM23+0</f>
        <v>0</v>
      </c>
      <c r="BR24">
        <f>BR23+9</f>
        <v>14</v>
      </c>
      <c r="BT24" s="5">
        <f>BR24-BR23</f>
        <v>9</v>
      </c>
      <c r="BU24">
        <f>BU23+0</f>
        <v>2</v>
      </c>
      <c r="BV24" s="5">
        <f>BU24-BU23</f>
        <v>0</v>
      </c>
      <c r="BW24" s="5"/>
      <c r="BX24">
        <f>BX23+1</f>
        <v>2</v>
      </c>
      <c r="BZ24" s="3">
        <f>(BX24/BX23)-1</f>
        <v>1</v>
      </c>
      <c r="CC24">
        <f>CC23+0</f>
        <v>1</v>
      </c>
      <c r="CE24" s="5">
        <f>CC24-CC23</f>
        <v>0</v>
      </c>
      <c r="CF24">
        <f>CF23+0</f>
        <v>0</v>
      </c>
      <c r="CI24">
        <f>CI23+0</f>
        <v>0</v>
      </c>
      <c r="CN24">
        <f>CN23+2</f>
        <v>3</v>
      </c>
      <c r="CP24" s="5">
        <f>CN24-CN23</f>
        <v>2</v>
      </c>
      <c r="CQ24">
        <f>CQ23+1</f>
        <v>1</v>
      </c>
      <c r="CR24" s="5">
        <f>CQ24-CQ23</f>
        <v>1</v>
      </c>
      <c r="CS24" s="5"/>
      <c r="CT24">
        <f>CT23+0</f>
        <v>0</v>
      </c>
      <c r="DJ24">
        <f>O24+Z24+AK24+AV24+BG24+BR24+CC24+CN24</f>
        <v>327</v>
      </c>
      <c r="DL24" s="5">
        <f>DJ24-DJ23</f>
        <v>104</v>
      </c>
      <c r="DM24">
        <f>R24+AC24+AN24+AY24+BJ24+BU24+CF24+CQ24</f>
        <v>51</v>
      </c>
      <c r="DN24" s="3">
        <f>(DM24/DM23)-1</f>
        <v>0.18604651162790709</v>
      </c>
      <c r="DO24" s="3"/>
      <c r="DP24">
        <f>U24+AF24+AQ24+BB24+BM24+BX24+CI24+CT24</f>
        <v>8</v>
      </c>
      <c r="DR24" s="3">
        <f>(DP24/DP23)-1</f>
        <v>0.60000000000000009</v>
      </c>
      <c r="DS24" s="3"/>
      <c r="DT24">
        <f>DM24-DM23</f>
        <v>8</v>
      </c>
      <c r="DV24">
        <v>1</v>
      </c>
      <c r="DW24" t="s">
        <v>31</v>
      </c>
      <c r="DX24" s="8">
        <v>43928</v>
      </c>
      <c r="DY24">
        <v>0</v>
      </c>
      <c r="EA24">
        <v>0</v>
      </c>
      <c r="EB24">
        <v>9</v>
      </c>
      <c r="EG24" t="s">
        <v>54</v>
      </c>
      <c r="EH24">
        <f>EH23+$EI$10+1</f>
        <v>644</v>
      </c>
      <c r="EI24">
        <f>EH24+$EI$10</f>
        <v>696</v>
      </c>
      <c r="ET24" t="inlineStr">
        <is>
          <t>North Canaan</t>
        </is>
      </c>
      <c r="EU24" s="8">
        <v>43955</v>
      </c>
      <c r="EV24">
        <v>4</v>
      </c>
      <c r="EW24" s="11">
        <f>(EV24/$EV$37)</f>
        <v>0.0037558685446009389</v>
      </c>
      <c r="EX24">
        <v>123</v>
      </c>
      <c r="EY24">
        <v>1</v>
      </c>
      <c r="FU24">
        <v>100</v>
      </c>
      <c r="FV24">
        <v>100</v>
      </c>
      <c r="FW24">
        <v>490</v>
      </c>
      <c r="GA24" s="10">
        <v>43864</v>
      </c>
      <c r="GB24">
        <v>11</v>
      </c>
      <c r="GC24">
        <f>(GB24/GB23)-1</f>
        <v>0.375</v>
      </c>
      <c r="GF24" s="2"/>
      <c r="GG24" s="2"/>
      <c r="GL24">
        <v>129</v>
      </c>
      <c r="GM24" t="s">
        <v>55</v>
      </c>
      <c r="GN24" s="8">
        <v>43952</v>
      </c>
      <c r="GO24">
        <v>67</v>
      </c>
      <c r="GP24">
        <v>618</v>
      </c>
      <c r="GQ24">
        <v>1</v>
      </c>
      <c r="GV24" s="8">
        <v>43928</v>
      </c>
      <c r="GW24">
        <v>1</v>
      </c>
      <c r="GX24" t="s">
        <v>31</v>
      </c>
      <c r="GY24">
        <v>0</v>
      </c>
      <c r="HC24">
        <v>0</v>
      </c>
    </row>
    <row r="25" spans="1:325" ht="19.57">
      <c r="C25">
        <f>H24*D25</f>
        <v>87.999999999672326</v>
      </c>
      <c r="D25">
        <v>0.26911314984700002</v>
      </c>
      <c r="E25" t="s">
        <v>33</v>
      </c>
      <c r="F25" s="10">
        <v>43913</v>
      </c>
      <c r="G25" s="2">
        <f>H25*15</f>
        <v>6224.9999999785487</v>
      </c>
      <c r="H25">
        <f>H24+C25</f>
        <v>414.99999999856993</v>
      </c>
      <c r="I25">
        <v>415</v>
      </c>
      <c r="J25">
        <v>43847</v>
      </c>
      <c r="K25">
        <f>O25+Z25+AK25+AV25+BG25+BR25+CC25+CN25</f>
        <v>415</v>
      </c>
      <c r="L25" s="3">
        <f>(K25/K24)-1</f>
        <v>0.26911314984709489</v>
      </c>
      <c r="O25">
        <f>O24+1</f>
        <v>13</v>
      </c>
      <c r="Q25" s="5">
        <f>O25-O24</f>
        <v>1</v>
      </c>
      <c r="R25">
        <f>R24-1</f>
        <v>2</v>
      </c>
      <c r="S25" s="5">
        <f>R25-R24</f>
        <v>-1</v>
      </c>
      <c r="T25" s="5"/>
      <c r="U25">
        <f>U24+0</f>
        <v>0</v>
      </c>
      <c r="Z25">
        <f>Z24+7</f>
        <v>61</v>
      </c>
      <c r="AB25" s="5">
        <f>Z25-Z24</f>
        <v>7</v>
      </c>
      <c r="AC25">
        <f>AC24+0</f>
        <v>13</v>
      </c>
      <c r="AD25" s="5">
        <f>AC25-AC24</f>
        <v>0</v>
      </c>
      <c r="AE25" s="5"/>
      <c r="AF25">
        <f>AF24+1</f>
        <v>2</v>
      </c>
      <c r="AH25" s="3">
        <f>(AF25/AF24)-1</f>
        <v>1</v>
      </c>
      <c r="AK25">
        <f>AK24+12</f>
        <v>41</v>
      </c>
      <c r="AM25" s="5">
        <f>AK25-AK24</f>
        <v>12</v>
      </c>
      <c r="AN25">
        <f>AN24+3</f>
        <v>12</v>
      </c>
      <c r="AO25" s="5">
        <f>AN25-AN24</f>
        <v>3</v>
      </c>
      <c r="AP25" s="5"/>
      <c r="AQ25">
        <f>AQ24+0</f>
        <v>0</v>
      </c>
      <c r="AU25" s="4">
        <f>AV25</f>
        <v>270</v>
      </c>
      <c r="AV25">
        <f>AV24+62</f>
        <v>270</v>
      </c>
      <c r="AX25" s="5">
        <f>AV25-AV24</f>
        <v>62</v>
      </c>
      <c r="AY25">
        <f>AY24+0</f>
        <v>20</v>
      </c>
      <c r="AZ25" s="5">
        <f>AY25-AY24</f>
        <v>0</v>
      </c>
      <c r="BA25" s="5"/>
      <c r="BB25">
        <f>BB24+1</f>
        <v>6</v>
      </c>
      <c r="BD25" s="3">
        <f>(BB25/BB24)-1</f>
        <v>0.19999999999999996</v>
      </c>
      <c r="BG25">
        <f>BG24+2</f>
        <v>8</v>
      </c>
      <c r="BI25" s="5">
        <f>BG25-BG24</f>
        <v>2</v>
      </c>
      <c r="BJ25">
        <f>BJ24+1</f>
        <v>4</v>
      </c>
      <c r="BK25" s="5">
        <f>BJ25-BJ24</f>
        <v>1</v>
      </c>
      <c r="BL25" s="5"/>
      <c r="BM25">
        <f>BM24+0</f>
        <v>0</v>
      </c>
      <c r="BR25">
        <f>BR24+2</f>
        <v>16</v>
      </c>
      <c r="BT25" s="5">
        <f>BR25-BR24</f>
        <v>2</v>
      </c>
      <c r="BU25">
        <f>BU24+0</f>
        <v>2</v>
      </c>
      <c r="BV25" s="5">
        <f>BU25-BU24</f>
        <v>0</v>
      </c>
      <c r="BW25" s="5"/>
      <c r="BX25">
        <f>BX24+0</f>
        <v>2</v>
      </c>
      <c r="BZ25" s="3">
        <f>(BX25/BX24)-1</f>
        <v>0</v>
      </c>
      <c r="CC25">
        <f>CC24+1</f>
        <v>2</v>
      </c>
      <c r="CE25" s="5">
        <f>CC25-CC24</f>
        <v>1</v>
      </c>
      <c r="CF25">
        <f>CF24+0</f>
        <v>0</v>
      </c>
      <c r="CI25">
        <f>CI24+0</f>
        <v>0</v>
      </c>
      <c r="CN25">
        <f>CN24+1</f>
        <v>4</v>
      </c>
      <c r="CP25" s="5">
        <f>CN25-CN24</f>
        <v>1</v>
      </c>
      <c r="CQ25">
        <f>CQ24+0</f>
        <v>1</v>
      </c>
      <c r="CR25" s="5">
        <f>CQ25-CQ24</f>
        <v>0</v>
      </c>
      <c r="CS25" s="5"/>
      <c r="CT25">
        <f>CT24+0</f>
        <v>0</v>
      </c>
      <c r="DJ25">
        <f>O25+Z25+AK25+AV25+BG25+BR25+CC25+CN25</f>
        <v>415</v>
      </c>
      <c r="DL25" s="5">
        <f>DJ25-DJ24</f>
        <v>88</v>
      </c>
      <c r="DM25">
        <f>R25+AC25+AN25+AY25+BJ25+BU25+CF25+CQ25</f>
        <v>54</v>
      </c>
      <c r="DN25" s="3">
        <f>(DM25/DM24)-1</f>
        <v>0.058823529411764719</v>
      </c>
      <c r="DO25" s="3"/>
      <c r="DP25">
        <f>U25+AF25+AQ25+BB25+BM25+BX25+CI25+CT25</f>
        <v>10</v>
      </c>
      <c r="DR25" s="3">
        <f>(DP25/DP24)-1</f>
        <v>0.25</v>
      </c>
      <c r="DS25" s="3"/>
      <c r="DT25">
        <f>DM25-DM24</f>
        <v>3</v>
      </c>
      <c r="DV25">
        <v>1</v>
      </c>
      <c r="DW25" t="s">
        <v>31</v>
      </c>
      <c r="DX25" s="8">
        <v>43929</v>
      </c>
      <c r="DY25">
        <v>1</v>
      </c>
      <c r="EA25">
        <v>0</v>
      </c>
      <c r="EB25">
        <v>10</v>
      </c>
      <c r="EG25" t="s">
        <v>56</v>
      </c>
      <c r="EH25">
        <f>EH24+$EI$10+1</f>
        <v>697</v>
      </c>
      <c r="EI25">
        <f>EH25+$EI$10</f>
        <v>749</v>
      </c>
      <c r="ET25" t="inlineStr">
        <is>
          <t>Plymouth</t>
        </is>
      </c>
      <c r="EU25" s="8">
        <v>43955</v>
      </c>
      <c r="EV25">
        <v>49</v>
      </c>
      <c r="EW25" s="11">
        <f>(EV25/$EV$37)</f>
        <v>0.046009389671361506</v>
      </c>
      <c r="EX25">
        <v>421</v>
      </c>
      <c r="EY25">
        <v>1</v>
      </c>
      <c r="FU25">
        <v>100</v>
      </c>
      <c r="FV25">
        <v>100</v>
      </c>
      <c r="FW25">
        <v>90</v>
      </c>
      <c r="GA25" s="10">
        <v>43865</v>
      </c>
      <c r="GB25">
        <v>11</v>
      </c>
      <c r="GC25">
        <f>(GB25/GB24)-1</f>
        <v>0</v>
      </c>
      <c r="GL25">
        <v>129</v>
      </c>
      <c r="GM25" t="s">
        <v>55</v>
      </c>
      <c r="GN25" s="8">
        <v>43953</v>
      </c>
      <c r="GO25">
        <v>71</v>
      </c>
      <c r="GP25">
        <v>655</v>
      </c>
      <c r="GQ25">
        <v>1</v>
      </c>
      <c r="GV25" s="8">
        <v>43929</v>
      </c>
      <c r="GW25">
        <v>1</v>
      </c>
      <c r="GX25" t="s">
        <v>31</v>
      </c>
      <c r="GY25">
        <v>1</v>
      </c>
      <c r="HC25">
        <v>0</v>
      </c>
    </row>
    <row r="26" spans="1:325" ht="20.25">
      <c r="C26">
        <f>H25*D26</f>
        <v>202.99999999929048</v>
      </c>
      <c r="D26">
        <v>0.489156626506</v>
      </c>
      <c r="E26" t="s">
        <v>34</v>
      </c>
      <c r="F26" s="10">
        <v>43914</v>
      </c>
      <c r="G26" s="2">
        <f>H26*15</f>
        <v>9269.9999999679058</v>
      </c>
      <c r="H26">
        <f>H25+C26</f>
        <v>617.99999999786041</v>
      </c>
      <c r="I26">
        <v>618</v>
      </c>
      <c r="J26">
        <v>53740</v>
      </c>
      <c r="K26">
        <f>O26+Z26+AK26+AV26+BG26+BR26+CC26+CN26</f>
        <v>618</v>
      </c>
      <c r="L26" s="3">
        <f>(K26/K25)-1</f>
        <v>0.48915662650602409</v>
      </c>
      <c r="O26">
        <f>O25+9</f>
        <v>22</v>
      </c>
      <c r="Q26" s="5">
        <f>O26-O25</f>
        <v>9</v>
      </c>
      <c r="R26">
        <f>R25+1</f>
        <v>3</v>
      </c>
      <c r="S26" s="5">
        <f>R26-R25</f>
        <v>1</v>
      </c>
      <c r="T26" s="5"/>
      <c r="U26">
        <f>U25+0</f>
        <v>0</v>
      </c>
      <c r="Z26">
        <f>Z25+27</f>
        <v>88</v>
      </c>
      <c r="AB26" s="5">
        <f>Z26-Z25</f>
        <v>27</v>
      </c>
      <c r="AC26">
        <f>AC25+4</f>
        <v>17</v>
      </c>
      <c r="AD26" s="5">
        <f>AC26-AC25</f>
        <v>4</v>
      </c>
      <c r="AE26" s="5"/>
      <c r="AF26">
        <f>AF25+0</f>
        <v>2</v>
      </c>
      <c r="AH26" s="3">
        <f>(AF26/AF25)-1</f>
        <v>0</v>
      </c>
      <c r="AK26">
        <f>AK25+48</f>
        <v>89</v>
      </c>
      <c r="AM26" s="5">
        <f>AK26-AK25</f>
        <v>48</v>
      </c>
      <c r="AN26">
        <f>AN25+7</f>
        <v>19</v>
      </c>
      <c r="AO26" s="5">
        <f>AN26-AN25</f>
        <v>7</v>
      </c>
      <c r="AP26" s="5"/>
      <c r="AQ26">
        <f>AQ25+0</f>
        <v>0</v>
      </c>
      <c r="AU26" s="4">
        <f>AV26</f>
        <v>384</v>
      </c>
      <c r="AV26">
        <f>AV25+114</f>
        <v>384</v>
      </c>
      <c r="AX26" s="5">
        <f>AV26-AV25</f>
        <v>114</v>
      </c>
      <c r="AY26">
        <f>AY25+3</f>
        <v>23</v>
      </c>
      <c r="AZ26" s="5">
        <f>AY26-AY25</f>
        <v>3</v>
      </c>
      <c r="BA26" s="5"/>
      <c r="BB26">
        <f>BB25+1</f>
        <v>7</v>
      </c>
      <c r="BD26" s="3">
        <f>(BB26/BB25)-1</f>
        <v>0.16666666666666674</v>
      </c>
      <c r="BG26">
        <f>BG25+0</f>
        <v>8</v>
      </c>
      <c r="BI26" s="5">
        <f>BG26-BG25</f>
        <v>0</v>
      </c>
      <c r="BJ26">
        <f>BJ25+0</f>
        <v>4</v>
      </c>
      <c r="BK26" s="5">
        <f>BJ26-BJ25</f>
        <v>0</v>
      </c>
      <c r="BL26" s="5"/>
      <c r="BM26">
        <f>BM25+0</f>
        <v>0</v>
      </c>
      <c r="BR26">
        <f>BR25+3</f>
        <v>19</v>
      </c>
      <c r="BT26" s="5">
        <f>BR26-BR25</f>
        <v>3</v>
      </c>
      <c r="BU26">
        <f>BU25+2</f>
        <v>4</v>
      </c>
      <c r="BV26" s="5">
        <f>BU26-BU25</f>
        <v>2</v>
      </c>
      <c r="BW26" s="5"/>
      <c r="BX26">
        <f>BX25+1</f>
        <v>3</v>
      </c>
      <c r="BZ26" s="3">
        <f>(BX26/BX25)-1</f>
        <v>0.5</v>
      </c>
      <c r="CC26">
        <f>CC25+0</f>
        <v>2</v>
      </c>
      <c r="CE26" s="5">
        <f>CC26-CC25</f>
        <v>0</v>
      </c>
      <c r="CF26">
        <f>CF25+0</f>
        <v>0</v>
      </c>
      <c r="CI26">
        <f>CI25+0</f>
        <v>0</v>
      </c>
      <c r="CN26">
        <f>CN25+2</f>
        <v>6</v>
      </c>
      <c r="CP26" s="5">
        <f>CN26-CN25</f>
        <v>2</v>
      </c>
      <c r="CQ26">
        <f>CQ25+0</f>
        <v>1</v>
      </c>
      <c r="CR26" s="5">
        <f>CQ26-CQ25</f>
        <v>0</v>
      </c>
      <c r="CS26" s="5"/>
      <c r="CT26">
        <f>CT25+0</f>
        <v>0</v>
      </c>
      <c r="DJ26">
        <f>O26+Z26+AK26+AV26+BG26+BR26+CC26+CN26</f>
        <v>618</v>
      </c>
      <c r="DL26" s="5">
        <f>DJ26-DJ25</f>
        <v>203</v>
      </c>
      <c r="DM26">
        <f>R26+AC26+AN26+AY26+BJ26+BU26+CF26+CQ26</f>
        <v>71</v>
      </c>
      <c r="DN26" s="3">
        <f>(DM26/DM25)-1</f>
        <v>0.31481481481481488</v>
      </c>
      <c r="DO26" s="3"/>
      <c r="DP26">
        <f>U26+AF26+AQ26+BB26+BM26+BX26+CI26+CT26</f>
        <v>12</v>
      </c>
      <c r="DR26" s="3">
        <f>(DP26/DP25)-1</f>
        <v>0.19999999999999996</v>
      </c>
      <c r="DS26" s="3"/>
      <c r="DT26">
        <f>DM26-DM25</f>
        <v>17</v>
      </c>
      <c r="DV26">
        <v>1</v>
      </c>
      <c r="DW26" t="s">
        <v>31</v>
      </c>
      <c r="DX26" s="8">
        <v>43930</v>
      </c>
      <c r="DY26">
        <v>1</v>
      </c>
      <c r="EA26">
        <v>0</v>
      </c>
      <c r="EB26">
        <v>11</v>
      </c>
      <c r="EG26" t="s">
        <v>57</v>
      </c>
      <c r="EH26">
        <f>EH25+$EI$10+1</f>
        <v>750</v>
      </c>
      <c r="EI26">
        <f>EH26+$EI$10</f>
        <v>802</v>
      </c>
      <c r="ET26" t="inlineStr">
        <is>
          <t>Roxbury</t>
        </is>
      </c>
      <c r="EU26" s="8">
        <v>43955</v>
      </c>
      <c r="EV26">
        <v>6</v>
      </c>
      <c r="EW26" s="11">
        <f>(EV26/$EV$37)</f>
        <v>0.0056338028169014088</v>
      </c>
      <c r="EX26">
        <v>278</v>
      </c>
      <c r="EY26">
        <v>1</v>
      </c>
      <c r="FU26">
        <v>100</v>
      </c>
      <c r="FV26">
        <v>100</v>
      </c>
      <c r="FW26">
        <v>290</v>
      </c>
      <c r="GA26" s="10">
        <v>43866</v>
      </c>
      <c r="GB26">
        <v>11</v>
      </c>
      <c r="GC26">
        <f>(GB26/GB25)-1</f>
        <v>0</v>
      </c>
      <c r="GL26">
        <v>129</v>
      </c>
      <c r="GM26" t="s">
        <v>55</v>
      </c>
      <c r="GN26" s="8">
        <v>43954</v>
      </c>
      <c r="GO26">
        <v>72</v>
      </c>
      <c r="GP26">
        <v>665</v>
      </c>
      <c r="GQ26">
        <v>1</v>
      </c>
      <c r="GV26" s="8">
        <v>43930</v>
      </c>
      <c r="GW26">
        <v>1</v>
      </c>
      <c r="GX26" t="s">
        <v>31</v>
      </c>
      <c r="GY26">
        <v>1</v>
      </c>
      <c r="HC26">
        <v>0</v>
      </c>
    </row>
    <row r="27" spans="1:325" ht="19.57">
      <c r="C27">
        <f>H26*D27</f>
        <v>256.99999999911427</v>
      </c>
      <c r="D27">
        <v>0.41585760517800002</v>
      </c>
      <c r="E27" t="s">
        <v>35</v>
      </c>
      <c r="F27" s="10">
        <v>43915</v>
      </c>
      <c r="G27" s="2">
        <f>H27*15</f>
        <v>13124.99999995462</v>
      </c>
      <c r="H27">
        <f>H26+C27</f>
        <v>874.99999999697468</v>
      </c>
      <c r="I27">
        <v>875</v>
      </c>
      <c r="J27">
        <v>65778</v>
      </c>
      <c r="K27">
        <f>O27+Z27+AK27+AV27+BG27+BR27+CC27+CN27</f>
        <v>875</v>
      </c>
      <c r="L27" s="3">
        <f>(K27/K26)-1</f>
        <v>0.41585760517799342</v>
      </c>
      <c r="O27">
        <f>O26+11</f>
        <v>33</v>
      </c>
      <c r="Q27" s="5">
        <f>O27-O26</f>
        <v>11</v>
      </c>
      <c r="R27">
        <f>R26+0</f>
        <v>3</v>
      </c>
      <c r="S27" s="5">
        <f>R27-R26</f>
        <v>0</v>
      </c>
      <c r="T27" s="5"/>
      <c r="U27">
        <f>U26+0</f>
        <v>0</v>
      </c>
      <c r="Z27">
        <f>Z26+28</f>
        <v>116</v>
      </c>
      <c r="AB27" s="5">
        <f>Z27-Z26</f>
        <v>28</v>
      </c>
      <c r="AC27">
        <f>AC26+7</f>
        <v>24</v>
      </c>
      <c r="AD27" s="5">
        <f>AC27-AC26</f>
        <v>7</v>
      </c>
      <c r="AE27" s="5"/>
      <c r="AF27">
        <f>AF26+0</f>
        <v>2</v>
      </c>
      <c r="AH27" s="3">
        <f>(AF27/AF26)-1</f>
        <v>0</v>
      </c>
      <c r="AK27">
        <f>AK26+38</f>
        <v>127</v>
      </c>
      <c r="AM27" s="5">
        <f>AK27-AK26</f>
        <v>38</v>
      </c>
      <c r="AN27">
        <f>AN26+9</f>
        <v>28</v>
      </c>
      <c r="AO27" s="5">
        <f>AN27-AN26</f>
        <v>9</v>
      </c>
      <c r="AP27" s="5"/>
      <c r="AQ27">
        <f>AQ26+2</f>
        <v>2</v>
      </c>
      <c r="AU27" s="4">
        <f>AV27</f>
        <v>546</v>
      </c>
      <c r="AV27">
        <f>AV26+162</f>
        <v>546</v>
      </c>
      <c r="AX27" s="5">
        <f>AV27-AV26</f>
        <v>162</v>
      </c>
      <c r="AY27">
        <f>AY26+24</f>
        <v>47</v>
      </c>
      <c r="AZ27" s="5">
        <f>AY27-AY26</f>
        <v>24</v>
      </c>
      <c r="BA27" s="5"/>
      <c r="BB27">
        <f>BB26+5</f>
        <v>12</v>
      </c>
      <c r="BD27" s="3">
        <f>(BB27/BB26)-1</f>
        <v>0.71428571428571419</v>
      </c>
      <c r="BG27">
        <f>BG26+7</f>
        <v>15</v>
      </c>
      <c r="BI27" s="5">
        <f>BG27-BG26</f>
        <v>7</v>
      </c>
      <c r="BJ27">
        <f>BJ26+0</f>
        <v>4</v>
      </c>
      <c r="BK27" s="5">
        <f>BJ27-BJ26</f>
        <v>0</v>
      </c>
      <c r="BL27" s="5"/>
      <c r="BM27">
        <f>BM26+0</f>
        <v>0</v>
      </c>
      <c r="BR27">
        <f>BR26+8</f>
        <v>27</v>
      </c>
      <c r="BT27" s="5">
        <f>BR27-BR26</f>
        <v>8</v>
      </c>
      <c r="BU27">
        <f>BU26+1</f>
        <v>5</v>
      </c>
      <c r="BV27" s="5">
        <f>BU27-BU26</f>
        <v>1</v>
      </c>
      <c r="BW27" s="5"/>
      <c r="BX27">
        <f>BX26+0</f>
        <v>3</v>
      </c>
      <c r="BZ27" s="3">
        <f>(BX27/BX26)-1</f>
        <v>0</v>
      </c>
      <c r="CC27">
        <f>CC26+0</f>
        <v>2</v>
      </c>
      <c r="CE27" s="5">
        <f>CC27-CC26</f>
        <v>0</v>
      </c>
      <c r="CF27">
        <f>CF26+0</f>
        <v>0</v>
      </c>
      <c r="CI27">
        <f>CI26+0</f>
        <v>0</v>
      </c>
      <c r="CN27">
        <f>CN26+3</f>
        <v>9</v>
      </c>
      <c r="CP27" s="5">
        <f>CN27-CN26</f>
        <v>3</v>
      </c>
      <c r="CQ27">
        <f>CQ26+1</f>
        <v>2</v>
      </c>
      <c r="CR27" s="5">
        <f>CQ27-CQ26</f>
        <v>1</v>
      </c>
      <c r="CS27" s="5"/>
      <c r="CT27">
        <f>CT26+0</f>
        <v>0</v>
      </c>
      <c r="DJ27">
        <f>O27+Z27+AK27+AV27+BG27+BR27+CC27+CN27</f>
        <v>875</v>
      </c>
      <c r="DL27" s="5">
        <f>DJ27-DJ26</f>
        <v>257</v>
      </c>
      <c r="DM27">
        <f>R27+AC27+AN27+AY27+BJ27+BU27+CF27+CQ27</f>
        <v>113</v>
      </c>
      <c r="DN27" s="3">
        <f>(DM27/DM26)-1</f>
        <v>0.59154929577464799</v>
      </c>
      <c r="DO27" s="3"/>
      <c r="DP27">
        <f>U27+AF27+AQ27+BB27+BM27+BX27+CI27+CT27</f>
        <v>19</v>
      </c>
      <c r="DR27" s="3">
        <f>(DP27/DP26)-1</f>
        <v>0.58333333333333326</v>
      </c>
      <c r="DS27" s="3"/>
      <c r="DT27">
        <f>DM27-DM26</f>
        <v>42</v>
      </c>
      <c r="DV27">
        <v>1</v>
      </c>
      <c r="DW27" t="s">
        <v>31</v>
      </c>
      <c r="DX27" s="8">
        <v>43931</v>
      </c>
      <c r="DY27">
        <v>1</v>
      </c>
      <c r="EA27">
        <v>0</v>
      </c>
      <c r="EB27">
        <v>12</v>
      </c>
      <c r="EG27" t="s">
        <v>58</v>
      </c>
      <c r="EH27">
        <f>EH26+$EI$10+1</f>
        <v>803</v>
      </c>
      <c r="EI27">
        <f>EH27+$EI$10</f>
        <v>855</v>
      </c>
      <c r="ET27" t="inlineStr">
        <is>
          <t>Salisbury</t>
        </is>
      </c>
      <c r="EU27" s="8">
        <v>43955</v>
      </c>
      <c r="EV27">
        <v>9</v>
      </c>
      <c r="EW27" s="11">
        <f>(EV27/$EV$37)</f>
        <v>0.0084507042253521118</v>
      </c>
      <c r="EX27">
        <v>250</v>
      </c>
      <c r="EY27">
        <v>0</v>
      </c>
      <c r="FU27">
        <v>100</v>
      </c>
      <c r="FV27">
        <v>100</v>
      </c>
      <c r="FW27">
        <v>90</v>
      </c>
      <c r="GA27" s="10">
        <v>43867</v>
      </c>
      <c r="GB27">
        <v>11</v>
      </c>
      <c r="GC27">
        <f>(GB27/GB26)-1</f>
        <v>0</v>
      </c>
      <c r="GL27">
        <v>129</v>
      </c>
      <c r="GM27" t="s">
        <v>55</v>
      </c>
      <c r="GN27" s="8">
        <v>43955</v>
      </c>
      <c r="GO27">
        <v>101</v>
      </c>
      <c r="GP27">
        <v>932</v>
      </c>
      <c r="GQ27">
        <v>1</v>
      </c>
      <c r="GV27" s="8">
        <v>43931</v>
      </c>
      <c r="GW27">
        <v>1</v>
      </c>
      <c r="GX27" t="s">
        <v>31</v>
      </c>
      <c r="GY27">
        <v>1</v>
      </c>
      <c r="HC27">
        <v>0</v>
      </c>
    </row>
    <row r="28" spans="1:325" ht="20.25">
      <c r="C28">
        <f>H27*D28</f>
        <v>136.99999999915133</v>
      </c>
      <c r="D28">
        <v>0.15657142857100001</v>
      </c>
      <c r="E28" t="s">
        <v>37</v>
      </c>
      <c r="F28" s="10">
        <v>43916</v>
      </c>
      <c r="G28" s="2">
        <f>H28*15</f>
        <v>15179.999999941891</v>
      </c>
      <c r="H28">
        <f>H27+C28</f>
        <v>1011.999999996126</v>
      </c>
      <c r="I28">
        <v>1012</v>
      </c>
      <c r="J28">
        <v>83836</v>
      </c>
      <c r="K28">
        <f>O28+Z28+AK28+AV28+BG28+BR28+CC28+CN28</f>
        <v>1012</v>
      </c>
      <c r="L28" s="3">
        <f>(K28/K27)-1</f>
        <v>0.15657142857142858</v>
      </c>
      <c r="O28">
        <f>O27+11</f>
        <v>44</v>
      </c>
      <c r="Q28" s="5">
        <f>O28-O27</f>
        <v>11</v>
      </c>
      <c r="R28">
        <f>R27+0</f>
        <v>3</v>
      </c>
      <c r="S28" s="5">
        <f>R28-R27</f>
        <v>0</v>
      </c>
      <c r="T28" s="5"/>
      <c r="U28">
        <f>U27+0</f>
        <v>0</v>
      </c>
      <c r="Z28">
        <f>Z27+22</f>
        <v>138</v>
      </c>
      <c r="AB28" s="5">
        <f>Z28-Z27</f>
        <v>22</v>
      </c>
      <c r="AC28">
        <f>AC27+3</f>
        <v>27</v>
      </c>
      <c r="AD28" s="5">
        <f>AC28-AC27</f>
        <v>3</v>
      </c>
      <c r="AE28" s="5"/>
      <c r="AF28">
        <f>AF27+0</f>
        <v>2</v>
      </c>
      <c r="AH28" s="3">
        <f>(AF28/AF27)-1</f>
        <v>0</v>
      </c>
      <c r="AK28">
        <f>AK27+29</f>
        <v>156</v>
      </c>
      <c r="AM28" s="5">
        <f>AK28-AK27</f>
        <v>29</v>
      </c>
      <c r="AN28">
        <f>AN27+6</f>
        <v>34</v>
      </c>
      <c r="AO28" s="5">
        <f>AN28-AN27</f>
        <v>6</v>
      </c>
      <c r="AP28" s="5"/>
      <c r="AQ28">
        <f>AQ27+0</f>
        <v>2</v>
      </c>
      <c r="AS28" s="3">
        <f>(AQ28/AQ27)-1</f>
        <v>0</v>
      </c>
      <c r="AU28" s="4">
        <f>AV28</f>
        <v>607</v>
      </c>
      <c r="AV28">
        <f>AV27+61</f>
        <v>607</v>
      </c>
      <c r="AX28" s="5">
        <f>AV28-AV27</f>
        <v>61</v>
      </c>
      <c r="AY28">
        <f>AY27+2</f>
        <v>49</v>
      </c>
      <c r="AZ28" s="5">
        <f>AY28-AY27</f>
        <v>2</v>
      </c>
      <c r="BA28" s="5"/>
      <c r="BB28">
        <f>BB27+1</f>
        <v>13</v>
      </c>
      <c r="BD28" s="3">
        <f>(BB28/BB27)-1</f>
        <v>0.083333333333333259</v>
      </c>
      <c r="BG28">
        <f>BG27+3</f>
        <v>18</v>
      </c>
      <c r="BI28" s="5">
        <f>BG28-BG27</f>
        <v>3</v>
      </c>
      <c r="BJ28">
        <f>BJ27+1</f>
        <v>5</v>
      </c>
      <c r="BK28" s="5">
        <f>BJ28-BJ27</f>
        <v>1</v>
      </c>
      <c r="BL28" s="5"/>
      <c r="BM28">
        <f>BM27+1</f>
        <v>1</v>
      </c>
      <c r="BR28">
        <f>BR27+6</f>
        <v>33</v>
      </c>
      <c r="BT28" s="5">
        <f>BR28-BR27</f>
        <v>6</v>
      </c>
      <c r="BU28">
        <f>BU27+0</f>
        <v>5</v>
      </c>
      <c r="BV28" s="5">
        <f>BU28-BU27</f>
        <v>0</v>
      </c>
      <c r="BW28" s="5"/>
      <c r="BX28">
        <f>BX27+0</f>
        <v>3</v>
      </c>
      <c r="BZ28" s="3">
        <f>(BX28/BX27)-1</f>
        <v>0</v>
      </c>
      <c r="CC28">
        <f>CC27+1</f>
        <v>3</v>
      </c>
      <c r="CE28" s="5">
        <f>CC28-CC27</f>
        <v>1</v>
      </c>
      <c r="CF28">
        <f>CF27+0</f>
        <v>0</v>
      </c>
      <c r="CI28">
        <f>CI27+0</f>
        <v>0</v>
      </c>
      <c r="CN28">
        <f>CN27+4</f>
        <v>13</v>
      </c>
      <c r="CP28" s="5">
        <f>CN28-CN27</f>
        <v>4</v>
      </c>
      <c r="CQ28">
        <f>CQ27+0</f>
        <v>2</v>
      </c>
      <c r="CR28" s="5">
        <f>CQ28-CQ27</f>
        <v>0</v>
      </c>
      <c r="CS28" s="5"/>
      <c r="CT28">
        <f>CT27+0</f>
        <v>0</v>
      </c>
      <c r="DJ28">
        <f>O28+Z28+AK28+AV28+BG28+BR28+CC28+CN28</f>
        <v>1012</v>
      </c>
      <c r="DL28" s="5">
        <f>DJ28-DJ27</f>
        <v>137</v>
      </c>
      <c r="DM28">
        <f>R28+AC28+AN28+AY28+BJ28+BU28+CF28+CQ28</f>
        <v>125</v>
      </c>
      <c r="DN28" s="3">
        <f>(DM28/DM27)-1</f>
        <v>0.10619469026548667</v>
      </c>
      <c r="DO28" s="3"/>
      <c r="DP28">
        <f>U28+AF28+AQ28+BB28+BM28+BX28+CI28+CT28</f>
        <v>21</v>
      </c>
      <c r="DR28" s="3">
        <f>(DP28/DP27)-1</f>
        <v>0.10526315789473695</v>
      </c>
      <c r="DS28" s="3"/>
      <c r="DT28">
        <f>DM28-DM27</f>
        <v>12</v>
      </c>
      <c r="DV28">
        <v>1</v>
      </c>
      <c r="DW28" t="s">
        <v>31</v>
      </c>
      <c r="DX28" s="8">
        <v>43932</v>
      </c>
      <c r="DY28">
        <v>1</v>
      </c>
      <c r="EA28">
        <v>0</v>
      </c>
      <c r="EB28">
        <v>13</v>
      </c>
      <c r="EG28" t="s">
        <v>42</v>
      </c>
      <c r="EH28">
        <f>EH27+$EI$10+1</f>
        <v>856</v>
      </c>
      <c r="EI28">
        <f>EH28+$EI$10</f>
        <v>908</v>
      </c>
      <c r="ET28" t="inlineStr">
        <is>
          <t>Sharon</t>
        </is>
      </c>
      <c r="EU28" s="8">
        <v>43955</v>
      </c>
      <c r="EV28">
        <v>14</v>
      </c>
      <c r="EW28" s="11">
        <f>(EV28/$EV$37)</f>
        <v>0.013145539906103286</v>
      </c>
      <c r="EX28">
        <v>518</v>
      </c>
      <c r="EY28">
        <v>0</v>
      </c>
      <c r="FU28">
        <v>44</v>
      </c>
      <c r="FV28">
        <v>33</v>
      </c>
      <c r="FW28">
        <v>390</v>
      </c>
      <c r="GA28" s="10">
        <v>43868</v>
      </c>
      <c r="GB28">
        <v>11</v>
      </c>
      <c r="GC28">
        <f>(GB28/GB27)-1</f>
        <v>0</v>
      </c>
      <c r="GG28" s="2"/>
      <c r="GL28">
        <v>129</v>
      </c>
      <c r="GM28" t="s">
        <v>55</v>
      </c>
      <c r="GN28" s="8">
        <v>43956</v>
      </c>
      <c r="GO28">
        <v>104</v>
      </c>
      <c r="GP28">
        <v>960</v>
      </c>
      <c r="GQ28">
        <v>3</v>
      </c>
      <c r="GV28" s="8">
        <v>43932</v>
      </c>
      <c r="GW28">
        <v>1</v>
      </c>
      <c r="GX28" t="s">
        <v>31</v>
      </c>
      <c r="GY28">
        <v>1</v>
      </c>
      <c r="HC28">
        <v>0</v>
      </c>
    </row>
    <row r="29" spans="1:325" ht="19.57">
      <c r="C29">
        <f>H28*D29</f>
        <v>278.999999994132</v>
      </c>
      <c r="D29">
        <v>0.27569169960000001</v>
      </c>
      <c r="E29" t="s">
        <v>38</v>
      </c>
      <c r="F29" s="10">
        <v>43917</v>
      </c>
      <c r="G29" s="2">
        <f>H29*15</f>
        <v>19364.99999985387</v>
      </c>
      <c r="H29">
        <f>H28+C29</f>
        <v>1290.9999999902579</v>
      </c>
      <c r="I29">
        <v>1291</v>
      </c>
      <c r="J29">
        <v>101657</v>
      </c>
      <c r="K29">
        <f>O29+Z29+AK29+AV29+BG29+BR29+CC29+CN29</f>
        <v>1291</v>
      </c>
      <c r="L29" s="3">
        <f>(K29/K28)-1</f>
        <v>0.27569169960474316</v>
      </c>
      <c r="O29">
        <f>O28+8</f>
        <v>52</v>
      </c>
      <c r="Q29" s="5">
        <f>O29-O28</f>
        <v>8</v>
      </c>
      <c r="R29">
        <f>R28+6</f>
        <v>9</v>
      </c>
      <c r="S29" s="5">
        <f>R29-R28</f>
        <v>6</v>
      </c>
      <c r="T29" s="5"/>
      <c r="U29">
        <f>U28+0</f>
        <v>0</v>
      </c>
      <c r="Z29">
        <f>Z28+51</f>
        <v>189</v>
      </c>
      <c r="AB29" s="5">
        <f>Z29-Z28</f>
        <v>51</v>
      </c>
      <c r="AC29">
        <f>AC28+9</f>
        <v>36</v>
      </c>
      <c r="AD29" s="5">
        <f>AC29-AC28</f>
        <v>9</v>
      </c>
      <c r="AE29" s="5"/>
      <c r="AF29">
        <f>AF28+0</f>
        <v>2</v>
      </c>
      <c r="AH29" s="3">
        <f>(AF29/AF28)-1</f>
        <v>0</v>
      </c>
      <c r="AK29">
        <f>AK28+66</f>
        <v>222</v>
      </c>
      <c r="AM29" s="5">
        <f>AK29-AK28</f>
        <v>66</v>
      </c>
      <c r="AN29">
        <f>AN28+12</f>
        <v>46</v>
      </c>
      <c r="AO29" s="5">
        <f>AN29-AN28</f>
        <v>12</v>
      </c>
      <c r="AP29" s="5"/>
      <c r="AQ29">
        <f>AQ28+4</f>
        <v>6</v>
      </c>
      <c r="AS29" s="3">
        <f>(AQ29/AQ28)-1</f>
        <v>2</v>
      </c>
      <c r="AU29" s="4">
        <f>AV29</f>
        <v>752</v>
      </c>
      <c r="AV29">
        <f>AV28+145</f>
        <v>752</v>
      </c>
      <c r="AX29" s="5">
        <f>AV29-AV28</f>
        <v>145</v>
      </c>
      <c r="AY29">
        <f>AY28+19</f>
        <v>68</v>
      </c>
      <c r="AZ29" s="5">
        <f>AY29-AY28</f>
        <v>19</v>
      </c>
      <c r="BA29" s="5"/>
      <c r="BB29">
        <f>BB28+2</f>
        <v>15</v>
      </c>
      <c r="BD29" s="3">
        <f>(BB29/BB28)-1</f>
        <v>0.15384615384615374</v>
      </c>
      <c r="BG29">
        <f>BG28+7</f>
        <v>25</v>
      </c>
      <c r="BI29" s="5">
        <f>BG29-BG28</f>
        <v>7</v>
      </c>
      <c r="BJ29">
        <f>BJ28+0</f>
        <v>5</v>
      </c>
      <c r="BK29" s="5">
        <f>BJ29-BJ28</f>
        <v>0</v>
      </c>
      <c r="BL29" s="5"/>
      <c r="BM29">
        <f>BM28+0</f>
        <v>1</v>
      </c>
      <c r="BO29" s="3">
        <f>(BM29/BM28)-1</f>
        <v>0</v>
      </c>
      <c r="BR29">
        <f>BR28+0</f>
        <v>33</v>
      </c>
      <c r="BT29" s="5">
        <f>BR29-BR28</f>
        <v>0</v>
      </c>
      <c r="BU29">
        <f>BU28+2</f>
        <v>7</v>
      </c>
      <c r="BV29" s="5">
        <f>BU29-BU28</f>
        <v>2</v>
      </c>
      <c r="BW29" s="5"/>
      <c r="BX29">
        <f>BX28+0</f>
        <v>3</v>
      </c>
      <c r="BZ29" s="3">
        <f>(BX29/BX28)-1</f>
        <v>0</v>
      </c>
      <c r="CC29">
        <f>CC28+0</f>
        <v>3</v>
      </c>
      <c r="CE29" s="5">
        <f>CC29-CC28</f>
        <v>0</v>
      </c>
      <c r="CF29">
        <f>CF28+0</f>
        <v>0</v>
      </c>
      <c r="CI29">
        <f>CI28+0</f>
        <v>0</v>
      </c>
      <c r="CN29">
        <f>CN28+2</f>
        <v>15</v>
      </c>
      <c r="CP29" s="5">
        <f>CN29-CN28</f>
        <v>2</v>
      </c>
      <c r="CQ29">
        <f>CQ28+0</f>
        <v>2</v>
      </c>
      <c r="CR29" s="5">
        <f>CQ29-CQ28</f>
        <v>0</v>
      </c>
      <c r="CS29" s="5"/>
      <c r="CT29">
        <f>CT28+0</f>
        <v>0</v>
      </c>
      <c r="DJ29">
        <f>O29+Z29+AK29+AV29+BG29+BR29+CC29+CN29</f>
        <v>1291</v>
      </c>
      <c r="DL29" s="5">
        <f>DJ29-DJ28</f>
        <v>279</v>
      </c>
      <c r="DM29">
        <f>R29+AC29+AN29+AY29+BJ29+BU29+CF29+CQ29</f>
        <v>173</v>
      </c>
      <c r="DN29" s="3">
        <f>(DM29/DM28)-1</f>
        <v>0.3839999999999999</v>
      </c>
      <c r="DO29" s="3"/>
      <c r="DP29">
        <f>U29+AF29+AQ29+BB29+BM29+BX29+CI29+CT29</f>
        <v>27</v>
      </c>
      <c r="DR29" s="3">
        <f>(DP29/DP28)-1</f>
        <v>0.28571428571428581</v>
      </c>
      <c r="DS29" s="3"/>
      <c r="DT29">
        <f>DM29-DM28</f>
        <v>48</v>
      </c>
      <c r="DV29">
        <v>1</v>
      </c>
      <c r="DW29" t="s">
        <v>31</v>
      </c>
      <c r="DX29" s="8">
        <v>43933</v>
      </c>
      <c r="DY29">
        <v>1</v>
      </c>
      <c r="EA29">
        <v>0</v>
      </c>
      <c r="EB29">
        <v>14</v>
      </c>
      <c r="EG29" t="s">
        <v>59</v>
      </c>
      <c r="EH29">
        <f>EH28+$EI$10+1</f>
        <v>909</v>
      </c>
      <c r="EI29">
        <f>EH29+$EI$10</f>
        <v>961</v>
      </c>
      <c r="ET29" t="inlineStr">
        <is>
          <t>Thomaston</t>
        </is>
      </c>
      <c r="EU29" s="8">
        <v>43955</v>
      </c>
      <c r="EV29">
        <v>43</v>
      </c>
      <c r="EW29" s="11">
        <f>(EV29/$EV$37)</f>
        <v>0.040375586854460091</v>
      </c>
      <c r="EX29">
        <v>569</v>
      </c>
      <c r="EY29">
        <v>0</v>
      </c>
      <c r="FU29">
        <v>100</v>
      </c>
      <c r="FV29">
        <v>100</v>
      </c>
      <c r="FW29">
        <v>90</v>
      </c>
      <c r="GA29" s="10">
        <v>43869</v>
      </c>
      <c r="GB29">
        <v>11</v>
      </c>
      <c r="GC29">
        <f>(GB29/GB28)-1</f>
        <v>0</v>
      </c>
      <c r="GL29">
        <v>129</v>
      </c>
      <c r="GM29" t="s">
        <v>55</v>
      </c>
      <c r="GN29" s="8">
        <v>43957</v>
      </c>
      <c r="GO29">
        <v>107</v>
      </c>
      <c r="GP29">
        <v>988</v>
      </c>
      <c r="GQ29">
        <v>3</v>
      </c>
      <c r="GV29" s="8">
        <v>43933</v>
      </c>
      <c r="GW29">
        <v>1</v>
      </c>
      <c r="GX29" t="s">
        <v>31</v>
      </c>
      <c r="GY29">
        <v>1</v>
      </c>
      <c r="HC29">
        <v>0</v>
      </c>
    </row>
    <row r="30" spans="1:325" ht="19.57">
      <c r="C30">
        <f>H29*D30</f>
        <v>232.99999999841174</v>
      </c>
      <c r="D30">
        <v>0.18048024787</v>
      </c>
      <c r="E30" t="s">
        <v>40</v>
      </c>
      <c r="F30" s="10">
        <v>43918</v>
      </c>
      <c r="G30" s="2">
        <f>H30*15</f>
        <v>22859.999999830045</v>
      </c>
      <c r="H30">
        <f>H29+C30</f>
        <v>1523.9999999886697</v>
      </c>
      <c r="I30">
        <v>1524</v>
      </c>
      <c r="J30">
        <v>121478</v>
      </c>
      <c r="K30">
        <f>O30+Z30+AK30+AV30+BG30+BR30+CC30+CN30</f>
        <v>1524</v>
      </c>
      <c r="L30" s="3">
        <f>(K30/K29)-1</f>
        <v>0.18048024786986838</v>
      </c>
      <c r="O30">
        <f>O29+13</f>
        <v>65</v>
      </c>
      <c r="Q30" s="5">
        <f>O30-O29</f>
        <v>13</v>
      </c>
      <c r="R30">
        <f>R29+3</f>
        <v>12</v>
      </c>
      <c r="S30" s="5">
        <f>R30-R29</f>
        <v>3</v>
      </c>
      <c r="T30" s="5"/>
      <c r="U30">
        <f>U29+0</f>
        <v>0</v>
      </c>
      <c r="Z30">
        <f>Z29+39</f>
        <v>228</v>
      </c>
      <c r="AB30" s="5">
        <f>Z30-Z29</f>
        <v>39</v>
      </c>
      <c r="AC30">
        <f>AC29+5</f>
        <v>41</v>
      </c>
      <c r="AD30" s="5">
        <f>AC30-AC29</f>
        <v>5</v>
      </c>
      <c r="AE30" s="5"/>
      <c r="AF30">
        <f>AF29+0</f>
        <v>2</v>
      </c>
      <c r="AH30" s="3">
        <f>(AF30/AF29)-1</f>
        <v>0</v>
      </c>
      <c r="AK30">
        <f>AK29+14</f>
        <v>236</v>
      </c>
      <c r="AM30" s="5">
        <f>AK30-AK29</f>
        <v>14</v>
      </c>
      <c r="AN30">
        <f>AN29+4</f>
        <v>50</v>
      </c>
      <c r="AO30" s="5">
        <f>AN30-AN29</f>
        <v>4</v>
      </c>
      <c r="AP30" s="5"/>
      <c r="AQ30">
        <f>AQ29+0</f>
        <v>6</v>
      </c>
      <c r="AS30" s="3">
        <f>(AQ30/AQ29)-1</f>
        <v>0</v>
      </c>
      <c r="AU30" s="4">
        <f>AV30</f>
        <v>908</v>
      </c>
      <c r="AV30">
        <f>AV29+156</f>
        <v>908</v>
      </c>
      <c r="AX30" s="5">
        <f>AV30-AV29</f>
        <v>156</v>
      </c>
      <c r="AY30">
        <f>AY29+20</f>
        <v>88</v>
      </c>
      <c r="AZ30" s="5">
        <f>AY30-AY29</f>
        <v>20</v>
      </c>
      <c r="BA30" s="5"/>
      <c r="BB30">
        <f>BB29+5</f>
        <v>20</v>
      </c>
      <c r="BD30" s="3">
        <f>(BB30/BB29)-1</f>
        <v>0.33333333333333326</v>
      </c>
      <c r="BG30">
        <f>BG29+3</f>
        <v>28</v>
      </c>
      <c r="BI30" s="5">
        <f>BG30-BG29</f>
        <v>3</v>
      </c>
      <c r="BJ30">
        <f>BJ29+0</f>
        <v>5</v>
      </c>
      <c r="BK30" s="5">
        <f>BJ30-BJ29</f>
        <v>0</v>
      </c>
      <c r="BL30" s="5"/>
      <c r="BM30">
        <f>BM29+0</f>
        <v>1</v>
      </c>
      <c r="BO30" s="3">
        <f>(BM30/BM29)-1</f>
        <v>0</v>
      </c>
      <c r="BR30">
        <f>BR29+4</f>
        <v>37</v>
      </c>
      <c r="BT30" s="5">
        <f>BR30-BR29</f>
        <v>4</v>
      </c>
      <c r="BU30">
        <f>BU29+0</f>
        <v>7</v>
      </c>
      <c r="BV30" s="5">
        <f>BU30-BU29</f>
        <v>0</v>
      </c>
      <c r="BW30" s="5"/>
      <c r="BX30">
        <f>BX29+1</f>
        <v>4</v>
      </c>
      <c r="BZ30" s="3">
        <f>(BX30/BX29)-1</f>
        <v>0.33333333333333326</v>
      </c>
      <c r="CC30">
        <f>CC29+0</f>
        <v>3</v>
      </c>
      <c r="CE30" s="5">
        <f>CC30-CC29</f>
        <v>0</v>
      </c>
      <c r="CF30">
        <f>CF29+0</f>
        <v>0</v>
      </c>
      <c r="CI30">
        <f>CI29+0</f>
        <v>0</v>
      </c>
      <c r="CN30">
        <f>CN29+4</f>
        <v>19</v>
      </c>
      <c r="CP30" s="5">
        <f>CN30-CN29</f>
        <v>4</v>
      </c>
      <c r="CQ30">
        <f>CQ29+0</f>
        <v>2</v>
      </c>
      <c r="CR30" s="5">
        <f>CQ30-CQ29</f>
        <v>0</v>
      </c>
      <c r="CS30" s="5"/>
      <c r="CT30">
        <f>CT29+0</f>
        <v>0</v>
      </c>
      <c r="DJ30">
        <f>O30+Z30+AK30+AV30+BG30+BR30+CC30+CN30</f>
        <v>1524</v>
      </c>
      <c r="DL30" s="5">
        <f>DJ30-DJ29</f>
        <v>233</v>
      </c>
      <c r="DM30">
        <f>R30+AC30+AN30+AY30+BJ30+BU30+CF30+CQ30</f>
        <v>205</v>
      </c>
      <c r="DN30" s="3">
        <f>(DM30/DM29)-1</f>
        <v>0.18497109826589586</v>
      </c>
      <c r="DO30" s="3"/>
      <c r="DP30">
        <f>U30+AF30+AQ30+BB30+BM30+BX30+CI30+CT30</f>
        <v>33</v>
      </c>
      <c r="DR30" s="3">
        <f>(DP30/DP29)-1</f>
        <v>0.22222222222222232</v>
      </c>
      <c r="DS30" s="3"/>
      <c r="DT30">
        <f>DM30-DM29</f>
        <v>32</v>
      </c>
      <c r="DV30">
        <v>1</v>
      </c>
      <c r="DW30" t="s">
        <v>31</v>
      </c>
      <c r="DX30" s="8">
        <v>43934</v>
      </c>
      <c r="DY30">
        <v>1</v>
      </c>
      <c r="EA30">
        <v>0</v>
      </c>
      <c r="EB30">
        <v>15</v>
      </c>
      <c r="EG30" t="s">
        <v>60</v>
      </c>
      <c r="EH30">
        <f>EH29+$EI$10+1</f>
        <v>962</v>
      </c>
      <c r="EI30">
        <f>EH30+$EI$10</f>
        <v>1014</v>
      </c>
      <c r="ET30" t="s">
        <v>61</v>
      </c>
      <c r="EU30" s="8">
        <v>43955</v>
      </c>
      <c r="EV30">
        <v>368</v>
      </c>
      <c r="EW30" s="11">
        <f>(EV30/$EV$37)</f>
        <v>0.34553990610328639</v>
      </c>
      <c r="EX30">
        <v>1075</v>
      </c>
      <c r="EY30">
        <v>64</v>
      </c>
      <c r="FU30">
        <v>100</v>
      </c>
      <c r="FV30" t="inlineStr">
        <is>
          <t>28th</t>
        </is>
      </c>
      <c r="FW30">
        <v>490</v>
      </c>
      <c r="GA30" s="10">
        <v>43870</v>
      </c>
      <c r="GB30">
        <v>11</v>
      </c>
      <c r="GC30">
        <f>(GB30/GB29)-1</f>
        <v>0</v>
      </c>
      <c r="GL30">
        <v>129</v>
      </c>
      <c r="GM30" t="s">
        <v>55</v>
      </c>
      <c r="GN30" s="8">
        <v>43958</v>
      </c>
      <c r="GO30">
        <v>110</v>
      </c>
      <c r="GP30">
        <v>1015</v>
      </c>
      <c r="GQ30">
        <v>3</v>
      </c>
      <c r="GV30" s="8">
        <v>43934</v>
      </c>
      <c r="GW30">
        <v>1</v>
      </c>
      <c r="GX30" t="s">
        <v>31</v>
      </c>
      <c r="GY30">
        <v>1</v>
      </c>
      <c r="HC30">
        <v>0</v>
      </c>
    </row>
    <row r="31" spans="1:325" ht="19.57">
      <c r="C31">
        <f>H30*D31</f>
        <v>468.99999999616119</v>
      </c>
      <c r="D31">
        <v>0.30774278215200002</v>
      </c>
      <c r="E31" t="s">
        <v>30</v>
      </c>
      <c r="F31" s="10">
        <v>43919</v>
      </c>
      <c r="G31" s="2">
        <f>H31*15</f>
        <v>29894.999999772466</v>
      </c>
      <c r="H31">
        <f>H30+C31</f>
        <v>1992.999999984831</v>
      </c>
      <c r="I31">
        <v>1993</v>
      </c>
      <c r="J31">
        <v>140886</v>
      </c>
      <c r="K31">
        <f>O31+Z31+AK31+AV31+BG31+BR31+CC31+CN31</f>
        <v>1993</v>
      </c>
      <c r="L31" s="3">
        <f>(K31/K30)-1</f>
        <v>0.30774278215223094</v>
      </c>
      <c r="O31">
        <f>O30+22</f>
        <v>87</v>
      </c>
      <c r="Q31" s="5">
        <f>O31-O30</f>
        <v>22</v>
      </c>
      <c r="R31">
        <f>R30-7</f>
        <v>5</v>
      </c>
      <c r="S31" s="5">
        <f>R31-R30</f>
        <v>-7</v>
      </c>
      <c r="T31" s="5"/>
      <c r="U31">
        <f>U30+0</f>
        <v>0</v>
      </c>
      <c r="Z31">
        <f>Z30+48</f>
        <v>276</v>
      </c>
      <c r="AB31" s="5">
        <f>Z31-Z30</f>
        <v>48</v>
      </c>
      <c r="AC31">
        <f>AC30+26</f>
        <v>67</v>
      </c>
      <c r="AD31" s="5">
        <f>AC31-AC30</f>
        <v>26</v>
      </c>
      <c r="AE31" s="5"/>
      <c r="AF31">
        <f>AF30+0</f>
        <v>2</v>
      </c>
      <c r="AH31" s="3">
        <f>(AF31/AF30)-1</f>
        <v>0</v>
      </c>
      <c r="AK31">
        <f>AK30+44</f>
        <v>280</v>
      </c>
      <c r="AM31" s="5">
        <f>AK31-AK30</f>
        <v>44</v>
      </c>
      <c r="AN31">
        <f>AN30+87</f>
        <v>137</v>
      </c>
      <c r="AO31" s="5">
        <f>AN31-AN30</f>
        <v>87</v>
      </c>
      <c r="AP31" s="5"/>
      <c r="AQ31">
        <f>AQ30+0</f>
        <v>6</v>
      </c>
      <c r="AS31" s="3">
        <f>(AQ31/AQ30)-1</f>
        <v>0</v>
      </c>
      <c r="AU31" s="4">
        <f>AV31</f>
        <v>1245</v>
      </c>
      <c r="AV31">
        <f>AV30+337</f>
        <v>1245</v>
      </c>
      <c r="AX31" s="5">
        <f>AV31-AV30</f>
        <v>337</v>
      </c>
      <c r="AY31">
        <f>AY30+101</f>
        <v>189</v>
      </c>
      <c r="AZ31" s="5">
        <f>AY31-AY30</f>
        <v>101</v>
      </c>
      <c r="BA31" s="5"/>
      <c r="BB31">
        <f>BB30+1</f>
        <v>21</v>
      </c>
      <c r="BD31" s="3">
        <f>(BB31/BB30)-1</f>
        <v>0.050000000000000044</v>
      </c>
      <c r="BG31">
        <f>BG30+10</f>
        <v>38</v>
      </c>
      <c r="BI31" s="5">
        <f>BG31-BG30</f>
        <v>10</v>
      </c>
      <c r="BJ31">
        <f>BJ30-4</f>
        <v>1</v>
      </c>
      <c r="BK31" s="5">
        <f>BJ31-BJ30</f>
        <v>-4</v>
      </c>
      <c r="BL31" s="5"/>
      <c r="BM31">
        <f>BM30+0</f>
        <v>1</v>
      </c>
      <c r="BO31" s="3">
        <f>(BM31/BM30)-1</f>
        <v>0</v>
      </c>
      <c r="BR31">
        <f>BR30+3</f>
        <v>40</v>
      </c>
      <c r="BT31" s="5">
        <f>BR31-BR30</f>
        <v>3</v>
      </c>
      <c r="BU31">
        <f>BU30-7</f>
        <v>0</v>
      </c>
      <c r="BV31" s="5">
        <f>BU31-BU30</f>
        <v>-7</v>
      </c>
      <c r="BW31" s="5"/>
      <c r="BX31">
        <f>BX30+0</f>
        <v>4</v>
      </c>
      <c r="BZ31" s="3">
        <f>(BX31/BX30)-1</f>
        <v>0</v>
      </c>
      <c r="CC31">
        <f>CC30+4</f>
        <v>7</v>
      </c>
      <c r="CE31" s="5">
        <f>CC31-CC30</f>
        <v>4</v>
      </c>
      <c r="CF31">
        <f>CF30+1</f>
        <v>1</v>
      </c>
      <c r="CG31" s="5">
        <f>CF31-CF30</f>
        <v>1</v>
      </c>
      <c r="CH31" s="5"/>
      <c r="CI31">
        <f>CI30+0</f>
        <v>0</v>
      </c>
      <c r="CN31">
        <f>CN30+1</f>
        <v>20</v>
      </c>
      <c r="CP31" s="5">
        <f>CN31-CN30</f>
        <v>1</v>
      </c>
      <c r="CQ31">
        <f>CQ30+2</f>
        <v>4</v>
      </c>
      <c r="CR31" s="5">
        <f>CQ31-CQ30</f>
        <v>2</v>
      </c>
      <c r="CS31" s="5"/>
      <c r="CT31">
        <f>CT30+0</f>
        <v>0</v>
      </c>
      <c r="DJ31">
        <f>O31+Z31+AK31+AV31+BG31+BR31+CC31+CN31</f>
        <v>1993</v>
      </c>
      <c r="DL31" s="5">
        <f>DJ31-DJ30</f>
        <v>469</v>
      </c>
      <c r="DM31">
        <f>R31+AC31+AN31+AY31+BJ31+BU31+CF31+CQ31</f>
        <v>404</v>
      </c>
      <c r="DN31" s="3">
        <f>(DM31/DM30)-1</f>
        <v>0.97073170731707314</v>
      </c>
      <c r="DO31" s="3"/>
      <c r="DP31">
        <f>U31+AF31+AQ31+BB31+BM31+BX31+CI31+CT31</f>
        <v>34</v>
      </c>
      <c r="DR31" s="3">
        <f>(DP31/DP30)-1</f>
        <v>0.030303030303030276</v>
      </c>
      <c r="DS31" s="3"/>
      <c r="DT31">
        <f>DM31-DM30</f>
        <v>199</v>
      </c>
      <c r="DV31">
        <v>1</v>
      </c>
      <c r="DW31" t="s">
        <v>31</v>
      </c>
      <c r="DX31" s="8">
        <v>43935</v>
      </c>
      <c r="DY31">
        <v>1</v>
      </c>
      <c r="EA31">
        <v>0</v>
      </c>
      <c r="EB31">
        <v>16</v>
      </c>
      <c r="EG31" t="s">
        <v>62</v>
      </c>
      <c r="EH31">
        <f>EH30+$EI$10+1</f>
        <v>1015</v>
      </c>
      <c r="EI31">
        <f>EH31+$EI$10</f>
        <v>1067</v>
      </c>
      <c r="ET31" t="inlineStr">
        <is>
          <t>Warren</t>
        </is>
      </c>
      <c r="EU31" s="8">
        <v>43955</v>
      </c>
      <c r="EV31">
        <v>4</v>
      </c>
      <c r="EW31" s="11">
        <f>(EV31/$EV$37)</f>
        <v>0.0037558685446009389</v>
      </c>
      <c r="EX31">
        <v>286</v>
      </c>
      <c r="EY31">
        <v>0</v>
      </c>
      <c r="FU31">
        <v>100</v>
      </c>
      <c r="FV31" t="inlineStr">
        <is>
          <t>29th</t>
        </is>
      </c>
      <c r="FW31">
        <v>90</v>
      </c>
      <c r="GA31" s="10">
        <v>43871</v>
      </c>
      <c r="GB31">
        <v>11</v>
      </c>
      <c r="GC31">
        <f>(GB31/GB30)-1</f>
        <v>0</v>
      </c>
      <c r="GL31">
        <v>129</v>
      </c>
      <c r="GM31" t="s">
        <v>55</v>
      </c>
      <c r="GN31" s="8">
        <v>43959</v>
      </c>
      <c r="GO31">
        <v>110</v>
      </c>
      <c r="GP31">
        <v>1015</v>
      </c>
      <c r="GQ31">
        <v>3</v>
      </c>
      <c r="GV31" s="8">
        <v>43935</v>
      </c>
      <c r="GW31">
        <v>1</v>
      </c>
      <c r="GX31" t="s">
        <v>31</v>
      </c>
      <c r="GY31">
        <v>1</v>
      </c>
      <c r="HC31">
        <v>0</v>
      </c>
    </row>
    <row r="32" spans="1:325" ht="19.57">
      <c r="C32">
        <f>H31*D32</f>
        <v>577.99999999481281</v>
      </c>
      <c r="D32">
        <f>0.29001505268400002</f>
        <v>0.29001505268400002</v>
      </c>
      <c r="E32" t="s">
        <v>33</v>
      </c>
      <c r="F32" s="10">
        <v>43920</v>
      </c>
      <c r="G32" s="2">
        <f>H32*15</f>
        <v>38564.999999694657</v>
      </c>
      <c r="H32">
        <f>H31+C32</f>
        <v>2570.9999999796437</v>
      </c>
      <c r="I32">
        <v>2571</v>
      </c>
      <c r="J32">
        <v>161807</v>
      </c>
      <c r="K32">
        <f>O32+Z32+AK32+AV32+BG32+BR32+CC32+CN32+CY32</f>
        <v>2571</v>
      </c>
      <c r="L32" s="3">
        <f>(K32/K31)-1</f>
        <v>0.29001505268439542</v>
      </c>
      <c r="O32">
        <f>O31+26</f>
        <v>113</v>
      </c>
      <c r="Q32" s="5">
        <f>O32-O31</f>
        <v>26</v>
      </c>
      <c r="R32">
        <f>R31+2</f>
        <v>7</v>
      </c>
      <c r="S32" s="5">
        <f>R32-R31</f>
        <v>2</v>
      </c>
      <c r="T32" s="5"/>
      <c r="U32">
        <f>U31+1</f>
        <v>1</v>
      </c>
      <c r="W32" s="3"/>
      <c r="Z32">
        <f>Z31+54</f>
        <v>330</v>
      </c>
      <c r="AB32" s="5">
        <f>Z32-Z31</f>
        <v>54</v>
      </c>
      <c r="AC32">
        <f>AC31+29</f>
        <v>96</v>
      </c>
      <c r="AD32" s="5">
        <f>AC32-AC31</f>
        <v>29</v>
      </c>
      <c r="AE32" s="5"/>
      <c r="AF32">
        <f>AF31+1</f>
        <v>3</v>
      </c>
      <c r="AH32" s="3">
        <f>(AF32/AF31)-1</f>
        <v>0.5</v>
      </c>
      <c r="AK32">
        <f>AK31+93</f>
        <v>373</v>
      </c>
      <c r="AM32" s="5">
        <f>AK32-AK31</f>
        <v>93</v>
      </c>
      <c r="AN32">
        <f>AN31+39</f>
        <v>176</v>
      </c>
      <c r="AO32" s="5">
        <f>AN32-AN31</f>
        <v>39</v>
      </c>
      <c r="AP32" s="5"/>
      <c r="AQ32">
        <f>AQ31+0</f>
        <v>6</v>
      </c>
      <c r="AS32" s="3">
        <f>(AQ32/AQ31)-1</f>
        <v>0</v>
      </c>
      <c r="AU32" s="4">
        <f>AV32</f>
        <v>1445</v>
      </c>
      <c r="AV32">
        <f>AV31+200</f>
        <v>1445</v>
      </c>
      <c r="AX32" s="5">
        <f>AV32-AV31</f>
        <v>200</v>
      </c>
      <c r="AY32">
        <f>AY31+41</f>
        <v>230</v>
      </c>
      <c r="AZ32" s="5">
        <f>AY32-AY31</f>
        <v>41</v>
      </c>
      <c r="BA32" s="5"/>
      <c r="BB32">
        <f>BB31+0</f>
        <v>21</v>
      </c>
      <c r="BD32" s="3">
        <f>(BB32/BB31)-1</f>
        <v>0</v>
      </c>
      <c r="BG32">
        <f>BG31+12</f>
        <v>50</v>
      </c>
      <c r="BI32" s="5">
        <f>BG32-BG31</f>
        <v>12</v>
      </c>
      <c r="BJ32">
        <f>BJ31+0</f>
        <v>1</v>
      </c>
      <c r="BK32" s="5">
        <f>BJ32-BJ31</f>
        <v>0</v>
      </c>
      <c r="BL32" s="5"/>
      <c r="BM32">
        <f>BM31+0</f>
        <v>1</v>
      </c>
      <c r="BO32" s="3">
        <f>(BM32/BM31)-1</f>
        <v>0</v>
      </c>
      <c r="BR32">
        <f>BR31+10</f>
        <v>50</v>
      </c>
      <c r="BT32" s="5">
        <f>BR32-BR31</f>
        <v>10</v>
      </c>
      <c r="BU32">
        <f>BU31+2</f>
        <v>2</v>
      </c>
      <c r="BV32" s="5">
        <f>BU32-BU31</f>
        <v>2</v>
      </c>
      <c r="BW32" s="5"/>
      <c r="BX32">
        <f>BX31+0</f>
        <v>4</v>
      </c>
      <c r="BZ32" s="3">
        <f>(BX32/BX31)-1</f>
        <v>0</v>
      </c>
      <c r="CC32">
        <f>CC31+3</f>
        <v>10</v>
      </c>
      <c r="CE32" s="5">
        <f>CC32-CC31</f>
        <v>3</v>
      </c>
      <c r="CF32">
        <f>CF31-1</f>
        <v>0</v>
      </c>
      <c r="CG32" s="5">
        <f>CF32-CF31</f>
        <v>-1</v>
      </c>
      <c r="CH32" s="5"/>
      <c r="CI32">
        <f>CI31+0</f>
        <v>0</v>
      </c>
      <c r="CN32">
        <f>CN31+4</f>
        <v>24</v>
      </c>
      <c r="CP32" s="5">
        <f>CN32-CN31</f>
        <v>4</v>
      </c>
      <c r="CQ32">
        <f>CQ31+1</f>
        <v>5</v>
      </c>
      <c r="CR32" s="5">
        <f>CQ32-CQ31</f>
        <v>1</v>
      </c>
      <c r="CS32" s="5"/>
      <c r="CT32">
        <f>CT31+0</f>
        <v>0</v>
      </c>
      <c r="CY32">
        <f>CY31+176</f>
        <v>176</v>
      </c>
      <c r="DA32" s="5">
        <f>CY32-CY31</f>
        <v>176</v>
      </c>
      <c r="DE32">
        <f>DE31+0</f>
        <v>0</v>
      </c>
      <c r="DJ32">
        <f>O32+Z32+AK32+AV32+BG32+BR32+CC32+CN32+CY32</f>
        <v>2571</v>
      </c>
      <c r="DL32" s="5">
        <f>DJ32-DJ31</f>
        <v>578</v>
      </c>
      <c r="DM32">
        <f>R32+AC32+AN32+AY32+BJ32+BU32+CF32+CQ32+DB32</f>
        <v>517</v>
      </c>
      <c r="DN32" s="3">
        <f>(DM32/DM31)-1</f>
        <v>0.27970297029702973</v>
      </c>
      <c r="DO32" s="3"/>
      <c r="DP32">
        <f>U32+AF32+AQ32+BB32+BM32+BX32+CI32+CT32+DE32</f>
        <v>36</v>
      </c>
      <c r="DR32" s="3">
        <f>(DP32/DP31)-1</f>
        <v>0.058823529411764719</v>
      </c>
      <c r="DS32" s="3"/>
      <c r="DT32">
        <f>DM32-DM31</f>
        <v>113</v>
      </c>
      <c r="DV32">
        <v>1</v>
      </c>
      <c r="DW32" t="s">
        <v>31</v>
      </c>
      <c r="DX32" s="8">
        <v>43936</v>
      </c>
      <c r="DY32">
        <v>1</v>
      </c>
      <c r="EA32">
        <v>0</v>
      </c>
      <c r="EB32">
        <v>17</v>
      </c>
      <c r="EG32" t="s">
        <v>44</v>
      </c>
      <c r="EH32">
        <f>EH31+$EI$10+1</f>
        <v>1068</v>
      </c>
      <c r="EI32">
        <f>EH32+$EI$10</f>
        <v>1120</v>
      </c>
      <c r="ET32" t="inlineStr">
        <is>
          <t>Washington</t>
        </is>
      </c>
      <c r="EU32" s="8">
        <v>43955</v>
      </c>
      <c r="EV32">
        <v>18</v>
      </c>
      <c r="EW32" s="11">
        <f>(EV32/$EV$37)</f>
        <v>0.016901408450704224</v>
      </c>
      <c r="EX32">
        <v>524</v>
      </c>
      <c r="EY32">
        <v>1</v>
      </c>
      <c r="FU32">
        <v>100</v>
      </c>
      <c r="FV32">
        <v>100</v>
      </c>
      <c r="FW32">
        <v>290</v>
      </c>
      <c r="GA32" s="10">
        <v>43872</v>
      </c>
      <c r="GB32">
        <v>12</v>
      </c>
      <c r="GC32">
        <f>(GB32/GB31)-1</f>
        <v>0.090909090909090828</v>
      </c>
      <c r="GL32">
        <v>129</v>
      </c>
      <c r="GM32" t="s">
        <v>55</v>
      </c>
      <c r="GN32" s="8">
        <v>43960</v>
      </c>
      <c r="GO32">
        <v>110</v>
      </c>
      <c r="GP32">
        <v>1015</v>
      </c>
      <c r="GQ32">
        <v>3</v>
      </c>
      <c r="GV32" s="8">
        <v>43936</v>
      </c>
      <c r="GW32">
        <v>1</v>
      </c>
      <c r="GX32" t="s">
        <v>31</v>
      </c>
      <c r="GY32">
        <v>1</v>
      </c>
      <c r="HC32">
        <v>0</v>
      </c>
    </row>
    <row r="33" spans="1:325" ht="19.57">
      <c r="C33">
        <f>H32*D33</f>
        <v>556.99999999574084</v>
      </c>
      <c r="D33">
        <f>0.21664721898100001</f>
        <v>0.21664721898100001</v>
      </c>
      <c r="E33" t="s">
        <v>34</v>
      </c>
      <c r="F33" s="10">
        <v>43921</v>
      </c>
      <c r="G33" s="2">
        <f>H33*15</f>
        <v>46919.999999630767</v>
      </c>
      <c r="H33">
        <f>H32+C33</f>
        <v>3127.9999999753845</v>
      </c>
      <c r="I33">
        <v>3128</v>
      </c>
      <c r="J33">
        <v>188172</v>
      </c>
      <c r="K33">
        <f>O33+Z33+AK33+AV33+BG33+BR33+CC33+CN33+CY33</f>
        <v>3128</v>
      </c>
      <c r="L33" s="3">
        <f>(K33/K32)-1</f>
        <v>0.21664721898094119</v>
      </c>
      <c r="O33">
        <f>O32+8</f>
        <v>121</v>
      </c>
      <c r="Q33" s="5">
        <f>O33-O32</f>
        <v>8</v>
      </c>
      <c r="R33">
        <f>R32+0</f>
        <v>7</v>
      </c>
      <c r="S33" s="5">
        <f>R33-R32</f>
        <v>0</v>
      </c>
      <c r="T33" s="5"/>
      <c r="U33">
        <f>U32+0</f>
        <v>1</v>
      </c>
      <c r="W33" s="3">
        <f>(U33/U32)-1</f>
        <v>0</v>
      </c>
      <c r="Z33">
        <f>Z32+63</f>
        <v>393</v>
      </c>
      <c r="AB33" s="5">
        <f>Z33-Z32</f>
        <v>63</v>
      </c>
      <c r="AC33">
        <f>AC32+14</f>
        <v>110</v>
      </c>
      <c r="AD33" s="5">
        <f>AC33-AC32</f>
        <v>14</v>
      </c>
      <c r="AE33" s="5"/>
      <c r="AF33">
        <f>AF32+4</f>
        <v>7</v>
      </c>
      <c r="AH33" s="3">
        <f>(AF33/AF32)-1</f>
        <v>1.3333333333333335</v>
      </c>
      <c r="AK33">
        <f>AK32+144</f>
        <v>517</v>
      </c>
      <c r="AM33" s="5">
        <f>AK33-AK32</f>
        <v>144</v>
      </c>
      <c r="AN33">
        <f>AN32+26</f>
        <v>202</v>
      </c>
      <c r="AO33" s="5">
        <f>AN33-AN32</f>
        <v>26</v>
      </c>
      <c r="AP33" s="5"/>
      <c r="AQ33">
        <f>AQ32+6</f>
        <v>12</v>
      </c>
      <c r="AS33" s="3">
        <f>(AQ33/AQ32)-1</f>
        <v>1</v>
      </c>
      <c r="AU33" s="4">
        <f>AV33</f>
        <v>1870</v>
      </c>
      <c r="AV33">
        <f>AV32+425</f>
        <v>1870</v>
      </c>
      <c r="AX33" s="5">
        <f>AV33-AV32</f>
        <v>425</v>
      </c>
      <c r="AY33">
        <f>AY32+45</f>
        <v>275</v>
      </c>
      <c r="AZ33" s="5">
        <f>AY33-AY32</f>
        <v>45</v>
      </c>
      <c r="BA33" s="5"/>
      <c r="BB33">
        <f>BB32+17</f>
        <v>38</v>
      </c>
      <c r="BD33" s="3">
        <f>(BB33/BB32)-1</f>
        <v>0.80952380952380953</v>
      </c>
      <c r="BG33">
        <f>BG32+6</f>
        <v>56</v>
      </c>
      <c r="BI33" s="5">
        <f>BG33-BG32</f>
        <v>6</v>
      </c>
      <c r="BJ33">
        <f>BJ32+4</f>
        <v>5</v>
      </c>
      <c r="BK33" s="5">
        <f>BJ33-BJ32</f>
        <v>4</v>
      </c>
      <c r="BL33" s="5"/>
      <c r="BM33">
        <f>BM32+0</f>
        <v>1</v>
      </c>
      <c r="BO33" s="3">
        <f>(BM33/BM32)-1</f>
        <v>0</v>
      </c>
      <c r="BR33">
        <f>BR32+6</f>
        <v>56</v>
      </c>
      <c r="BT33" s="5">
        <f>BR33-BR32</f>
        <v>6</v>
      </c>
      <c r="BU33">
        <f>BU32+-1</f>
        <v>1</v>
      </c>
      <c r="BV33" s="5">
        <f>BU33-BU32</f>
        <v>-1</v>
      </c>
      <c r="BW33" s="5"/>
      <c r="BX33">
        <f>BX32+3</f>
        <v>7</v>
      </c>
      <c r="BZ33" s="3">
        <f>(BX33/BX32)-1</f>
        <v>0.75</v>
      </c>
      <c r="CC33">
        <f>CC32+1</f>
        <v>11</v>
      </c>
      <c r="CE33" s="5">
        <f>CC33-CC32</f>
        <v>1</v>
      </c>
      <c r="CF33">
        <f>CF32+0</f>
        <v>0</v>
      </c>
      <c r="CG33" s="5">
        <f>CF33-CF32</f>
        <v>0</v>
      </c>
      <c r="CH33" s="5"/>
      <c r="CI33">
        <f>CI32+0</f>
        <v>0</v>
      </c>
      <c r="CN33">
        <f>CN32+3</f>
        <v>27</v>
      </c>
      <c r="CP33" s="5">
        <f>CN33-CN32</f>
        <v>3</v>
      </c>
      <c r="CQ33">
        <f>CQ32+3</f>
        <v>8</v>
      </c>
      <c r="CR33" s="5">
        <f>CQ33-CQ32</f>
        <v>3</v>
      </c>
      <c r="CS33" s="5"/>
      <c r="CT33">
        <f>CT32+1</f>
        <v>1</v>
      </c>
      <c r="CY33">
        <f>CY32-99</f>
        <v>77</v>
      </c>
      <c r="DA33" s="5">
        <f>CY33-CY32</f>
        <v>-99</v>
      </c>
      <c r="DE33">
        <f>DE32+2</f>
        <v>2</v>
      </c>
      <c r="DG33" s="3"/>
      <c r="DJ33">
        <f>O33+Z33+AK33+AV33+BG33+BR33+CC33+CN33+CY33</f>
        <v>3128</v>
      </c>
      <c r="DL33" s="5">
        <f>DJ33-DJ32</f>
        <v>557</v>
      </c>
      <c r="DM33">
        <f>R33+AC33+AN33+AY33+BJ33+BU33+CF33+CQ33+DB33</f>
        <v>608</v>
      </c>
      <c r="DN33" s="3">
        <f>(DM33/DM32)-1</f>
        <v>0.17601547388781436</v>
      </c>
      <c r="DO33" s="3"/>
      <c r="DP33">
        <f>U33+AF33+AQ33+BB33+BM33+BX33+CI33+CT33+DE33</f>
        <v>69</v>
      </c>
      <c r="DR33" s="3">
        <f>(DP33/DP32)-1</f>
        <v>0.91666666666666674</v>
      </c>
      <c r="DS33" s="3"/>
      <c r="DT33">
        <f>DM33-DM32</f>
        <v>91</v>
      </c>
      <c r="DV33">
        <v>1</v>
      </c>
      <c r="DW33" t="s">
        <v>31</v>
      </c>
      <c r="DX33" s="8">
        <v>43937</v>
      </c>
      <c r="DY33">
        <v>2</v>
      </c>
      <c r="DZ33">
        <v>62</v>
      </c>
      <c r="EA33">
        <v>0</v>
      </c>
      <c r="EB33">
        <v>18</v>
      </c>
      <c r="EG33" t="s">
        <v>63</v>
      </c>
      <c r="EH33">
        <f>EH32+$EI$10+1</f>
        <v>1121</v>
      </c>
      <c r="EI33">
        <f>EH33+$EI$10</f>
        <v>1173</v>
      </c>
      <c r="ET33" t="s">
        <v>64</v>
      </c>
      <c r="EU33" s="8">
        <v>43955</v>
      </c>
      <c r="EV33">
        <v>103</v>
      </c>
      <c r="EW33" s="11">
        <f>(EV33/$EV$37)</f>
        <v>0.096713615023474184</v>
      </c>
      <c r="EX33">
        <v>476</v>
      </c>
      <c r="EY33">
        <v>4</v>
      </c>
      <c r="FU33">
        <v>31</v>
      </c>
      <c r="FV33">
        <v>31</v>
      </c>
      <c r="FW33">
        <v>90</v>
      </c>
      <c r="GA33" s="10">
        <v>43873</v>
      </c>
      <c r="GB33">
        <v>12</v>
      </c>
      <c r="GC33">
        <f>(GB33/GB32)-1</f>
        <v>0</v>
      </c>
      <c r="GL33">
        <v>129</v>
      </c>
      <c r="GM33" t="s">
        <v>55</v>
      </c>
      <c r="GN33" s="8">
        <v>43961</v>
      </c>
      <c r="GO33">
        <v>111</v>
      </c>
      <c r="GP33">
        <v>1025</v>
      </c>
      <c r="GQ33">
        <v>3</v>
      </c>
      <c r="GV33" s="8">
        <v>43937</v>
      </c>
      <c r="GW33">
        <v>1</v>
      </c>
      <c r="GX33" t="s">
        <v>31</v>
      </c>
      <c r="GY33">
        <v>2</v>
      </c>
      <c r="HB33">
        <v>62</v>
      </c>
      <c r="HC33">
        <v>0</v>
      </c>
    </row>
    <row r="34" spans="1:325" ht="19.57">
      <c r="C34">
        <f>H33*D34</f>
        <v>429.00000000942401</v>
      </c>
      <c r="D34">
        <v>0.1371483376</v>
      </c>
      <c r="E34" t="s">
        <v>35</v>
      </c>
      <c r="F34" s="10">
        <v>43922</v>
      </c>
      <c r="G34" s="2">
        <f>H34*15</f>
        <v>53354.999999772132</v>
      </c>
      <c r="H34">
        <f>H33+C34</f>
        <v>3556.9999999848087</v>
      </c>
      <c r="I34">
        <v>3557</v>
      </c>
      <c r="J34">
        <v>213372</v>
      </c>
      <c r="K34">
        <f>O34+Z34+AK34+AV34+BG34+BR34+CC34+CN34+CY34</f>
        <v>3557</v>
      </c>
      <c r="L34" s="3">
        <f>(K34/K33)-1</f>
        <v>0.13714833759590794</v>
      </c>
      <c r="O34">
        <f>O33+10</f>
        <v>131</v>
      </c>
      <c r="Q34" s="5">
        <f>O34-O33</f>
        <v>10</v>
      </c>
      <c r="R34">
        <f>R33+4</f>
        <v>11</v>
      </c>
      <c r="S34" s="5">
        <f>R34-R33</f>
        <v>4</v>
      </c>
      <c r="T34" s="5"/>
      <c r="U34">
        <f>U33+0</f>
        <v>1</v>
      </c>
      <c r="W34" s="3">
        <f>(U34/U33)-1</f>
        <v>0</v>
      </c>
      <c r="Z34">
        <f>Z33+76</f>
        <v>469</v>
      </c>
      <c r="AB34" s="5">
        <f>Z34-Z33</f>
        <v>76</v>
      </c>
      <c r="AC34">
        <f>AC33+16</f>
        <v>126</v>
      </c>
      <c r="AD34" s="5">
        <f>AC34-AC33</f>
        <v>16</v>
      </c>
      <c r="AE34" s="5"/>
      <c r="AF34">
        <f>AF33+4</f>
        <v>11</v>
      </c>
      <c r="AH34" s="3">
        <f>(AF34/AF33)-1</f>
        <v>0.5714285714285714</v>
      </c>
      <c r="AK34">
        <f>AK33+94</f>
        <v>611</v>
      </c>
      <c r="AM34" s="5">
        <f>AK34-AK33</f>
        <v>94</v>
      </c>
      <c r="AN34">
        <f>AN33+49</f>
        <v>251</v>
      </c>
      <c r="AO34" s="5">
        <f>AN34-AN33</f>
        <v>49</v>
      </c>
      <c r="AP34" s="5"/>
      <c r="AQ34">
        <f>AQ33+3</f>
        <v>15</v>
      </c>
      <c r="AS34" s="3">
        <f>(AQ34/AQ33)-1</f>
        <v>0.25</v>
      </c>
      <c r="AU34" s="4">
        <f>AV34</f>
        <v>1986</v>
      </c>
      <c r="AV34">
        <f>AV33+116</f>
        <v>1986</v>
      </c>
      <c r="AX34" s="5">
        <f>AV34-AV33</f>
        <v>116</v>
      </c>
      <c r="AY34">
        <f>AY33+84</f>
        <v>359</v>
      </c>
      <c r="AZ34" s="5">
        <f>AY34-AY33</f>
        <v>84</v>
      </c>
      <c r="BA34" s="5"/>
      <c r="BB34">
        <f>BB33+8</f>
        <v>46</v>
      </c>
      <c r="BD34" s="3">
        <f>(BB34/BB33)-1</f>
        <v>0.21052631578947367</v>
      </c>
      <c r="BG34">
        <f>BG33+10</f>
        <v>66</v>
      </c>
      <c r="BI34" s="5">
        <f>BG34-BG33</f>
        <v>10</v>
      </c>
      <c r="BJ34">
        <f>BJ33+3</f>
        <v>8</v>
      </c>
      <c r="BK34" s="5">
        <f>BJ34-BJ33</f>
        <v>3</v>
      </c>
      <c r="BL34" s="5"/>
      <c r="BM34">
        <f>BM33+1</f>
        <v>2</v>
      </c>
      <c r="BO34" s="3">
        <f>(BM34/BM33)-1</f>
        <v>1</v>
      </c>
      <c r="BR34">
        <f>BR33+5</f>
        <v>61</v>
      </c>
      <c r="BT34" s="5">
        <f>BR34-BR33</f>
        <v>5</v>
      </c>
      <c r="BU34">
        <f>BU33+0</f>
        <v>1</v>
      </c>
      <c r="BV34" s="5">
        <f>BU34-BU33</f>
        <v>0</v>
      </c>
      <c r="BW34" s="5"/>
      <c r="BX34">
        <f>BX33+0</f>
        <v>7</v>
      </c>
      <c r="BZ34" s="3">
        <f>(BX34/BX33)-1</f>
        <v>0</v>
      </c>
      <c r="CC34">
        <f>CC33+8</f>
        <v>19</v>
      </c>
      <c r="CE34" s="5">
        <f>CC34-CC33</f>
        <v>8</v>
      </c>
      <c r="CF34">
        <f>CF33+0</f>
        <v>0</v>
      </c>
      <c r="CG34" s="5">
        <f>CF34-CF33</f>
        <v>0</v>
      </c>
      <c r="CH34" s="5"/>
      <c r="CI34">
        <f>CI33+0</f>
        <v>0</v>
      </c>
      <c r="CN34">
        <f>CN33+2</f>
        <v>29</v>
      </c>
      <c r="CP34" s="5">
        <f>CN34-CN33</f>
        <v>2</v>
      </c>
      <c r="CQ34">
        <f>CQ33+2</f>
        <v>10</v>
      </c>
      <c r="CR34" s="5">
        <f>CQ34-CQ33</f>
        <v>2</v>
      </c>
      <c r="CS34" s="5"/>
      <c r="CT34">
        <f>CT33+0</f>
        <v>1</v>
      </c>
      <c r="CV34" s="3">
        <f>(CT34/CT33)-1</f>
        <v>0</v>
      </c>
      <c r="CY34">
        <f>CY33+108</f>
        <v>185</v>
      </c>
      <c r="DA34" s="5">
        <f>CY34-CY33</f>
        <v>108</v>
      </c>
      <c r="DE34">
        <f>DE33+0</f>
        <v>2</v>
      </c>
      <c r="DG34" s="3">
        <f>(DE34/DE33)-1</f>
        <v>0</v>
      </c>
      <c r="DJ34">
        <f>O34+Z34+AK34+AV34+BG34+BR34+CC34+CN34+CY34</f>
        <v>3557</v>
      </c>
      <c r="DL34" s="5">
        <f>DJ34-DJ33</f>
        <v>429</v>
      </c>
      <c r="DM34">
        <f>R34+AC34+AN34+AY34+BJ34+BU34+CF34+CQ34+DB34</f>
        <v>766</v>
      </c>
      <c r="DN34" s="3">
        <f>(DM34/DM33)-1</f>
        <v>0.25986842105263164</v>
      </c>
      <c r="DO34" s="3"/>
      <c r="DP34">
        <f>U34+AF34+AQ34+BB34+BM34+BX34+CI34+CT34+DE34</f>
        <v>85</v>
      </c>
      <c r="DR34" s="3">
        <f>(DP34/DP33)-1</f>
        <v>0.23188405797101441</v>
      </c>
      <c r="DS34" s="3"/>
      <c r="DT34">
        <f>DM34-DM33</f>
        <v>158</v>
      </c>
      <c r="DV34">
        <v>1</v>
      </c>
      <c r="DW34" t="s">
        <v>31</v>
      </c>
      <c r="DX34" s="8">
        <v>43938</v>
      </c>
      <c r="DY34">
        <v>2</v>
      </c>
      <c r="DZ34">
        <v>62</v>
      </c>
      <c r="EA34">
        <v>0</v>
      </c>
      <c r="EB34">
        <v>19</v>
      </c>
      <c r="EG34" t="s">
        <v>65</v>
      </c>
      <c r="EH34">
        <f>EH33+$EI$10+1</f>
        <v>1174</v>
      </c>
      <c r="EI34">
        <f>EH34+$EI$10</f>
        <v>1226</v>
      </c>
      <c r="ET34" t="s">
        <v>66</v>
      </c>
      <c r="EU34" s="8">
        <v>43955</v>
      </c>
      <c r="EV34">
        <v>48</v>
      </c>
      <c r="EW34" s="11">
        <f>(EV34/$EV$37)</f>
        <v>0.04507042253521127</v>
      </c>
      <c r="EX34">
        <v>450</v>
      </c>
      <c r="EY34">
        <v>2</v>
      </c>
      <c r="FU34">
        <v>22</v>
      </c>
      <c r="FV34">
        <v>99</v>
      </c>
      <c r="FW34">
        <v>390</v>
      </c>
      <c r="GA34" s="10">
        <v>43874</v>
      </c>
      <c r="GB34">
        <v>13</v>
      </c>
      <c r="GC34">
        <f>(GB34/GB33)-1</f>
        <v>0.083333333333333259</v>
      </c>
      <c r="GL34">
        <v>129</v>
      </c>
      <c r="GM34" t="s">
        <v>55</v>
      </c>
      <c r="GN34" s="8">
        <v>43962</v>
      </c>
      <c r="GO34">
        <v>115</v>
      </c>
      <c r="GP34">
        <v>1061</v>
      </c>
      <c r="GQ34">
        <v>3</v>
      </c>
      <c r="GV34" s="8">
        <v>43938</v>
      </c>
      <c r="GW34">
        <v>1</v>
      </c>
      <c r="GX34" t="s">
        <v>31</v>
      </c>
      <c r="GY34">
        <v>2</v>
      </c>
      <c r="HB34">
        <v>62</v>
      </c>
      <c r="HC34">
        <v>0</v>
      </c>
    </row>
    <row r="35" spans="1:325" ht="20.25">
      <c r="C35">
        <f>H34*D35</f>
        <v>266.99999999874649</v>
      </c>
      <c r="D35">
        <v>0.075063255552399996</v>
      </c>
      <c r="E35" t="s">
        <v>37</v>
      </c>
      <c r="F35" s="10">
        <v>43923</v>
      </c>
      <c r="G35" s="2">
        <f>H35*15</f>
        <v>57359.99999975333</v>
      </c>
      <c r="H35">
        <f>H34+C35</f>
        <v>3823.9999999835554</v>
      </c>
      <c r="I35">
        <v>3824</v>
      </c>
      <c r="J35">
        <v>243453</v>
      </c>
      <c r="K35">
        <f>O35+Z35+AK35+AV35+BG35+BR35+CC35+CN35+CY35</f>
        <v>3824</v>
      </c>
      <c r="L35" s="3">
        <f>(K35/K34)-1</f>
        <v>0.075063255552431762</v>
      </c>
      <c r="O35">
        <f>O34+10</f>
        <v>141</v>
      </c>
      <c r="Q35" s="5">
        <f>O35-O34</f>
        <v>10</v>
      </c>
      <c r="R35">
        <f>R34+0</f>
        <v>11</v>
      </c>
      <c r="S35" s="5">
        <f>R35-R34</f>
        <v>0</v>
      </c>
      <c r="T35" s="5"/>
      <c r="U35">
        <f>U34+1</f>
        <v>2</v>
      </c>
      <c r="W35" s="3">
        <f>(U35/U34)-1</f>
        <v>1</v>
      </c>
      <c r="Z35">
        <f>Z34+70</f>
        <v>539</v>
      </c>
      <c r="AB35" s="5">
        <f>Z35-Z34</f>
        <v>70</v>
      </c>
      <c r="AC35">
        <f>AC34+10</f>
        <v>136</v>
      </c>
      <c r="AD35" s="5">
        <f>AC35-AC34</f>
        <v>10</v>
      </c>
      <c r="AE35" s="5"/>
      <c r="AF35">
        <f>AF34+2</f>
        <v>13</v>
      </c>
      <c r="AH35" s="3">
        <f>(AF35/AF34)-1</f>
        <v>0.18181818181818188</v>
      </c>
      <c r="AK35">
        <f>AK34+36</f>
        <v>647</v>
      </c>
      <c r="AM35" s="5">
        <f>AK35-AK34</f>
        <v>36</v>
      </c>
      <c r="AN35">
        <f>AN34+23</f>
        <v>274</v>
      </c>
      <c r="AO35" s="5">
        <f>AN35-AN34</f>
        <v>23</v>
      </c>
      <c r="AP35" s="5"/>
      <c r="AQ35">
        <f>AQ34+2</f>
        <v>17</v>
      </c>
      <c r="AS35" s="3">
        <f>(AQ35/AQ34)-1</f>
        <v>0.1333333333333333</v>
      </c>
      <c r="AU35" s="4">
        <f>AV35</f>
        <v>2132</v>
      </c>
      <c r="AV35">
        <f>AV34+146</f>
        <v>2132</v>
      </c>
      <c r="AX35" s="5">
        <f>AV35-AV34</f>
        <v>146</v>
      </c>
      <c r="AY35">
        <f>AY34+22</f>
        <v>381</v>
      </c>
      <c r="AZ35" s="5">
        <f>AY35-AY34</f>
        <v>22</v>
      </c>
      <c r="BA35" s="5"/>
      <c r="BB35">
        <f>BB34+19</f>
        <v>65</v>
      </c>
      <c r="BD35" s="3">
        <f>(BB35/BB34)-1</f>
        <v>0.41304347826086962</v>
      </c>
      <c r="BG35">
        <f>BG34+8</f>
        <v>74</v>
      </c>
      <c r="BI35" s="5">
        <f>BG35-BG34</f>
        <v>8</v>
      </c>
      <c r="BJ35">
        <f>BJ34+3</f>
        <v>11</v>
      </c>
      <c r="BK35" s="5">
        <f>BJ35-BJ34</f>
        <v>3</v>
      </c>
      <c r="BL35" s="5"/>
      <c r="BM35">
        <f>BM34+1</f>
        <v>3</v>
      </c>
      <c r="BO35" s="3">
        <f>(BM35/BM34)-1</f>
        <v>0.5</v>
      </c>
      <c r="BR35">
        <f>BR34+6</f>
        <v>67</v>
      </c>
      <c r="BT35" s="5">
        <f>BR35-BR34</f>
        <v>6</v>
      </c>
      <c r="BU35">
        <f>BU34+1</f>
        <v>2</v>
      </c>
      <c r="BV35" s="5">
        <f>BU35-BU34</f>
        <v>1</v>
      </c>
      <c r="BW35" s="5"/>
      <c r="BX35">
        <f>BX34+3</f>
        <v>10</v>
      </c>
      <c r="BZ35" s="3">
        <f>(BX35/BX34)-1</f>
        <v>0.4285714285714286</v>
      </c>
      <c r="CC35">
        <f>CC34+2</f>
        <v>21</v>
      </c>
      <c r="CE35" s="5">
        <f>CC35-CC34</f>
        <v>2</v>
      </c>
      <c r="CF35">
        <f>CF34+3</f>
        <v>3</v>
      </c>
      <c r="CG35" s="5">
        <f>CF35-CF34</f>
        <v>3</v>
      </c>
      <c r="CH35" s="5"/>
      <c r="CI35">
        <f>CI34+0</f>
        <v>0</v>
      </c>
      <c r="CN35">
        <f>CN34+0</f>
        <v>29</v>
      </c>
      <c r="CP35" s="5">
        <f>CN35-CN34</f>
        <v>0</v>
      </c>
      <c r="CQ35">
        <f>CQ34+-1</f>
        <v>9</v>
      </c>
      <c r="CR35" s="5">
        <f>CQ35-CQ34</f>
        <v>-1</v>
      </c>
      <c r="CS35" s="5"/>
      <c r="CT35">
        <f>CT34+0</f>
        <v>1</v>
      </c>
      <c r="CV35" s="3">
        <f>(CT35/CT34)-1</f>
        <v>0</v>
      </c>
      <c r="CY35">
        <f>CY34+-11</f>
        <v>174</v>
      </c>
      <c r="DA35" s="5">
        <f>CY35-CY34</f>
        <v>-11</v>
      </c>
      <c r="DE35">
        <f>DE34+-1</f>
        <v>1</v>
      </c>
      <c r="DG35" s="3">
        <f>(DE35/DE34)-1</f>
        <v>-0.5</v>
      </c>
      <c r="DJ35">
        <f>O35+Z35+AK35+AV35+BG35+BR35+CC35+CN35+CY35</f>
        <v>3824</v>
      </c>
      <c r="DL35" s="5">
        <f>DJ35-DJ34</f>
        <v>267</v>
      </c>
      <c r="DM35">
        <f>R35+AC35+AN35+AY35+BJ35+BU35+CF35+CQ35+DB35</f>
        <v>827</v>
      </c>
      <c r="DN35" s="3">
        <f>(DM35/DM34)-1</f>
        <v>0.079634464751958234</v>
      </c>
      <c r="DO35" s="3"/>
      <c r="DP35">
        <f>U35+AF35+AQ35+BB35+BM35+BX35+CI35+CT35+DE35</f>
        <v>112</v>
      </c>
      <c r="DR35" s="3">
        <f>(DP35/DP34)-1</f>
        <v>0.31764705882352939</v>
      </c>
      <c r="DS35" s="3"/>
      <c r="DT35">
        <f>DM35-DM34</f>
        <v>61</v>
      </c>
      <c r="DV35">
        <v>1</v>
      </c>
      <c r="DW35" t="s">
        <v>31</v>
      </c>
      <c r="DX35" s="8">
        <v>43939</v>
      </c>
      <c r="DY35">
        <v>2</v>
      </c>
      <c r="DZ35">
        <v>62</v>
      </c>
      <c r="EA35">
        <v>0</v>
      </c>
      <c r="EB35">
        <v>20</v>
      </c>
      <c r="EG35" t="s">
        <v>47</v>
      </c>
      <c r="EH35">
        <f>EH34+$EI$10+1</f>
        <v>1227</v>
      </c>
      <c r="EI35">
        <f>EH35+$EI$10</f>
        <v>1279</v>
      </c>
      <c r="ET35" t="inlineStr">
        <is>
          <t>Woodbury</t>
        </is>
      </c>
      <c r="EU35" s="8">
        <v>43955</v>
      </c>
      <c r="EV35">
        <v>36</v>
      </c>
      <c r="EW35" s="11">
        <f>(EV35/$EV$37)</f>
        <v>0.033802816901408447</v>
      </c>
      <c r="EX35">
        <v>377</v>
      </c>
      <c r="EY35">
        <v>2</v>
      </c>
      <c r="FU35">
        <v>111</v>
      </c>
      <c r="FV35" t="inlineStr">
        <is>
          <t>2nd</t>
        </is>
      </c>
      <c r="FW35">
        <v>90</v>
      </c>
      <c r="GA35" s="10">
        <v>43875</v>
      </c>
      <c r="GB35">
        <v>13</v>
      </c>
      <c r="GC35">
        <f>(GB35/GB34)-1</f>
        <v>0</v>
      </c>
      <c r="GL35">
        <v>129</v>
      </c>
      <c r="GM35" t="s">
        <v>55</v>
      </c>
      <c r="GN35" s="8">
        <v>43963</v>
      </c>
      <c r="GO35">
        <v>115</v>
      </c>
      <c r="GP35">
        <v>1061</v>
      </c>
      <c r="GQ35">
        <v>3</v>
      </c>
      <c r="GV35" s="8">
        <v>43939</v>
      </c>
      <c r="GW35">
        <v>1</v>
      </c>
      <c r="GX35" t="s">
        <v>31</v>
      </c>
      <c r="GY35">
        <v>2</v>
      </c>
      <c r="HB35">
        <v>62</v>
      </c>
      <c r="HC35">
        <v>0</v>
      </c>
    </row>
    <row r="36" spans="1:325" ht="20.25">
      <c r="C36">
        <f>H35*D36</f>
        <v>1089.9999999793126</v>
      </c>
      <c r="D36">
        <v>0.28504184100000002</v>
      </c>
      <c r="E36" t="s">
        <v>38</v>
      </c>
      <c r="F36" s="10">
        <v>43924</v>
      </c>
      <c r="G36" s="2">
        <f>H36*15</f>
        <v>73709.999999443025</v>
      </c>
      <c r="H36">
        <f>H35+C36</f>
        <v>4913.9999999628681</v>
      </c>
      <c r="I36">
        <v>4914</v>
      </c>
      <c r="J36">
        <v>275586</v>
      </c>
      <c r="K36">
        <f>O36+Z36+AK36+AV36+BG36+BR36+CC36+CN36+CY36</f>
        <v>4914</v>
      </c>
      <c r="L36" s="3">
        <f>(K36/K35)-1</f>
        <v>0.28504184100418417</v>
      </c>
      <c r="O36">
        <f>O35+32</f>
        <v>173</v>
      </c>
      <c r="Q36" s="5">
        <f>O36-O35</f>
        <v>32</v>
      </c>
      <c r="R36">
        <f>R35+3</f>
        <v>14</v>
      </c>
      <c r="S36" s="5">
        <f>R36-R35</f>
        <v>3</v>
      </c>
      <c r="T36" s="5"/>
      <c r="U36">
        <f>U35+2</f>
        <v>4</v>
      </c>
      <c r="W36" s="3">
        <f>(U36/U35)-1</f>
        <v>1</v>
      </c>
      <c r="Z36">
        <f>Z35+140</f>
        <v>679</v>
      </c>
      <c r="AB36" s="5">
        <f>Z36-Z35</f>
        <v>140</v>
      </c>
      <c r="AC36">
        <f>AC35+30</f>
        <v>166</v>
      </c>
      <c r="AD36" s="5">
        <f>AC36-AC35</f>
        <v>30</v>
      </c>
      <c r="AE36" s="5"/>
      <c r="AF36">
        <f>AF35+5</f>
        <v>18</v>
      </c>
      <c r="AH36" s="3">
        <f>(AF36/AF35)-1</f>
        <v>0.38461538461538458</v>
      </c>
      <c r="AK36">
        <f>AK35+244</f>
        <v>891</v>
      </c>
      <c r="AM36" s="5">
        <f>AK36-AK35</f>
        <v>244</v>
      </c>
      <c r="AN36">
        <f>AN35+19</f>
        <v>293</v>
      </c>
      <c r="AO36" s="5">
        <f>AN36-AN35</f>
        <v>19</v>
      </c>
      <c r="AP36" s="5"/>
      <c r="AQ36">
        <f>AQ35+1</f>
        <v>18</v>
      </c>
      <c r="AS36" s="3">
        <f>(AQ36/AQ35)-1</f>
        <v>0.058823529411764719</v>
      </c>
      <c r="AU36" s="4">
        <f>AV36</f>
        <v>2716</v>
      </c>
      <c r="AV36">
        <f>AV35+584</f>
        <v>2716</v>
      </c>
      <c r="AX36" s="5">
        <f>AV36-AV35</f>
        <v>584</v>
      </c>
      <c r="AY36">
        <f>AY35+28</f>
        <v>409</v>
      </c>
      <c r="AZ36" s="5">
        <f>AY36-AY35</f>
        <v>28</v>
      </c>
      <c r="BA36" s="5"/>
      <c r="BB36">
        <f>BB35+10</f>
        <v>75</v>
      </c>
      <c r="BD36" s="3">
        <f>(BB36/BB35)-1</f>
        <v>0.15384615384615374</v>
      </c>
      <c r="BG36">
        <f>BG35+17</f>
        <v>91</v>
      </c>
      <c r="BI36" s="5">
        <f>BG36-BG35</f>
        <v>17</v>
      </c>
      <c r="BJ36">
        <f>BJ35+1</f>
        <v>12</v>
      </c>
      <c r="BK36" s="5">
        <f>BJ36-BJ35</f>
        <v>1</v>
      </c>
      <c r="BL36" s="5"/>
      <c r="BM36">
        <f>BM35+-1</f>
        <v>2</v>
      </c>
      <c r="BO36" s="3">
        <f>(BM36/BM35)-1</f>
        <v>-0.33333333333333337</v>
      </c>
      <c r="BR36">
        <f>BR35+12</f>
        <v>79</v>
      </c>
      <c r="BT36" s="5">
        <f>BR36-BR35</f>
        <v>12</v>
      </c>
      <c r="BU36">
        <f>BU35+1</f>
        <v>3</v>
      </c>
      <c r="BV36" s="5">
        <f>BU36-BU35</f>
        <v>1</v>
      </c>
      <c r="BW36" s="5"/>
      <c r="BX36">
        <f>BX35+0</f>
        <v>10</v>
      </c>
      <c r="BZ36" s="3">
        <f>(BX36/BX35)-1</f>
        <v>0</v>
      </c>
      <c r="CC36">
        <f>CC35+6</f>
        <v>27</v>
      </c>
      <c r="CE36" s="5">
        <f>CC36-CC35</f>
        <v>6</v>
      </c>
      <c r="CF36">
        <f>CF35+0</f>
        <v>3</v>
      </c>
      <c r="CG36" s="5">
        <f>CF36-CF35</f>
        <v>0</v>
      </c>
      <c r="CH36" s="5"/>
      <c r="CI36">
        <f>CI35+0</f>
        <v>0</v>
      </c>
      <c r="CN36">
        <f>CN35+11</f>
        <v>40</v>
      </c>
      <c r="CP36" s="5">
        <f>CN36-CN35</f>
        <v>11</v>
      </c>
      <c r="CQ36">
        <f>CQ35+0</f>
        <v>9</v>
      </c>
      <c r="CR36" s="5">
        <f>CQ36-CQ35</f>
        <v>0</v>
      </c>
      <c r="CS36" s="5"/>
      <c r="CT36">
        <f>CT35+2</f>
        <v>3</v>
      </c>
      <c r="CV36" s="3">
        <f>(CT36/CT35)-1</f>
        <v>2</v>
      </c>
      <c r="CY36">
        <f>CY35+44</f>
        <v>218</v>
      </c>
      <c r="DA36" s="5">
        <f>CY36-CY35</f>
        <v>44</v>
      </c>
      <c r="DE36">
        <f>DE35+0</f>
        <v>1</v>
      </c>
      <c r="DG36" s="3">
        <f>(DE36/DE35)-1</f>
        <v>0</v>
      </c>
      <c r="DJ36">
        <f>O36+Z36+AK36+AV36+BG36+BR36+CC36+CN36+CY36</f>
        <v>4914</v>
      </c>
      <c r="DL36" s="5">
        <f>DJ36-DJ35</f>
        <v>1090</v>
      </c>
      <c r="DM36">
        <f>R36+AC36+AN36+AY36+BJ36+BU36+CF36+CQ36+DB36</f>
        <v>909</v>
      </c>
      <c r="DN36" s="3">
        <f>(DM36/DM35)-1</f>
        <v>0.099153567110036311</v>
      </c>
      <c r="DO36" s="3"/>
      <c r="DP36">
        <f>U36+AF36+AQ36+BB36+BM36+BX36+CI36+CT36+DE36</f>
        <v>131</v>
      </c>
      <c r="DR36" s="3">
        <f>(DP36/DP35)-1</f>
        <v>0.16964285714285721</v>
      </c>
      <c r="DS36" s="3"/>
      <c r="DT36">
        <f>DM36-DM35</f>
        <v>82</v>
      </c>
      <c r="DV36">
        <v>1</v>
      </c>
      <c r="DW36" t="s">
        <v>31</v>
      </c>
      <c r="DX36" s="8">
        <v>43940</v>
      </c>
      <c r="DY36">
        <v>2</v>
      </c>
      <c r="DZ36">
        <v>62</v>
      </c>
      <c r="EA36">
        <v>0</v>
      </c>
      <c r="EB36">
        <v>21</v>
      </c>
      <c r="EG36" t="s">
        <v>67</v>
      </c>
      <c r="EH36">
        <f>EH35+$EI$10+1</f>
        <v>1280</v>
      </c>
      <c r="EI36">
        <f>EH36+$EI$10</f>
        <v>1332</v>
      </c>
      <c r="EU36" s="8"/>
      <c r="FU36">
        <v>100</v>
      </c>
      <c r="FV36" t="inlineStr">
        <is>
          <t>3rd</t>
        </is>
      </c>
      <c r="FW36">
        <v>490</v>
      </c>
      <c r="GA36" s="10">
        <v>43876</v>
      </c>
      <c r="GB36">
        <v>13</v>
      </c>
      <c r="GC36">
        <f>(GB36/GB35)-1</f>
        <v>0</v>
      </c>
      <c r="GL36">
        <v>129</v>
      </c>
      <c r="GM36" t="s">
        <v>55</v>
      </c>
      <c r="GN36" s="8">
        <v>43964</v>
      </c>
      <c r="GO36">
        <v>116</v>
      </c>
      <c r="GP36">
        <v>1071</v>
      </c>
      <c r="GQ36">
        <v>4</v>
      </c>
      <c r="GV36" s="8">
        <v>43940</v>
      </c>
      <c r="GW36">
        <v>1</v>
      </c>
      <c r="GX36" t="s">
        <v>31</v>
      </c>
      <c r="GY36">
        <v>2</v>
      </c>
      <c r="HB36">
        <v>62</v>
      </c>
      <c r="HC36">
        <v>0</v>
      </c>
    </row>
    <row r="37" spans="1:325" ht="19.57">
      <c r="C37">
        <f>H36*D37</f>
        <v>361.99999999739401</v>
      </c>
      <c r="D37">
        <v>0.0736670736671</v>
      </c>
      <c r="E37" t="s">
        <v>40</v>
      </c>
      <c r="F37" s="10">
        <v>43925</v>
      </c>
      <c r="G37" s="2">
        <f>H37*15</f>
        <v>79139.999999403939</v>
      </c>
      <c r="H37">
        <f>H36+C37</f>
        <v>5275.9999999602624</v>
      </c>
      <c r="I37">
        <v>5276</v>
      </c>
      <c r="J37">
        <v>308850</v>
      </c>
      <c r="K37">
        <f>O37+Z37+AK37+AV37+BG37+BR37+CC37+CN37+CY37</f>
        <v>5276</v>
      </c>
      <c r="L37" s="3">
        <f>(K37/K36)-1</f>
        <v>0.073667073667073701</v>
      </c>
      <c r="O37">
        <f>O36+9</f>
        <v>182</v>
      </c>
      <c r="Q37" s="5">
        <f>O37-O36</f>
        <v>9</v>
      </c>
      <c r="R37">
        <f>R36+1</f>
        <v>15</v>
      </c>
      <c r="S37" s="5">
        <f>R37-R36</f>
        <v>1</v>
      </c>
      <c r="T37" s="5"/>
      <c r="U37">
        <f>U36+1</f>
        <v>5</v>
      </c>
      <c r="W37" s="3">
        <f>(U37/U36)-1</f>
        <v>0.25</v>
      </c>
      <c r="Z37">
        <f>Z36+47</f>
        <v>726</v>
      </c>
      <c r="AB37" s="5">
        <f>Z37-Z36</f>
        <v>47</v>
      </c>
      <c r="AC37">
        <f>AC36+18</f>
        <v>184</v>
      </c>
      <c r="AD37" s="5">
        <f>AC37-AC36</f>
        <v>18</v>
      </c>
      <c r="AE37" s="5"/>
      <c r="AF37">
        <f>AF36+8</f>
        <v>26</v>
      </c>
      <c r="AH37" s="3">
        <f>(AF37/AF36)-1</f>
        <v>0.44444444444444442</v>
      </c>
      <c r="AK37">
        <f>AK36+133</f>
        <v>1024</v>
      </c>
      <c r="AM37" s="5">
        <f>AK37-AK36</f>
        <v>133</v>
      </c>
      <c r="AN37">
        <f>AN36+31</f>
        <v>324</v>
      </c>
      <c r="AO37" s="5">
        <f>AN37-AN36</f>
        <v>31</v>
      </c>
      <c r="AP37" s="5"/>
      <c r="AQ37">
        <f>AQ36+11</f>
        <v>29</v>
      </c>
      <c r="AS37" s="3">
        <f>(AQ37/AQ36)-1</f>
        <v>0.61111111111111116</v>
      </c>
      <c r="AU37" s="4">
        <f>AV37</f>
        <v>2824</v>
      </c>
      <c r="AV37">
        <f>AV36+108</f>
        <v>2824</v>
      </c>
      <c r="AX37" s="5">
        <f>AV37-AV36</f>
        <v>108</v>
      </c>
      <c r="AY37">
        <f>AY36+66</f>
        <v>475</v>
      </c>
      <c r="AZ37" s="5">
        <f>AY37-AY36</f>
        <v>66</v>
      </c>
      <c r="BA37" s="5"/>
      <c r="BB37">
        <f>BB36+11</f>
        <v>86</v>
      </c>
      <c r="BD37" s="3">
        <f>(BB37/BB36)-1</f>
        <v>0.14666666666666672</v>
      </c>
      <c r="BG37">
        <f>BG36+9</f>
        <v>100</v>
      </c>
      <c r="BI37" s="5">
        <f>BG37-BG36</f>
        <v>9</v>
      </c>
      <c r="BJ37">
        <f>BJ36+7</f>
        <v>19</v>
      </c>
      <c r="BK37" s="5">
        <f>BJ37-BJ36</f>
        <v>7</v>
      </c>
      <c r="BL37" s="5"/>
      <c r="BM37">
        <f>BM36+2</f>
        <v>4</v>
      </c>
      <c r="BO37" s="3">
        <f>(BM37/BM36)-1</f>
        <v>1</v>
      </c>
      <c r="BR37">
        <f>BR36+12</f>
        <v>91</v>
      </c>
      <c r="BT37" s="5">
        <f>BR37-BR36</f>
        <v>12</v>
      </c>
      <c r="BU37">
        <f>BU36+0</f>
        <v>3</v>
      </c>
      <c r="BV37" s="5">
        <f>BU37-BU36</f>
        <v>0</v>
      </c>
      <c r="BW37" s="5"/>
      <c r="BX37">
        <f>BX36+0</f>
        <v>10</v>
      </c>
      <c r="BZ37" s="3">
        <f>(BX37/BX36)-1</f>
        <v>0</v>
      </c>
      <c r="CC37">
        <f>CC36+4</f>
        <v>31</v>
      </c>
      <c r="CE37" s="5">
        <f>CC37-CC36</f>
        <v>4</v>
      </c>
      <c r="CF37">
        <f>CF36+0</f>
        <v>3</v>
      </c>
      <c r="CG37" s="5">
        <f>CF37-CF36</f>
        <v>0</v>
      </c>
      <c r="CH37" s="5"/>
      <c r="CI37">
        <f>CI36+1</f>
        <v>1</v>
      </c>
      <c r="CN37">
        <f>CN36+17</f>
        <v>57</v>
      </c>
      <c r="CP37" s="5">
        <f>CN37-CN36</f>
        <v>17</v>
      </c>
      <c r="CQ37">
        <f>CQ36+1</f>
        <v>10</v>
      </c>
      <c r="CR37" s="5">
        <f>CQ37-CQ36</f>
        <v>1</v>
      </c>
      <c r="CS37" s="5"/>
      <c r="CT37">
        <f>CT36+0</f>
        <v>3</v>
      </c>
      <c r="CV37" s="3">
        <f>(CT37/CT36)-1</f>
        <v>0</v>
      </c>
      <c r="CY37">
        <f>CY36+23</f>
        <v>241</v>
      </c>
      <c r="DA37" s="5">
        <f>CY37-CY36</f>
        <v>23</v>
      </c>
      <c r="DE37">
        <f>DE36+0</f>
        <v>1</v>
      </c>
      <c r="DG37" s="3">
        <f>(DE37/DE36)-1</f>
        <v>0</v>
      </c>
      <c r="DJ37">
        <f>O37+Z37+AK37+AV37+BG37+BR37+CC37+CN37+CY37</f>
        <v>5276</v>
      </c>
      <c r="DL37" s="5">
        <f>DJ37-DJ36</f>
        <v>362</v>
      </c>
      <c r="DM37">
        <f>R37+AC37+AN37+AY37+BJ37+BU37+CF37+CQ37+DB37</f>
        <v>1033</v>
      </c>
      <c r="DN37" s="3">
        <f>(DM37/DM36)-1</f>
        <v>0.13641364136413636</v>
      </c>
      <c r="DO37" s="3"/>
      <c r="DP37">
        <f>U37+AF37+AQ37+BB37+BM37+BX37+CI37+CT37+DE37</f>
        <v>165</v>
      </c>
      <c r="DR37" s="3">
        <f>(DP37/DP36)-1</f>
        <v>0.25954198473282442</v>
      </c>
      <c r="DS37" s="3"/>
      <c r="DT37">
        <f>DM37-DM36</f>
        <v>124</v>
      </c>
      <c r="DV37">
        <v>1</v>
      </c>
      <c r="DW37" t="s">
        <v>31</v>
      </c>
      <c r="DX37" s="8">
        <v>43941</v>
      </c>
      <c r="DY37">
        <v>2</v>
      </c>
      <c r="DZ37">
        <v>62</v>
      </c>
      <c r="EA37">
        <v>0</v>
      </c>
      <c r="EB37">
        <v>22</v>
      </c>
      <c r="EG37" t="s">
        <v>68</v>
      </c>
      <c r="EH37">
        <f>EH36+$EI$10+1</f>
        <v>1333</v>
      </c>
      <c r="EI37">
        <f>EH37+$EI$10</f>
        <v>1385</v>
      </c>
      <c r="ET37" t="inlineStr">
        <is>
          <t>Matches main database:</t>
        </is>
      </c>
      <c r="EU37" s="8"/>
      <c r="EV37">
        <f>SUM(EV10:EV35)</f>
        <v>1065</v>
      </c>
      <c r="EY37">
        <f>SUM(EY10:EY35)</f>
        <v>95</v>
      </c>
      <c r="FU37">
        <v>33</v>
      </c>
      <c r="FV37">
        <v>33</v>
      </c>
      <c r="FW37">
        <v>90</v>
      </c>
      <c r="GA37" s="10">
        <v>43877</v>
      </c>
      <c r="GB37">
        <v>13</v>
      </c>
      <c r="GC37">
        <f>(GB37/GB36)-1</f>
        <v>0</v>
      </c>
      <c r="GL37">
        <v>129</v>
      </c>
      <c r="GM37" t="s">
        <v>55</v>
      </c>
      <c r="GN37" s="8">
        <v>43965</v>
      </c>
      <c r="GO37">
        <v>119</v>
      </c>
      <c r="GP37">
        <v>1098</v>
      </c>
      <c r="GQ37">
        <v>4</v>
      </c>
      <c r="GV37" s="8">
        <v>43941</v>
      </c>
      <c r="GW37">
        <v>1</v>
      </c>
      <c r="GX37" t="s">
        <v>31</v>
      </c>
      <c r="GY37">
        <v>2</v>
      </c>
      <c r="HB37">
        <v>62</v>
      </c>
      <c r="HC37">
        <v>0</v>
      </c>
    </row>
    <row r="38" spans="1:325" ht="19.57">
      <c r="C38">
        <f>H37*D38</f>
        <v>398.99999999688362</v>
      </c>
      <c r="D38">
        <v>0.075625473843800001</v>
      </c>
      <c r="E38" t="s">
        <v>30</v>
      </c>
      <c r="F38" s="10">
        <v>43926</v>
      </c>
      <c r="G38" s="2">
        <f>H38*15</f>
        <v>85124.999999357198</v>
      </c>
      <c r="H38">
        <f>H37+C38</f>
        <v>5674.9999999571464</v>
      </c>
      <c r="I38">
        <v>5675</v>
      </c>
      <c r="J38">
        <v>337072</v>
      </c>
      <c r="K38">
        <f>O38+Z38+AK38+AV38+BG38+BR38+CC38+CN38+CY38</f>
        <v>5675</v>
      </c>
      <c r="L38" s="3">
        <f>(K38/K37)-1</f>
        <v>0.075625473843821123</v>
      </c>
      <c r="O38">
        <f>O37+15</f>
        <v>197</v>
      </c>
      <c r="Q38" s="5">
        <f>O38-O37</f>
        <v>15</v>
      </c>
      <c r="R38">
        <f>R37+0</f>
        <v>15</v>
      </c>
      <c r="S38" s="5">
        <f>R38-R37</f>
        <v>0</v>
      </c>
      <c r="T38" s="5"/>
      <c r="U38">
        <f>U37+1</f>
        <v>6</v>
      </c>
      <c r="W38" s="3">
        <f>(U38/U37)-1</f>
        <v>0.19999999999999996</v>
      </c>
      <c r="Z38">
        <f>Z37+25</f>
        <v>751</v>
      </c>
      <c r="AB38" s="5">
        <f>Z38-Z37</f>
        <v>25</v>
      </c>
      <c r="AC38">
        <f>AC37+5</f>
        <v>189</v>
      </c>
      <c r="AD38" s="5">
        <f>AC38-AC37</f>
        <v>5</v>
      </c>
      <c r="AE38" s="5"/>
      <c r="AF38">
        <f>AF37+3</f>
        <v>29</v>
      </c>
      <c r="AH38" s="3">
        <f>(AF38/AF37)-1</f>
        <v>0.11538461538461542</v>
      </c>
      <c r="AK38">
        <f>AK37+138</f>
        <v>1162</v>
      </c>
      <c r="AM38" s="5">
        <f>AK38-AK37</f>
        <v>138</v>
      </c>
      <c r="AN38">
        <f>AN37+48</f>
        <v>372</v>
      </c>
      <c r="AO38" s="5">
        <f>AN38-AN37</f>
        <v>48</v>
      </c>
      <c r="AP38" s="5"/>
      <c r="AQ38">
        <f>AQ37+7</f>
        <v>36</v>
      </c>
      <c r="AS38" s="3">
        <f>(AQ38/AQ37)-1</f>
        <v>0.24137931034482762</v>
      </c>
      <c r="AU38" s="4">
        <f>AV38</f>
        <v>3050</v>
      </c>
      <c r="AV38">
        <f>AV37+226</f>
        <v>3050</v>
      </c>
      <c r="AX38" s="5">
        <f>AV38-AV37</f>
        <v>226</v>
      </c>
      <c r="AY38">
        <f>AY37+56</f>
        <v>531</v>
      </c>
      <c r="AZ38" s="5">
        <f>AY38-AY37</f>
        <v>56</v>
      </c>
      <c r="BA38" s="5"/>
      <c r="BB38">
        <f>BB37+10</f>
        <v>96</v>
      </c>
      <c r="BD38" s="3">
        <f>(BB38/BB37)-1</f>
        <v>0.11627906976744184</v>
      </c>
      <c r="BG38">
        <f>BG37+10</f>
        <v>110</v>
      </c>
      <c r="BI38" s="5">
        <f>BG38-BG37</f>
        <v>10</v>
      </c>
      <c r="BJ38">
        <f>BJ37+0</f>
        <v>19</v>
      </c>
      <c r="BK38" s="5">
        <f>BJ38-BJ37</f>
        <v>0</v>
      </c>
      <c r="BL38" s="5"/>
      <c r="BM38">
        <f>BM37+1</f>
        <v>5</v>
      </c>
      <c r="BO38" s="3">
        <f>(BM38/BM37)-1</f>
        <v>0.25</v>
      </c>
      <c r="BR38">
        <f>BR37+3</f>
        <v>94</v>
      </c>
      <c r="BT38" s="5">
        <f>BR38-BR37</f>
        <v>3</v>
      </c>
      <c r="BU38">
        <f>BU37+0</f>
        <v>3</v>
      </c>
      <c r="BV38" s="5">
        <f>BU38-BU37</f>
        <v>0</v>
      </c>
      <c r="BW38" s="5"/>
      <c r="BX38">
        <f>BX37+1</f>
        <v>11</v>
      </c>
      <c r="BZ38" s="3">
        <f>(BX38/BX37)-1</f>
        <v>0.10000000000000009</v>
      </c>
      <c r="CC38">
        <f>CC37+1</f>
        <v>32</v>
      </c>
      <c r="CE38" s="5">
        <f>CC38-CC37</f>
        <v>1</v>
      </c>
      <c r="CF38">
        <f>CF37+0</f>
        <v>3</v>
      </c>
      <c r="CG38" s="5">
        <f>CF38-CF37</f>
        <v>0</v>
      </c>
      <c r="CH38" s="5"/>
      <c r="CI38">
        <f>CI37+0</f>
        <v>1</v>
      </c>
      <c r="CK38" s="3">
        <f>(CI38/CI37)-1</f>
        <v>0</v>
      </c>
      <c r="CN38">
        <f>CN37+0</f>
        <v>57</v>
      </c>
      <c r="CP38" s="5">
        <f>CN38-CN37</f>
        <v>0</v>
      </c>
      <c r="CQ38">
        <f>CQ37+0</f>
        <v>10</v>
      </c>
      <c r="CR38" s="5">
        <f>CQ38-CQ37</f>
        <v>0</v>
      </c>
      <c r="CS38" s="5"/>
      <c r="CT38">
        <f>CT37+1</f>
        <v>4</v>
      </c>
      <c r="CV38" s="3">
        <f>(CT38/CT37)-1</f>
        <v>0.33333333333333326</v>
      </c>
      <c r="CY38">
        <f>CY37+-19</f>
        <v>222</v>
      </c>
      <c r="DA38" s="5">
        <f>CY38-CY37</f>
        <v>-19</v>
      </c>
      <c r="DE38">
        <f>DE37+0</f>
        <v>1</v>
      </c>
      <c r="DG38" s="3">
        <f>(DE38/DE37)-1</f>
        <v>0</v>
      </c>
      <c r="DJ38">
        <f>O38+Z38+AK38+AV38+BG38+BR38+CC38+CN38+CY38</f>
        <v>5675</v>
      </c>
      <c r="DL38" s="5">
        <f>DJ38-DJ37</f>
        <v>399</v>
      </c>
      <c r="DM38">
        <f>R38+AC38+AN38+AY38+BJ38+BU38+CF38+CQ38+DB38</f>
        <v>1142</v>
      </c>
      <c r="DN38" s="3">
        <f>(DM38/DM37)-1</f>
        <v>0.10551790900290414</v>
      </c>
      <c r="DO38" s="3"/>
      <c r="DP38">
        <f>U38+AF38+AQ38+BB38+BM38+BX38+CI38+CT38+DE38</f>
        <v>189</v>
      </c>
      <c r="DR38" s="3">
        <f>(DP38/DP37)-1</f>
        <v>0.1454545454545455</v>
      </c>
      <c r="DS38" s="3"/>
      <c r="DT38">
        <f>DM38-DM37</f>
        <v>109</v>
      </c>
      <c r="DV38">
        <v>1</v>
      </c>
      <c r="DW38" t="s">
        <v>31</v>
      </c>
      <c r="DX38" s="8">
        <v>43942</v>
      </c>
      <c r="DY38">
        <v>2</v>
      </c>
      <c r="DZ38">
        <v>62</v>
      </c>
      <c r="EA38">
        <v>0</v>
      </c>
      <c r="EB38">
        <v>23</v>
      </c>
      <c r="EG38" t="s">
        <v>69</v>
      </c>
      <c r="EH38">
        <f>EH37+$EI$10+1</f>
        <v>1386</v>
      </c>
      <c r="EI38">
        <f>EH38+$EI$10</f>
        <v>1438</v>
      </c>
      <c r="EU38" s="8"/>
      <c r="FU38">
        <v>100</v>
      </c>
      <c r="FV38" t="inlineStr">
        <is>
          <t>5th</t>
        </is>
      </c>
      <c r="FW38">
        <v>290</v>
      </c>
      <c r="GA38" s="10">
        <v>43878</v>
      </c>
      <c r="GB38">
        <v>13</v>
      </c>
      <c r="GC38">
        <f>(GB38/GB37)-1</f>
        <v>0</v>
      </c>
      <c r="GL38">
        <v>129</v>
      </c>
      <c r="GM38" t="s">
        <v>55</v>
      </c>
      <c r="GN38" s="8">
        <v>43966</v>
      </c>
      <c r="GO38">
        <v>164</v>
      </c>
      <c r="GP38">
        <v>1514</v>
      </c>
      <c r="GQ38">
        <v>4</v>
      </c>
      <c r="GV38" s="8">
        <v>43942</v>
      </c>
      <c r="GW38">
        <v>1</v>
      </c>
      <c r="GX38" t="s">
        <v>31</v>
      </c>
      <c r="GY38">
        <v>2</v>
      </c>
      <c r="HB38">
        <v>62</v>
      </c>
      <c r="HC38">
        <v>0</v>
      </c>
    </row>
    <row r="39" spans="1:325" ht="19.57">
      <c r="C39">
        <f>H38*D39</f>
        <v>1230.9999999880292</v>
      </c>
      <c r="D39">
        <v>0.21691629955899999</v>
      </c>
      <c r="E39" t="s">
        <v>33</v>
      </c>
      <c r="F39" s="10">
        <v>43927</v>
      </c>
      <c r="G39" s="2">
        <f>H39*15</f>
        <v>103589.99999917764</v>
      </c>
      <c r="H39">
        <f>H38+C39</f>
        <v>6905.9999999451757</v>
      </c>
      <c r="I39">
        <v>6906</v>
      </c>
      <c r="J39">
        <v>366667</v>
      </c>
      <c r="K39">
        <f>O39+Z39+AK39+AV39+BG39+BR39+CC39+CN39+CY39</f>
        <v>6906</v>
      </c>
      <c r="L39" s="3">
        <f>(K39/K38)-1</f>
        <v>0.21691629955947134</v>
      </c>
      <c r="O39">
        <f>O38+33</f>
        <v>230</v>
      </c>
      <c r="Q39" s="5">
        <f>O39-O38</f>
        <v>33</v>
      </c>
      <c r="R39">
        <f>R38+0</f>
        <v>15</v>
      </c>
      <c r="S39" s="5">
        <f>R39-R38</f>
        <v>0</v>
      </c>
      <c r="T39" s="5"/>
      <c r="U39">
        <f>U38+2</f>
        <v>8</v>
      </c>
      <c r="W39" s="3">
        <f>(U39/U38)-1</f>
        <v>0.33333333333333326</v>
      </c>
      <c r="Z39">
        <f>Z38+131</f>
        <v>882</v>
      </c>
      <c r="AB39" s="5">
        <f>Z39-Z38</f>
        <v>131</v>
      </c>
      <c r="AC39">
        <f>AC38+24</f>
        <v>213</v>
      </c>
      <c r="AD39" s="5">
        <f>AC39-AC38</f>
        <v>24</v>
      </c>
      <c r="AE39" s="5"/>
      <c r="AF39">
        <f>AF38+2</f>
        <v>31</v>
      </c>
      <c r="AH39" s="3">
        <f>(AF39/AF38)-1</f>
        <v>0.068965517241379226</v>
      </c>
      <c r="AK39">
        <f>AK38+306</f>
        <v>1468</v>
      </c>
      <c r="AM39" s="5">
        <f>AK39-AK38</f>
        <v>306</v>
      </c>
      <c r="AN39">
        <f>AN38+12</f>
        <v>384</v>
      </c>
      <c r="AO39" s="5">
        <f>AN39-AN38</f>
        <v>12</v>
      </c>
      <c r="AP39" s="5"/>
      <c r="AQ39">
        <f>AQ38+5</f>
        <v>41</v>
      </c>
      <c r="AS39" s="3">
        <f>(AQ39/AQ38)-1</f>
        <v>0.13888888888888884</v>
      </c>
      <c r="AU39" s="4">
        <f>AV39</f>
        <v>3719</v>
      </c>
      <c r="AV39">
        <f>AV38+669</f>
        <v>3719</v>
      </c>
      <c r="AX39" s="5">
        <f>AV39-AV38</f>
        <v>669</v>
      </c>
      <c r="AY39">
        <f>AY38+41</f>
        <v>572</v>
      </c>
      <c r="AZ39" s="5">
        <f>AY39-AY38</f>
        <v>41</v>
      </c>
      <c r="BA39" s="5"/>
      <c r="BB39">
        <f>BB38+5</f>
        <v>101</v>
      </c>
      <c r="BD39" s="3">
        <f>(BB39/BB38)-1</f>
        <v>0.052083333333333259</v>
      </c>
      <c r="BG39">
        <f>BG38+25</f>
        <v>135</v>
      </c>
      <c r="BI39" s="5">
        <f>BG39-BG38</f>
        <v>25</v>
      </c>
      <c r="BJ39">
        <f>BJ38+3</f>
        <v>22</v>
      </c>
      <c r="BK39" s="5">
        <f>BJ39-BJ38</f>
        <v>3</v>
      </c>
      <c r="BL39" s="5"/>
      <c r="BM39">
        <f>BM38+2</f>
        <v>7</v>
      </c>
      <c r="BO39" s="3">
        <f>(BM39/BM38)-1</f>
        <v>0.39999999999999991</v>
      </c>
      <c r="BR39">
        <f>BR38+9</f>
        <v>103</v>
      </c>
      <c r="BT39" s="5">
        <f>BR39-BR38</f>
        <v>9</v>
      </c>
      <c r="BU39">
        <f>BU38+0</f>
        <v>3</v>
      </c>
      <c r="BV39" s="5">
        <f>BU39-BU38</f>
        <v>0</v>
      </c>
      <c r="BW39" s="5"/>
      <c r="BX39">
        <f>BX38+2</f>
        <v>13</v>
      </c>
      <c r="BZ39" s="3">
        <f>(BX39/BX38)-1</f>
        <v>0.18181818181818188</v>
      </c>
      <c r="CC39">
        <f>CC38+8</f>
        <v>40</v>
      </c>
      <c r="CE39" s="5">
        <f>CC39-CC38</f>
        <v>8</v>
      </c>
      <c r="CF39">
        <f>CF38+-1</f>
        <v>2</v>
      </c>
      <c r="CG39" s="5">
        <f>CF39-CF38</f>
        <v>-1</v>
      </c>
      <c r="CH39" s="5"/>
      <c r="CI39">
        <f>CI38+0</f>
        <v>1</v>
      </c>
      <c r="CK39" s="3">
        <f>(CI39/CI38)-1</f>
        <v>0</v>
      </c>
      <c r="CN39">
        <f>CN38+8</f>
        <v>65</v>
      </c>
      <c r="CP39" s="5">
        <f>CN39-CN38</f>
        <v>8</v>
      </c>
      <c r="CQ39">
        <f>CQ38+0</f>
        <v>10</v>
      </c>
      <c r="CR39" s="5">
        <f>CQ39-CQ38</f>
        <v>0</v>
      </c>
      <c r="CS39" s="5"/>
      <c r="CT39">
        <f>CT38+0</f>
        <v>4</v>
      </c>
      <c r="CV39" s="3">
        <f>(CT39/CT38)-1</f>
        <v>0</v>
      </c>
      <c r="CY39">
        <f>CY38+42</f>
        <v>264</v>
      </c>
      <c r="DA39" s="5">
        <f>CY39-CY38</f>
        <v>42</v>
      </c>
      <c r="DE39">
        <f>DE38+-1</f>
        <v>0</v>
      </c>
      <c r="DG39" s="3">
        <f>(DE39/DE38)-1</f>
        <v>-1</v>
      </c>
      <c r="DJ39">
        <f>O39+Z39+AK39+AV39+BG39+BR39+CC39+CN39+CY39</f>
        <v>6906</v>
      </c>
      <c r="DL39" s="5">
        <f>DJ39-DJ38</f>
        <v>1231</v>
      </c>
      <c r="DM39">
        <f>R39+AC39+AN39+AY39+BJ39+BU39+CF39+CQ39+DB39</f>
        <v>1221</v>
      </c>
      <c r="DN39" s="3">
        <f>(DM39/DM38)-1</f>
        <v>0.069176882661996508</v>
      </c>
      <c r="DO39" s="3"/>
      <c r="DP39">
        <f>U39+AF39+AQ39+BB39+BM39+BX39+CI39+CT39+DE39</f>
        <v>206</v>
      </c>
      <c r="DR39" s="3">
        <f>(DP39/DP38)-1</f>
        <v>0.089947089947089998</v>
      </c>
      <c r="DS39" s="3"/>
      <c r="DT39">
        <f>DM39-DM38</f>
        <v>79</v>
      </c>
      <c r="DV39">
        <v>1</v>
      </c>
      <c r="DW39" t="s">
        <v>31</v>
      </c>
      <c r="DX39" s="8">
        <v>43943</v>
      </c>
      <c r="DY39">
        <v>2</v>
      </c>
      <c r="DZ39">
        <v>62</v>
      </c>
      <c r="EA39">
        <v>0</v>
      </c>
      <c r="EB39">
        <v>24</v>
      </c>
      <c r="EG39" t="s">
        <v>70</v>
      </c>
      <c r="EH39">
        <f>EH38+$EI$10+1</f>
        <v>1439</v>
      </c>
      <c r="EI39">
        <f>EH39+$EI$10</f>
        <v>1491</v>
      </c>
      <c r="ET39" t="inlineStr">
        <is>
          <t>Source:</t>
        </is>
      </c>
      <c r="EU39" s="8"/>
      <c r="FU39">
        <v>100</v>
      </c>
      <c r="FV39" t="inlineStr">
        <is>
          <t>6th</t>
        </is>
      </c>
      <c r="FW39">
        <v>90</v>
      </c>
      <c r="GA39" s="10">
        <v>43879</v>
      </c>
      <c r="GB39">
        <v>13</v>
      </c>
      <c r="GC39">
        <f>(GB39/GB38)-1</f>
        <v>0</v>
      </c>
      <c r="GV39" s="8">
        <v>43943</v>
      </c>
      <c r="GW39">
        <v>1</v>
      </c>
      <c r="GX39" t="s">
        <v>31</v>
      </c>
      <c r="GY39">
        <v>2</v>
      </c>
      <c r="HB39">
        <v>62</v>
      </c>
      <c r="HC39">
        <v>0</v>
      </c>
    </row>
    <row r="40" spans="1:325" ht="19.57">
      <c r="C40">
        <f>H39*D40</f>
        <v>874.99999999378963</v>
      </c>
      <c r="D40">
        <v>0.12670141905599999</v>
      </c>
      <c r="E40" t="s">
        <v>34</v>
      </c>
      <c r="F40" s="10">
        <v>43928</v>
      </c>
      <c r="G40" s="2">
        <f>H40*15</f>
        <v>116714.99999908448</v>
      </c>
      <c r="H40">
        <f>H39+C40</f>
        <v>7780.9999999389656</v>
      </c>
      <c r="I40">
        <v>7781</v>
      </c>
      <c r="J40">
        <v>396223</v>
      </c>
      <c r="K40">
        <f>O40+Z40+AK40+AV40+BG40+BR40+CC40+CN40+CY40</f>
        <v>7781</v>
      </c>
      <c r="L40" s="3">
        <f>(K40/K39)-1</f>
        <v>0.12670141905589349</v>
      </c>
      <c r="O40">
        <f>O39+25</f>
        <v>255</v>
      </c>
      <c r="Q40" s="5">
        <f>O40-O39</f>
        <v>25</v>
      </c>
      <c r="R40">
        <f>R39+2</f>
        <v>17</v>
      </c>
      <c r="S40" s="5">
        <f>R40-R39</f>
        <v>2</v>
      </c>
      <c r="T40" s="5"/>
      <c r="U40">
        <f>U39+1</f>
        <v>9</v>
      </c>
      <c r="W40" s="3">
        <f>(U40/U39)-1</f>
        <v>0.125</v>
      </c>
      <c r="Z40">
        <f>Z39+163</f>
        <v>1045</v>
      </c>
      <c r="AB40" s="5">
        <f>Z40-Z39</f>
        <v>163</v>
      </c>
      <c r="AC40">
        <f>AC39+30</f>
        <v>243</v>
      </c>
      <c r="AD40" s="5">
        <f>AC40-AC39</f>
        <v>30</v>
      </c>
      <c r="AE40" s="5"/>
      <c r="AF40">
        <f>AF39+17</f>
        <v>48</v>
      </c>
      <c r="AH40" s="3">
        <f>(AF40/AF39)-1</f>
        <v>0.54838709677419351</v>
      </c>
      <c r="AK40">
        <f>AK39+196</f>
        <v>1664</v>
      </c>
      <c r="AM40" s="5">
        <f>AK40-AK39</f>
        <v>196</v>
      </c>
      <c r="AN40">
        <f>AN39+6</f>
        <v>390</v>
      </c>
      <c r="AO40" s="5">
        <f>AN40-AN39</f>
        <v>6</v>
      </c>
      <c r="AP40" s="5"/>
      <c r="AQ40">
        <f>AQ39+19</f>
        <v>60</v>
      </c>
      <c r="AS40" s="3">
        <f>(AQ40/AQ39)-1</f>
        <v>0.46341463414634143</v>
      </c>
      <c r="AU40" s="4">
        <f>AV40</f>
        <v>4136</v>
      </c>
      <c r="AV40">
        <f>AV39+417</f>
        <v>4136</v>
      </c>
      <c r="AX40" s="5">
        <f>AV40-AV39</f>
        <v>417</v>
      </c>
      <c r="AY40">
        <f>AY39+41</f>
        <v>613</v>
      </c>
      <c r="AZ40" s="5">
        <f>AY40-AY39</f>
        <v>41</v>
      </c>
      <c r="BA40" s="5"/>
      <c r="BB40">
        <f>BB39+31</f>
        <v>132</v>
      </c>
      <c r="BD40" s="3">
        <f>(BB40/BB39)-1</f>
        <v>0.30693069306930698</v>
      </c>
      <c r="BG40">
        <f>BG39+15</f>
        <v>150</v>
      </c>
      <c r="BI40" s="5">
        <f>BG40-BG39</f>
        <v>15</v>
      </c>
      <c r="BJ40">
        <f>BJ39+4</f>
        <v>26</v>
      </c>
      <c r="BK40" s="5">
        <f>BJ40-BJ39</f>
        <v>4</v>
      </c>
      <c r="BL40" s="5"/>
      <c r="BM40">
        <f>BM39+0</f>
        <v>7</v>
      </c>
      <c r="BO40" s="3">
        <f>(BM40/BM39)-1</f>
        <v>0</v>
      </c>
      <c r="BR40">
        <f>BR39+8</f>
        <v>111</v>
      </c>
      <c r="BT40" s="5">
        <f>BR40-BR39</f>
        <v>8</v>
      </c>
      <c r="BU40">
        <f>BU39+1</f>
        <v>4</v>
      </c>
      <c r="BV40" s="5">
        <f>BU40-BU39</f>
        <v>1</v>
      </c>
      <c r="BW40" s="5"/>
      <c r="BX40">
        <f>BX39+0</f>
        <v>13</v>
      </c>
      <c r="BZ40" s="3">
        <f>(BX40/BX39)-1</f>
        <v>0</v>
      </c>
      <c r="CC40">
        <f>CC39+3</f>
        <v>43</v>
      </c>
      <c r="CE40" s="5">
        <f>CC40-CC39</f>
        <v>3</v>
      </c>
      <c r="CF40">
        <f>CF39+1</f>
        <v>3</v>
      </c>
      <c r="CG40" s="5">
        <f>CF40-CF39</f>
        <v>1</v>
      </c>
      <c r="CH40" s="5"/>
      <c r="CI40">
        <f>CI39+0</f>
        <v>1</v>
      </c>
      <c r="CK40" s="3">
        <f>(CI40/CI39)-1</f>
        <v>0</v>
      </c>
      <c r="CN40">
        <f>CN39+20</f>
        <v>85</v>
      </c>
      <c r="CP40" s="5">
        <f>CN40-CN39</f>
        <v>20</v>
      </c>
      <c r="CQ40">
        <f>CQ39+2</f>
        <v>12</v>
      </c>
      <c r="CR40" s="5">
        <f>CQ40-CQ39</f>
        <v>2</v>
      </c>
      <c r="CS40" s="5"/>
      <c r="CT40">
        <f>CT39+0</f>
        <v>4</v>
      </c>
      <c r="CV40" s="3">
        <f>(CT40/CT39)-1</f>
        <v>0</v>
      </c>
      <c r="CY40">
        <f>CY39+28</f>
        <v>292</v>
      </c>
      <c r="DA40" s="5">
        <f>CY40-CY39</f>
        <v>28</v>
      </c>
      <c r="DE40">
        <f>DE39+3</f>
        <v>3</v>
      </c>
      <c r="DG40" s="3"/>
      <c r="DJ40">
        <f>O40+Z40+AK40+AV40+BG40+BR40+CC40+CN40+CY40</f>
        <v>7781</v>
      </c>
      <c r="DL40" s="5">
        <f>DJ40-DJ39</f>
        <v>875</v>
      </c>
      <c r="DM40">
        <f>R40+AC40+AN40+AY40+BJ40+BU40+CF40+CQ40+DB40</f>
        <v>1308</v>
      </c>
      <c r="DN40" s="3">
        <f>(DM40/DM39)-1</f>
        <v>0.071253071253071232</v>
      </c>
      <c r="DO40" s="3"/>
      <c r="DP40">
        <f>U40+AF40+AQ40+BB40+BM40+BX40+CI40+CT40+DE40</f>
        <v>277</v>
      </c>
      <c r="DR40" s="3">
        <f>(DP40/DP39)-1</f>
        <v>0.34466019417475735</v>
      </c>
      <c r="DS40" s="3"/>
      <c r="DT40">
        <f>DM40-DM39</f>
        <v>87</v>
      </c>
      <c r="DV40">
        <v>1</v>
      </c>
      <c r="DW40" t="s">
        <v>31</v>
      </c>
      <c r="DX40" s="8">
        <v>43944</v>
      </c>
      <c r="DY40">
        <v>3</v>
      </c>
      <c r="DZ40">
        <v>93</v>
      </c>
      <c r="EA40">
        <v>0</v>
      </c>
      <c r="EB40">
        <v>25</v>
      </c>
      <c r="EG40" t="s">
        <v>71</v>
      </c>
      <c r="EH40">
        <f>EH39+$EI$10+1</f>
        <v>1492</v>
      </c>
      <c r="EI40">
        <f>EH40+$EI$10</f>
        <v>1544</v>
      </c>
      <c r="ET40" t="inlineStr">
        <is>
          <t>https://data.ct.gov/Health-and-Human-Services/COVID-19-confirmed-cases-by-town-/28fr-iqnx</t>
        </is>
      </c>
      <c r="EU40" s="8"/>
      <c r="FU40">
        <v>100</v>
      </c>
      <c r="FV40" t="inlineStr">
        <is>
          <t>7th</t>
        </is>
      </c>
      <c r="FW40">
        <v>390</v>
      </c>
      <c r="GA40" s="10">
        <v>43880</v>
      </c>
      <c r="GB40">
        <v>13</v>
      </c>
      <c r="GC40">
        <f>(GB40/GB39)-1</f>
        <v>0</v>
      </c>
      <c r="GV40" s="8">
        <v>43944</v>
      </c>
      <c r="GW40">
        <v>1</v>
      </c>
      <c r="GX40" t="s">
        <v>31</v>
      </c>
      <c r="GY40">
        <v>3</v>
      </c>
      <c r="HB40">
        <v>93</v>
      </c>
      <c r="HC40">
        <v>0</v>
      </c>
    </row>
    <row r="41" spans="1:325" ht="19.57">
      <c r="C41">
        <f>H40*D41</f>
        <v>999.99999999041893</v>
      </c>
      <c r="D41">
        <v>0.12851818532299999</v>
      </c>
      <c r="E41" t="s">
        <v>35</v>
      </c>
      <c r="F41" s="10">
        <v>43929</v>
      </c>
      <c r="G41" s="2">
        <f>H41*15</f>
        <v>131714.99999894077</v>
      </c>
      <c r="H41">
        <f>H40+C41</f>
        <v>8780.999999929385</v>
      </c>
      <c r="I41">
        <v>8781</v>
      </c>
      <c r="J41">
        <v>429052</v>
      </c>
      <c r="K41">
        <f>O41+Z41+AK41+AV41+BG41+BR41+CC41+CN41+CY41</f>
        <v>8781</v>
      </c>
      <c r="L41" s="3">
        <f>(K41/K40)-1</f>
        <v>0.12851818532322334</v>
      </c>
      <c r="O41">
        <f>O40+37</f>
        <v>292</v>
      </c>
      <c r="Q41" s="5">
        <f>O41-O40</f>
        <v>37</v>
      </c>
      <c r="R41">
        <f>R40+3</f>
        <v>20</v>
      </c>
      <c r="S41" s="5">
        <f>R41-R40</f>
        <v>3</v>
      </c>
      <c r="T41" s="5"/>
      <c r="U41">
        <f>U40+3</f>
        <v>12</v>
      </c>
      <c r="W41" s="3">
        <f>(U41/U40)-1</f>
        <v>0.33333333333333326</v>
      </c>
      <c r="Z41">
        <f>Z40+245</f>
        <v>1290</v>
      </c>
      <c r="AB41" s="5">
        <f>Z41-Z40</f>
        <v>245</v>
      </c>
      <c r="AC41">
        <f>AC40+8</f>
        <v>251</v>
      </c>
      <c r="AD41" s="5">
        <f>AC41-AC40</f>
        <v>8</v>
      </c>
      <c r="AE41" s="5"/>
      <c r="AF41">
        <f>AF40+20</f>
        <v>68</v>
      </c>
      <c r="AH41" s="3">
        <f>(AF41/AF40)-1</f>
        <v>0.41666666666666674</v>
      </c>
      <c r="AK41">
        <f>AK40+281</f>
        <v>1945</v>
      </c>
      <c r="AM41" s="5">
        <f>AK41-AK40</f>
        <v>281</v>
      </c>
      <c r="AN41">
        <f>AN40+38</f>
        <v>428</v>
      </c>
      <c r="AO41" s="5">
        <f>AN41-AN40</f>
        <v>38</v>
      </c>
      <c r="AP41" s="5"/>
      <c r="AQ41">
        <f>AQ40+10</f>
        <v>70</v>
      </c>
      <c r="AS41" s="3">
        <f>(AQ41/AQ40)-1</f>
        <v>0.16666666666666674</v>
      </c>
      <c r="AU41" s="4">
        <f>AV41</f>
        <v>4417</v>
      </c>
      <c r="AV41">
        <f>AV40+281</f>
        <v>4417</v>
      </c>
      <c r="AX41" s="5">
        <f>AV41-AV40</f>
        <v>281</v>
      </c>
      <c r="AY41">
        <f>AY40+52</f>
        <v>665</v>
      </c>
      <c r="AZ41" s="5">
        <f>AY41-AY40</f>
        <v>52</v>
      </c>
      <c r="BA41" s="5"/>
      <c r="BB41">
        <f>BB40+23</f>
        <v>155</v>
      </c>
      <c r="BD41" s="3">
        <f>(BB41/BB40)-1</f>
        <v>0.17424242424242431</v>
      </c>
      <c r="BG41">
        <f>BG40+24</f>
        <v>174</v>
      </c>
      <c r="BI41" s="5">
        <f>BG41-BG40</f>
        <v>24</v>
      </c>
      <c r="BJ41">
        <f>BJ40+2</f>
        <v>28</v>
      </c>
      <c r="BK41" s="5">
        <f>BJ41-BJ40</f>
        <v>2</v>
      </c>
      <c r="BL41" s="5"/>
      <c r="BM41">
        <f>BM40+2</f>
        <v>9</v>
      </c>
      <c r="BO41" s="3">
        <f>(BM41/BM40)-1</f>
        <v>0.28571428571428581</v>
      </c>
      <c r="BR41">
        <f>BR40+17</f>
        <v>128</v>
      </c>
      <c r="BT41" s="5">
        <f>BR41-BR40</f>
        <v>17</v>
      </c>
      <c r="BU41">
        <f>BU40+3</f>
        <v>7</v>
      </c>
      <c r="BV41" s="5">
        <f>BU41-BU40</f>
        <v>3</v>
      </c>
      <c r="BW41" s="5"/>
      <c r="BX41">
        <f>BX40+0</f>
        <v>13</v>
      </c>
      <c r="BZ41" s="3">
        <f>(BX41/BX40)-1</f>
        <v>0</v>
      </c>
      <c r="CC41">
        <f>CC40+6</f>
        <v>49</v>
      </c>
      <c r="CE41" s="5">
        <f>CC41-CC40</f>
        <v>6</v>
      </c>
      <c r="CF41">
        <f>CF40+0</f>
        <v>3</v>
      </c>
      <c r="CG41" s="5">
        <f>CF41-CF40</f>
        <v>0</v>
      </c>
      <c r="CH41" s="5"/>
      <c r="CI41">
        <f>CI40+0</f>
        <v>1</v>
      </c>
      <c r="CK41" s="3">
        <f>(CI41/CI40)-1</f>
        <v>0</v>
      </c>
      <c r="CN41">
        <f>CN40+35</f>
        <v>120</v>
      </c>
      <c r="CP41" s="5">
        <f>CN41-CN40</f>
        <v>35</v>
      </c>
      <c r="CQ41">
        <f>CQ40+4</f>
        <v>16</v>
      </c>
      <c r="CR41" s="5">
        <f>CQ41-CQ40</f>
        <v>4</v>
      </c>
      <c r="CS41" s="5"/>
      <c r="CT41">
        <f>CT40+1</f>
        <v>5</v>
      </c>
      <c r="CV41" s="3">
        <f>(CT41/CT40)-1</f>
        <v>0.25</v>
      </c>
      <c r="CY41">
        <f>CY40+74</f>
        <v>366</v>
      </c>
      <c r="DA41" s="5">
        <f>CY41-CY40</f>
        <v>74</v>
      </c>
      <c r="DE41">
        <f>DE40+-1</f>
        <v>2</v>
      </c>
      <c r="DG41" s="3">
        <f>(DE41/DE40)-1</f>
        <v>-0.33333333333333337</v>
      </c>
      <c r="DJ41">
        <f>O41+Z41+AK41+AV41+BG41+BR41+CC41+CN41+CY41</f>
        <v>8781</v>
      </c>
      <c r="DL41" s="5">
        <f>DJ41-DJ40</f>
        <v>1000</v>
      </c>
      <c r="DM41">
        <f>R41+AC41+AN41+AY41+BJ41+BU41+CF41+CQ41+DB41</f>
        <v>1418</v>
      </c>
      <c r="DN41" s="3">
        <f>(DM41/DM40)-1</f>
        <v>0.084097859327217028</v>
      </c>
      <c r="DO41" s="3"/>
      <c r="DP41">
        <f>U41+AF41+AQ41+BB41+BM41+BX41+CI41+CT41+DE41</f>
        <v>335</v>
      </c>
      <c r="DR41" s="3">
        <f>(DP41/DP40)-1</f>
        <v>0.20938628158844774</v>
      </c>
      <c r="DS41" s="3"/>
      <c r="DT41">
        <f>DM41-DM40</f>
        <v>110</v>
      </c>
      <c r="DV41">
        <v>1</v>
      </c>
      <c r="DW41" t="s">
        <v>31</v>
      </c>
      <c r="DX41" s="8">
        <v>43945</v>
      </c>
      <c r="DY41">
        <v>5</v>
      </c>
      <c r="DZ41">
        <v>155</v>
      </c>
      <c r="EA41">
        <v>0</v>
      </c>
      <c r="EB41">
        <v>26</v>
      </c>
      <c r="EG41" t="s">
        <v>72</v>
      </c>
      <c r="EH41">
        <f>EH40+$EI$10+1</f>
        <v>1545</v>
      </c>
      <c r="EI41">
        <f>EH41+$EI$10</f>
        <v>1597</v>
      </c>
      <c r="EU41" s="8"/>
      <c r="FU41">
        <v>55</v>
      </c>
      <c r="FV41">
        <v>22</v>
      </c>
      <c r="FW41">
        <v>90</v>
      </c>
      <c r="GA41" s="10">
        <v>43881</v>
      </c>
      <c r="GB41">
        <v>13</v>
      </c>
      <c r="GC41">
        <f>(GB41/GB40)-1</f>
        <v>0</v>
      </c>
      <c r="GV41" s="8">
        <v>43945</v>
      </c>
      <c r="GW41">
        <v>1</v>
      </c>
      <c r="GX41" t="s">
        <v>31</v>
      </c>
      <c r="GY41">
        <v>5</v>
      </c>
      <c r="HB41">
        <v>155</v>
      </c>
      <c r="HC41">
        <v>0</v>
      </c>
    </row>
    <row r="42" spans="1:325" ht="19.57">
      <c r="C42">
        <f>H41*D42</f>
        <v>1003.000000034434</v>
      </c>
      <c r="D42">
        <v>0.11422389249999999</v>
      </c>
      <c r="E42" t="s">
        <v>37</v>
      </c>
      <c r="F42" s="10">
        <v>43930</v>
      </c>
      <c r="G42" s="2">
        <f>H42*15</f>
        <v>146759.99999945727</v>
      </c>
      <c r="H42">
        <f>H41+C42</f>
        <v>9783.9999999638185</v>
      </c>
      <c r="I42">
        <v>9784</v>
      </c>
      <c r="J42">
        <v>461437</v>
      </c>
      <c r="K42">
        <f>O42+Z42+AK42+AV42+BG42+BR42+CC42+CN42+CY42</f>
        <v>9784</v>
      </c>
      <c r="L42" s="3">
        <f>(K42/K41)-1</f>
        <v>0.11422389249515996</v>
      </c>
      <c r="O42">
        <f>O41+23</f>
        <v>315</v>
      </c>
      <c r="Q42" s="5">
        <f>O42-O41</f>
        <v>23</v>
      </c>
      <c r="R42">
        <f>R41+5</f>
        <v>25</v>
      </c>
      <c r="S42" s="5">
        <f>R42-R41</f>
        <v>5</v>
      </c>
      <c r="T42" s="5"/>
      <c r="U42">
        <f>U41+1</f>
        <v>13</v>
      </c>
      <c r="W42" s="3">
        <f>(U42/U41)-1</f>
        <v>0.083333333333333259</v>
      </c>
      <c r="Z42">
        <f>Z41+181</f>
        <v>1471</v>
      </c>
      <c r="AB42" s="5">
        <f>Z42-Z41</f>
        <v>181</v>
      </c>
      <c r="AC42">
        <f>AC41+25</f>
        <v>276</v>
      </c>
      <c r="AD42" s="5">
        <f>AC42-AC41</f>
        <v>25</v>
      </c>
      <c r="AE42" s="5"/>
      <c r="AF42">
        <f>AF41+7</f>
        <v>75</v>
      </c>
      <c r="AH42" s="3">
        <f>(AF42/AF41)-1</f>
        <v>0.10294117647058831</v>
      </c>
      <c r="AK42">
        <f>AK41+238</f>
        <v>2183</v>
      </c>
      <c r="AM42" s="5">
        <f>AK42-AK41</f>
        <v>238</v>
      </c>
      <c r="AN42">
        <f>AN41+19</f>
        <v>447</v>
      </c>
      <c r="AO42" s="5">
        <f>AN42-AN41</f>
        <v>19</v>
      </c>
      <c r="AP42" s="5"/>
      <c r="AQ42">
        <f>AQ41+8</f>
        <v>78</v>
      </c>
      <c r="AS42" s="3">
        <f>(AQ42/AQ41)-1</f>
        <v>0.11428571428571432</v>
      </c>
      <c r="AU42" s="4">
        <f>AV42</f>
        <v>4882</v>
      </c>
      <c r="AV42">
        <f>AV41+465</f>
        <v>4882</v>
      </c>
      <c r="AX42" s="5">
        <f>AV42-AV41</f>
        <v>465</v>
      </c>
      <c r="AY42">
        <f>AY41+-1</f>
        <v>664</v>
      </c>
      <c r="AZ42" s="5">
        <f>AY42-AY41</f>
        <v>-1</v>
      </c>
      <c r="BA42" s="5"/>
      <c r="BB42">
        <f>BB41+23</f>
        <v>178</v>
      </c>
      <c r="BD42" s="3">
        <f>(BB42/BB41)-1</f>
        <v>0.14838709677419359</v>
      </c>
      <c r="BG42">
        <f>BG41+31</f>
        <v>205</v>
      </c>
      <c r="BI42" s="5">
        <f>BG42-BG41</f>
        <v>31</v>
      </c>
      <c r="BJ42">
        <f>BJ41+-2</f>
        <v>26</v>
      </c>
      <c r="BK42" s="5">
        <f>BJ42-BJ41</f>
        <v>-2</v>
      </c>
      <c r="BL42" s="5"/>
      <c r="BM42">
        <f>BM41+5</f>
        <v>14</v>
      </c>
      <c r="BO42" s="3">
        <f>(BM42/BM41)-1</f>
        <v>0.55555555555555558</v>
      </c>
      <c r="BR42">
        <f>BR41+17</f>
        <v>145</v>
      </c>
      <c r="BT42" s="5">
        <f>BR42-BR41</f>
        <v>17</v>
      </c>
      <c r="BU42">
        <f>BU41+0</f>
        <v>7</v>
      </c>
      <c r="BV42" s="5">
        <f>BU42-BU41</f>
        <v>0</v>
      </c>
      <c r="BW42" s="5"/>
      <c r="BX42">
        <f>BX41+0</f>
        <v>13</v>
      </c>
      <c r="BZ42" s="3">
        <f>(BX42/BX41)-1</f>
        <v>0</v>
      </c>
      <c r="CC42">
        <f>CC41+3</f>
        <v>52</v>
      </c>
      <c r="CE42" s="5">
        <f>CC42-CC41</f>
        <v>3</v>
      </c>
      <c r="CF42">
        <f>CF41+1</f>
        <v>4</v>
      </c>
      <c r="CG42" s="5">
        <f>CF42-CF41</f>
        <v>1</v>
      </c>
      <c r="CH42" s="5"/>
      <c r="CI42">
        <f>CI41+0</f>
        <v>1</v>
      </c>
      <c r="CK42" s="3">
        <f>(CI42/CI41)-1</f>
        <v>0</v>
      </c>
      <c r="CN42">
        <f>CN41+19</f>
        <v>139</v>
      </c>
      <c r="CP42" s="5">
        <f>CN42-CN41</f>
        <v>19</v>
      </c>
      <c r="CQ42">
        <f>CQ41+-1</f>
        <v>15</v>
      </c>
      <c r="CR42" s="5">
        <f>CQ42-CQ41</f>
        <v>-1</v>
      </c>
      <c r="CS42" s="5"/>
      <c r="CT42">
        <f>CT41+1</f>
        <v>6</v>
      </c>
      <c r="CV42" s="3">
        <f>(CT42/CT41)-1</f>
        <v>0.19999999999999996</v>
      </c>
      <c r="CY42">
        <f>CY41+26</f>
        <v>392</v>
      </c>
      <c r="DA42" s="5">
        <f>CY42-CY41</f>
        <v>26</v>
      </c>
      <c r="DE42">
        <f>DE41+0</f>
        <v>2</v>
      </c>
      <c r="DG42" s="3">
        <f>(DE42/DE41)-1</f>
        <v>0</v>
      </c>
      <c r="DJ42">
        <f>O42+Z42+AK42+AV42+BG42+BR42+CC42+CN42+CY42</f>
        <v>9784</v>
      </c>
      <c r="DL42" s="5">
        <f>DJ42-DJ41</f>
        <v>1003</v>
      </c>
      <c r="DM42">
        <f>R42+AC42+AN42+AY42+BJ42+BU42+CF42+CQ42+DB42</f>
        <v>1464</v>
      </c>
      <c r="DN42" s="3">
        <f>(DM42/DM41)-1</f>
        <v>0.032440056417489371</v>
      </c>
      <c r="DO42" s="3"/>
      <c r="DP42">
        <f>U42+AF42+AQ42+BB42+BM42+BX42+CI42+CT42+DE42</f>
        <v>380</v>
      </c>
      <c r="DR42" s="3">
        <f>(DP42/DP41)-1</f>
        <v>0.13432835820895517</v>
      </c>
      <c r="DS42" s="3"/>
      <c r="DT42">
        <f>DM42-DM41</f>
        <v>46</v>
      </c>
      <c r="DV42">
        <v>1</v>
      </c>
      <c r="DW42" t="s">
        <v>31</v>
      </c>
      <c r="DX42" s="8">
        <v>43946</v>
      </c>
      <c r="DY42">
        <v>5</v>
      </c>
      <c r="DZ42">
        <v>155</v>
      </c>
      <c r="EA42">
        <v>0</v>
      </c>
      <c r="EB42">
        <v>27</v>
      </c>
      <c r="EG42" t="s">
        <v>50</v>
      </c>
      <c r="EH42">
        <f>EH41+$EI$10+1</f>
        <v>1598</v>
      </c>
      <c r="EI42">
        <f>EH42+$EI$10</f>
        <v>1650</v>
      </c>
      <c r="EU42" s="8"/>
      <c r="FU42">
        <v>100</v>
      </c>
      <c r="FV42" t="inlineStr">
        <is>
          <t>9th</t>
        </is>
      </c>
      <c r="FW42">
        <v>490</v>
      </c>
      <c r="GA42" s="10">
        <v>43882</v>
      </c>
      <c r="GB42">
        <v>15</v>
      </c>
      <c r="GC42">
        <f>(GB42/GB41)-1</f>
        <v>0.15384615384615374</v>
      </c>
      <c r="GV42" s="8">
        <v>43946</v>
      </c>
      <c r="GW42">
        <v>1</v>
      </c>
      <c r="GX42" t="s">
        <v>31</v>
      </c>
      <c r="GY42">
        <v>5</v>
      </c>
      <c r="HB42">
        <v>155</v>
      </c>
      <c r="HC42">
        <v>0</v>
      </c>
    </row>
    <row r="43" spans="1:325" ht="19.57">
      <c r="C43">
        <f>H42*D43</f>
        <v>753.99999999757006</v>
      </c>
      <c r="D43">
        <v>0.077064595257599997</v>
      </c>
      <c r="E43" t="s">
        <v>38</v>
      </c>
      <c r="F43" s="10">
        <v>43931</v>
      </c>
      <c r="G43" s="2">
        <f>H43*15</f>
        <v>158069.99999942083</v>
      </c>
      <c r="H43">
        <f>H42+C43</f>
        <v>10537.999999961388</v>
      </c>
      <c r="I43">
        <v>10538</v>
      </c>
      <c r="J43">
        <v>496535</v>
      </c>
      <c r="K43">
        <f>O43+Z43+AK43+AV43+BG43+BR43+CC43+CN43+CY43</f>
        <v>10538</v>
      </c>
      <c r="L43" s="3">
        <f>(K43/K42)-1</f>
        <v>0.077064595257563262</v>
      </c>
      <c r="O43">
        <f>O42+31</f>
        <v>346</v>
      </c>
      <c r="Q43" s="5">
        <f>O43-O42</f>
        <v>31</v>
      </c>
      <c r="R43">
        <f>R42+7</f>
        <v>32</v>
      </c>
      <c r="S43" s="5">
        <f>R43-R42</f>
        <v>7</v>
      </c>
      <c r="T43" s="5"/>
      <c r="U43">
        <f>U42+3</f>
        <v>16</v>
      </c>
      <c r="W43" s="3">
        <f>(U43/U42)-1</f>
        <v>0.23076923076923084</v>
      </c>
      <c r="Z43">
        <f>Z42+144</f>
        <v>1615</v>
      </c>
      <c r="AB43" s="5">
        <f>Z43-Z42</f>
        <v>144</v>
      </c>
      <c r="AC43">
        <f>AC42+20</f>
        <v>296</v>
      </c>
      <c r="AD43" s="5">
        <f>AC43-AC42</f>
        <v>20</v>
      </c>
      <c r="AE43" s="5"/>
      <c r="AF43">
        <f>AF42+13</f>
        <v>88</v>
      </c>
      <c r="AH43" s="3">
        <f>(AF43/AF42)-1</f>
        <v>0.17333333333333334</v>
      </c>
      <c r="AK43">
        <f>AK42+200</f>
        <v>2383</v>
      </c>
      <c r="AM43" s="5">
        <f>AK43-AK42</f>
        <v>200</v>
      </c>
      <c r="AN43">
        <f>AN42+46</f>
        <v>493</v>
      </c>
      <c r="AO43" s="5">
        <f>AN43-AN42</f>
        <v>46</v>
      </c>
      <c r="AP43" s="5"/>
      <c r="AQ43">
        <f>AQ42+20</f>
        <v>98</v>
      </c>
      <c r="AS43" s="3">
        <f>(AQ43/AQ42)-1</f>
        <v>0.25641025641025639</v>
      </c>
      <c r="AU43" s="4">
        <f>AV43</f>
        <v>5180</v>
      </c>
      <c r="AV43">
        <f>AV42+298</f>
        <v>5180</v>
      </c>
      <c r="AX43" s="5">
        <f>AV43-AV42</f>
        <v>298</v>
      </c>
      <c r="AY43">
        <f>AY42+21</f>
        <v>685</v>
      </c>
      <c r="AZ43" s="5">
        <f>AY43-AY42</f>
        <v>21</v>
      </c>
      <c r="BA43" s="5"/>
      <c r="BB43">
        <f>BB42+25</f>
        <v>203</v>
      </c>
      <c r="BD43" s="3">
        <f>(BB43/BB42)-1</f>
        <v>0.1404494382022472</v>
      </c>
      <c r="BG43">
        <f>BG42+35</f>
        <v>240</v>
      </c>
      <c r="BI43" s="5">
        <f>BG43-BG42</f>
        <v>35</v>
      </c>
      <c r="BJ43">
        <f>BJ42+2</f>
        <v>28</v>
      </c>
      <c r="BK43" s="5">
        <f>BJ43-BJ42</f>
        <v>2</v>
      </c>
      <c r="BL43" s="5"/>
      <c r="BM43">
        <f>BM42+3</f>
        <v>17</v>
      </c>
      <c r="BO43" s="3">
        <f>(BM43/BM42)-1</f>
        <v>0.21428571428571419</v>
      </c>
      <c r="BR43">
        <f>BR42+7</f>
        <v>152</v>
      </c>
      <c r="BT43" s="5">
        <f>BR43-BR42</f>
        <v>7</v>
      </c>
      <c r="BU43">
        <f>BU42+-1</f>
        <v>6</v>
      </c>
      <c r="BV43" s="5">
        <f>BU43-BU42</f>
        <v>-1</v>
      </c>
      <c r="BW43" s="5"/>
      <c r="BX43">
        <f>BX42+1</f>
        <v>14</v>
      </c>
      <c r="BZ43" s="3">
        <f>(BX43/BX42)-1</f>
        <v>0.076923076923076872</v>
      </c>
      <c r="CC43">
        <f>CC42+7</f>
        <v>59</v>
      </c>
      <c r="CE43" s="5">
        <f>CC43-CC42</f>
        <v>7</v>
      </c>
      <c r="CF43">
        <f>CF42+1</f>
        <v>5</v>
      </c>
      <c r="CG43" s="5">
        <f>CF43-CF42</f>
        <v>1</v>
      </c>
      <c r="CH43" s="5"/>
      <c r="CI43">
        <f>CI42+0</f>
        <v>1</v>
      </c>
      <c r="CK43" s="3">
        <f>(CI43/CI42)-1</f>
        <v>0</v>
      </c>
      <c r="CN43">
        <f>CN42+17</f>
        <v>156</v>
      </c>
      <c r="CP43" s="5">
        <f>CN43-CN42</f>
        <v>17</v>
      </c>
      <c r="CQ43">
        <f>CQ42+2</f>
        <v>17</v>
      </c>
      <c r="CR43" s="5">
        <f>CQ43-CQ42</f>
        <v>2</v>
      </c>
      <c r="CS43" s="5"/>
      <c r="CT43">
        <f>CT42+1</f>
        <v>7</v>
      </c>
      <c r="CV43" s="3">
        <f>(CT43/CT42)-1</f>
        <v>0.16666666666666674</v>
      </c>
      <c r="CY43">
        <f>CY42+15</f>
        <v>407</v>
      </c>
      <c r="DA43" s="5">
        <f>CY43-CY42</f>
        <v>15</v>
      </c>
      <c r="DE43">
        <f>DE42+2</f>
        <v>4</v>
      </c>
      <c r="DG43" s="3">
        <f>(DE43/DE42)-1</f>
        <v>1</v>
      </c>
      <c r="DJ43">
        <f>O43+Z43+AK43+AV43+BG43+BR43+CC43+CN43+CY43</f>
        <v>10538</v>
      </c>
      <c r="DL43" s="5">
        <f>DJ43-DJ42</f>
        <v>754</v>
      </c>
      <c r="DM43">
        <f>R43+AC43+AN43+AY43+BJ43+BU43+CF43+CQ43+DB43</f>
        <v>1562</v>
      </c>
      <c r="DN43" s="3">
        <f>(DM43/DM42)-1</f>
        <v>0.066939890710382421</v>
      </c>
      <c r="DO43" s="3"/>
      <c r="DP43">
        <f>U43+AF43+AQ43+BB43+BM43+BX43+CI43+CT43+DE43</f>
        <v>448</v>
      </c>
      <c r="DR43" s="3">
        <f>(DP43/DP42)-1</f>
        <v>0.17894736842105252</v>
      </c>
      <c r="DS43" s="3"/>
      <c r="DT43">
        <f>DM43-DM42</f>
        <v>98</v>
      </c>
      <c r="DV43">
        <v>1</v>
      </c>
      <c r="DW43" t="s">
        <v>31</v>
      </c>
      <c r="DX43" s="8">
        <v>43947</v>
      </c>
      <c r="DY43">
        <v>6</v>
      </c>
      <c r="DZ43">
        <v>186</v>
      </c>
      <c r="EA43">
        <v>0</v>
      </c>
      <c r="EB43">
        <v>28</v>
      </c>
      <c r="EG43" t="s">
        <v>73</v>
      </c>
      <c r="EH43">
        <f>EH42+$EI$10+1</f>
        <v>1651</v>
      </c>
      <c r="EI43">
        <f>EH43+$EI$10</f>
        <v>1703</v>
      </c>
      <c r="EU43" s="8"/>
      <c r="FU43">
        <v>100</v>
      </c>
      <c r="FV43" t="s">
        <v>74</v>
      </c>
      <c r="FW43">
        <v>90</v>
      </c>
      <c r="GA43" s="10">
        <v>43883</v>
      </c>
      <c r="GB43">
        <v>15</v>
      </c>
      <c r="GC43">
        <f>(GB43/GB42)-1</f>
        <v>0</v>
      </c>
      <c r="GV43" s="8">
        <v>43947</v>
      </c>
      <c r="GW43">
        <v>1</v>
      </c>
      <c r="GX43" t="s">
        <v>31</v>
      </c>
      <c r="GY43">
        <v>6</v>
      </c>
      <c r="HB43">
        <v>186</v>
      </c>
      <c r="HC43">
        <v>0</v>
      </c>
    </row>
    <row r="44" spans="1:325" ht="20.25">
      <c r="C44">
        <f>H43*D44</f>
        <v>971.99999999678664</v>
      </c>
      <c r="D44">
        <f>0.092237616246000007</f>
        <v>0.092237616246000007</v>
      </c>
      <c r="E44" t="s">
        <v>40</v>
      </c>
      <c r="F44" s="10">
        <v>43932</v>
      </c>
      <c r="G44" s="2">
        <f>H44*15</f>
        <v>172649.99999937261</v>
      </c>
      <c r="H44">
        <f>H43+C44</f>
        <v>11509.999999958174</v>
      </c>
      <c r="I44">
        <v>11510</v>
      </c>
      <c r="J44">
        <v>526396</v>
      </c>
      <c r="K44">
        <f>O44+Z44+AK44+AV44+BG44+BR44+CC44+CN44+CY44</f>
        <v>11510</v>
      </c>
      <c r="L44" s="3">
        <f>(K44/K43)-1</f>
        <v>0.092237616245967047</v>
      </c>
      <c r="O44">
        <f>O43+42</f>
        <v>388</v>
      </c>
      <c r="Q44" s="5">
        <f>O44-O43</f>
        <v>42</v>
      </c>
      <c r="R44">
        <f>R43+6</f>
        <v>38</v>
      </c>
      <c r="S44" s="5">
        <f>R44-R43</f>
        <v>6</v>
      </c>
      <c r="T44" s="5"/>
      <c r="U44">
        <f>U43+4</f>
        <v>20</v>
      </c>
      <c r="W44" s="3">
        <f>(U44/U43)-1</f>
        <v>0.25</v>
      </c>
      <c r="Z44">
        <f>Z43+217</f>
        <v>1832</v>
      </c>
      <c r="AB44" s="5">
        <f>Z44-Z43</f>
        <v>217</v>
      </c>
      <c r="AC44">
        <f>AC43+15</f>
        <v>311</v>
      </c>
      <c r="AD44" s="5">
        <f>AC44-AC43</f>
        <v>15</v>
      </c>
      <c r="AE44" s="5"/>
      <c r="AF44">
        <f>AF43+13</f>
        <v>101</v>
      </c>
      <c r="AH44" s="3">
        <f>(AF44/AF43)-1</f>
        <v>0.14772727272727271</v>
      </c>
      <c r="AK44">
        <f>AK43+332</f>
        <v>2715</v>
      </c>
      <c r="AM44" s="5">
        <f>AK44-AK43</f>
        <v>332</v>
      </c>
      <c r="AN44">
        <f>AN43+21</f>
        <v>514</v>
      </c>
      <c r="AO44" s="5">
        <f>AN44-AN43</f>
        <v>21</v>
      </c>
      <c r="AP44" s="5"/>
      <c r="AQ44">
        <f>AQ43+9</f>
        <v>107</v>
      </c>
      <c r="AS44" s="3">
        <f>(AQ44/AQ43)-1</f>
        <v>0.091836734693877542</v>
      </c>
      <c r="AU44" s="4">
        <f>AV44</f>
        <v>5407</v>
      </c>
      <c r="AV44">
        <f>AV43+227</f>
        <v>5407</v>
      </c>
      <c r="AX44" s="5">
        <f>AV44-AV43</f>
        <v>227</v>
      </c>
      <c r="AY44">
        <f>AY43+-9</f>
        <v>676</v>
      </c>
      <c r="AZ44" s="5">
        <f>AY44-AY43</f>
        <v>-9</v>
      </c>
      <c r="BA44" s="5"/>
      <c r="BB44">
        <f>BB43+17</f>
        <v>220</v>
      </c>
      <c r="BD44" s="3">
        <f>(BB44/BB43)-1</f>
        <v>0.083743842364532028</v>
      </c>
      <c r="BG44">
        <f>BG43+50</f>
        <v>290</v>
      </c>
      <c r="BI44" s="5">
        <f>BG44-BG43</f>
        <v>50</v>
      </c>
      <c r="BJ44">
        <f>BJ43+-1</f>
        <v>27</v>
      </c>
      <c r="BK44" s="5">
        <f>BJ44-BJ43</f>
        <v>-1</v>
      </c>
      <c r="BL44" s="5"/>
      <c r="BM44">
        <f>BM43+1</f>
        <v>18</v>
      </c>
      <c r="BO44" s="3">
        <f>(BM44/BM43)-1</f>
        <v>0.058823529411764719</v>
      </c>
      <c r="BR44">
        <f>BR43+19</f>
        <v>171</v>
      </c>
      <c r="BT44" s="5">
        <f>BR44-BR43</f>
        <v>19</v>
      </c>
      <c r="BU44">
        <f>BU43+1</f>
        <v>7</v>
      </c>
      <c r="BV44" s="5">
        <f>BU44-BU43</f>
        <v>1</v>
      </c>
      <c r="BW44" s="5"/>
      <c r="BX44">
        <f>BX43+1</f>
        <v>15</v>
      </c>
      <c r="BZ44" s="3">
        <f>(BX44/BX43)-1</f>
        <v>0.071428571428571397</v>
      </c>
      <c r="CC44">
        <f>CC43+7</f>
        <v>66</v>
      </c>
      <c r="CE44" s="5">
        <f>CC44-CC43</f>
        <v>7</v>
      </c>
      <c r="CF44">
        <f>CF43+-1</f>
        <v>4</v>
      </c>
      <c r="CG44" s="5">
        <f>CF44-CF43</f>
        <v>-1</v>
      </c>
      <c r="CH44" s="5"/>
      <c r="CI44">
        <f>CI43+0</f>
        <v>1</v>
      </c>
      <c r="CK44" s="3">
        <f>(CI44/CI43)-1</f>
        <v>0</v>
      </c>
      <c r="CN44">
        <f>CN43+29</f>
        <v>185</v>
      </c>
      <c r="CP44" s="5">
        <f>CN44-CN43</f>
        <v>29</v>
      </c>
      <c r="CQ44">
        <f>CQ43+-1</f>
        <v>16</v>
      </c>
      <c r="CR44" s="5">
        <f>CQ44-CQ43</f>
        <v>-1</v>
      </c>
      <c r="CS44" s="5"/>
      <c r="CT44">
        <f>CT43+0</f>
        <v>7</v>
      </c>
      <c r="CV44" s="3">
        <f>(CT44/CT43)-1</f>
        <v>0</v>
      </c>
      <c r="CY44">
        <f>CY43+49</f>
        <v>456</v>
      </c>
      <c r="DA44" s="5">
        <f>CY44-CY43</f>
        <v>49</v>
      </c>
      <c r="DE44">
        <f>DE43+1</f>
        <v>5</v>
      </c>
      <c r="DG44" s="3">
        <f>(DE44/DE43)-1</f>
        <v>0.25</v>
      </c>
      <c r="DJ44">
        <f>O44+Z44+AK44+AV44+BG44+BR44+CC44+CN44+CY44</f>
        <v>11510</v>
      </c>
      <c r="DL44" s="5">
        <f>DJ44-DJ43</f>
        <v>972</v>
      </c>
      <c r="DM44">
        <f>R44+AC44+AN44+AY44+BJ44+BU44+CF44+CQ44+DB44</f>
        <v>1593</v>
      </c>
      <c r="DN44" s="3">
        <f>(DM44/DM43)-1</f>
        <v>0.01984635083226638</v>
      </c>
      <c r="DO44" s="3"/>
      <c r="DP44">
        <f>U44+AF44+AQ44+BB44+BM44+BX44+CI44+CT44+DE44</f>
        <v>494</v>
      </c>
      <c r="DR44" s="3">
        <f>(DP44/DP43)-1</f>
        <v>0.1026785714285714</v>
      </c>
      <c r="DS44" s="3"/>
      <c r="DT44">
        <f>DM44-DM43</f>
        <v>31</v>
      </c>
      <c r="DV44">
        <v>1</v>
      </c>
      <c r="DW44" t="s">
        <v>31</v>
      </c>
      <c r="DX44" s="8">
        <v>43948</v>
      </c>
      <c r="DY44">
        <v>6</v>
      </c>
      <c r="DZ44">
        <v>186</v>
      </c>
      <c r="EA44">
        <v>0</v>
      </c>
      <c r="EB44">
        <v>29</v>
      </c>
      <c r="EG44" t="s">
        <v>75</v>
      </c>
      <c r="EH44">
        <f>EH43+$EI$10+1</f>
        <v>1704</v>
      </c>
      <c r="EI44">
        <f>EH44+$EI$10</f>
        <v>1756</v>
      </c>
      <c r="ET44" t="inlineStr">
        <is>
          <t>For the graphs:</t>
        </is>
      </c>
      <c r="EU44" s="8"/>
      <c r="FU44">
        <v>100</v>
      </c>
      <c r="FV44" t="s">
        <v>76</v>
      </c>
      <c r="FW44">
        <v>290</v>
      </c>
      <c r="GA44" s="10">
        <v>43884</v>
      </c>
      <c r="GB44">
        <v>15</v>
      </c>
      <c r="GC44">
        <f>(GB44/GB43)-1</f>
        <v>0</v>
      </c>
      <c r="GF44" s="2"/>
      <c r="GG44" s="2"/>
      <c r="GH44" s="2"/>
      <c r="GI44" s="2"/>
      <c r="GJ44" s="2"/>
      <c r="GK44" s="2"/>
      <c r="GV44" s="8">
        <v>43948</v>
      </c>
      <c r="GW44">
        <v>1</v>
      </c>
      <c r="GX44" t="s">
        <v>31</v>
      </c>
      <c r="GY44">
        <v>6</v>
      </c>
      <c r="HB44">
        <v>186</v>
      </c>
      <c r="HC44">
        <v>0</v>
      </c>
    </row>
    <row r="45" spans="1:325" ht="20.25">
      <c r="C45">
        <f>H44*D45</f>
        <v>524.99999999669217</v>
      </c>
      <c r="D45">
        <f>0.045612510859999997</f>
        <v>0.045612510859999997</v>
      </c>
      <c r="E45" t="s">
        <v>30</v>
      </c>
      <c r="F45" s="10">
        <v>43933</v>
      </c>
      <c r="G45" s="2">
        <f>H45*15</f>
        <v>180524.99999932302</v>
      </c>
      <c r="H45">
        <f>H44+C45</f>
        <v>12034.999999954867</v>
      </c>
      <c r="I45">
        <v>12035</v>
      </c>
      <c r="J45">
        <v>555313</v>
      </c>
      <c r="K45">
        <f>O45+Z45+AK45+AV45+BG45+BR45+CC45+CN45+CY45</f>
        <v>12035</v>
      </c>
      <c r="L45" s="3">
        <f>(K45/K44)-1</f>
        <v>0.045612510860121525</v>
      </c>
      <c r="O45">
        <f>O44+15</f>
        <v>403</v>
      </c>
      <c r="Q45" s="5">
        <f>O45-O44</f>
        <v>15</v>
      </c>
      <c r="R45">
        <f>R44+1</f>
        <v>39</v>
      </c>
      <c r="S45" s="5">
        <f>R45-R44</f>
        <v>1</v>
      </c>
      <c r="T45" s="5"/>
      <c r="U45">
        <f>U44+4</f>
        <v>24</v>
      </c>
      <c r="W45" s="3">
        <f>(U45/U44)-1</f>
        <v>0.19999999999999996</v>
      </c>
      <c r="Z45">
        <f>Z44+82</f>
        <v>1914</v>
      </c>
      <c r="AB45" s="5">
        <f>Z45-Z44</f>
        <v>82</v>
      </c>
      <c r="AC45">
        <f>AC44+22</f>
        <v>333</v>
      </c>
      <c r="AD45" s="5">
        <f>AC45-AC44</f>
        <v>22</v>
      </c>
      <c r="AE45" s="5"/>
      <c r="AF45">
        <f>AF44+15</f>
        <v>116</v>
      </c>
      <c r="AH45" s="3">
        <f>(AF45/AF44)-1</f>
        <v>0.14851485148514842</v>
      </c>
      <c r="AK45">
        <f>AK44+231</f>
        <v>2946</v>
      </c>
      <c r="AM45" s="5">
        <f>AK45-AK44</f>
        <v>231</v>
      </c>
      <c r="AN45">
        <f>AN44+21</f>
        <v>535</v>
      </c>
      <c r="AO45" s="5">
        <f>AN45-AN44</f>
        <v>21</v>
      </c>
      <c r="AP45" s="5"/>
      <c r="AQ45">
        <f>AQ44+12</f>
        <v>119</v>
      </c>
      <c r="AS45" s="3">
        <f>(AQ45/AQ44)-1</f>
        <v>0.11214953271028039</v>
      </c>
      <c r="AU45" s="4">
        <f>AV45</f>
        <v>5534</v>
      </c>
      <c r="AV45">
        <f>AV44+127</f>
        <v>5534</v>
      </c>
      <c r="AX45" s="5">
        <f>AV45-AV44</f>
        <v>127</v>
      </c>
      <c r="AY45">
        <f>AY44+12</f>
        <v>688</v>
      </c>
      <c r="AZ45" s="5">
        <f>AY45-AY44</f>
        <v>12</v>
      </c>
      <c r="BA45" s="5"/>
      <c r="BB45">
        <f>BB44+28</f>
        <v>248</v>
      </c>
      <c r="BD45" s="3">
        <f>(BB45/BB44)-1</f>
        <v>0.1272727272727272</v>
      </c>
      <c r="BG45">
        <f>BG44+9</f>
        <v>299</v>
      </c>
      <c r="BI45" s="5">
        <f>BG45-BG44</f>
        <v>9</v>
      </c>
      <c r="BJ45">
        <f>BJ44+5</f>
        <v>32</v>
      </c>
      <c r="BK45" s="5">
        <f>BJ45-BJ44</f>
        <v>5</v>
      </c>
      <c r="BL45" s="5"/>
      <c r="BM45">
        <f>BM44+0</f>
        <v>18</v>
      </c>
      <c r="BO45" s="3">
        <f>(BM45/BM44)-1</f>
        <v>0</v>
      </c>
      <c r="BR45">
        <f>BR44+11</f>
        <v>182</v>
      </c>
      <c r="BT45" s="5">
        <f>BR45-BR44</f>
        <v>11</v>
      </c>
      <c r="BU45">
        <f>BU44+0</f>
        <v>7</v>
      </c>
      <c r="BV45" s="5">
        <f>BU45-BU44</f>
        <v>0</v>
      </c>
      <c r="BW45" s="5"/>
      <c r="BX45">
        <f>BX44+2</f>
        <v>17</v>
      </c>
      <c r="BZ45" s="3">
        <f>(BX45/BX44)-1</f>
        <v>0.1333333333333333</v>
      </c>
      <c r="CC45">
        <f>CC44+0</f>
        <v>66</v>
      </c>
      <c r="CE45" s="5">
        <f>CC45-CC44</f>
        <v>0</v>
      </c>
      <c r="CF45">
        <f>CF44+0</f>
        <v>4</v>
      </c>
      <c r="CG45" s="5">
        <f>CF45-CF44</f>
        <v>0</v>
      </c>
      <c r="CH45" s="5"/>
      <c r="CI45">
        <f>CI44+0</f>
        <v>1</v>
      </c>
      <c r="CK45" s="3">
        <f>(CI45/CI44)-1</f>
        <v>0</v>
      </c>
      <c r="CN45">
        <f>CN44+5</f>
        <v>190</v>
      </c>
      <c r="CP45" s="5">
        <f>CN45-CN44</f>
        <v>5</v>
      </c>
      <c r="CQ45">
        <f>CQ44+0</f>
        <v>16</v>
      </c>
      <c r="CR45" s="5">
        <f>CQ45-CQ44</f>
        <v>0</v>
      </c>
      <c r="CS45" s="5"/>
      <c r="CT45">
        <f>CT44+0</f>
        <v>7</v>
      </c>
      <c r="CV45" s="3">
        <f>(CT45/CT44)-1</f>
        <v>0</v>
      </c>
      <c r="CY45">
        <f>CY44+45</f>
        <v>501</v>
      </c>
      <c r="DA45" s="5">
        <f>CY45-CY44</f>
        <v>45</v>
      </c>
      <c r="DE45">
        <f>DE44+-1</f>
        <v>4</v>
      </c>
      <c r="DG45" s="3">
        <f>(DE45/DE44)-1</f>
        <v>-0.19999999999999996</v>
      </c>
      <c r="DJ45">
        <f>O45+Z45+AK45+AV45+BG45+BR45+CC45+CN45+CY45</f>
        <v>12035</v>
      </c>
      <c r="DL45" s="5">
        <f>DJ45-DJ44</f>
        <v>525</v>
      </c>
      <c r="DM45">
        <f>R45+AC45+AN45+AY45+BJ45+BU45+CF45+CQ45+DB45</f>
        <v>1654</v>
      </c>
      <c r="DN45" s="3">
        <f>(DM45/DM44)-1</f>
        <v>0.038292529817953502</v>
      </c>
      <c r="DO45" s="3"/>
      <c r="DP45">
        <f>U45+AF45+AQ45+BB45+BM45+BX45+CI45+CT45+DE45</f>
        <v>554</v>
      </c>
      <c r="DR45" s="3">
        <f>(DP45/DP44)-1</f>
        <v>0.12145748987854255</v>
      </c>
      <c r="DS45" s="3"/>
      <c r="DT45">
        <f>DM45-DM44</f>
        <v>61</v>
      </c>
      <c r="DV45">
        <v>1</v>
      </c>
      <c r="DW45" t="s">
        <v>31</v>
      </c>
      <c r="DX45" s="8">
        <v>43949</v>
      </c>
      <c r="DY45">
        <v>6</v>
      </c>
      <c r="DZ45">
        <v>186</v>
      </c>
      <c r="EA45">
        <v>0</v>
      </c>
      <c r="EB45">
        <v>30</v>
      </c>
      <c r="EG45" t="s">
        <v>53</v>
      </c>
      <c r="EH45">
        <f>EH44+$EI$10+1</f>
        <v>1757</v>
      </c>
      <c r="EI45">
        <f>EH45+$EI$10</f>
        <v>1809</v>
      </c>
      <c r="EU45" s="8"/>
      <c r="FU45">
        <v>33</v>
      </c>
      <c r="FV45">
        <v>55</v>
      </c>
      <c r="FW45">
        <v>90</v>
      </c>
      <c r="GA45" s="10">
        <v>43885</v>
      </c>
      <c r="GB45">
        <v>51</v>
      </c>
      <c r="GC45">
        <f>(GB45/GB44)-1</f>
        <v>2.3999999999999999</v>
      </c>
      <c r="GV45" s="8">
        <v>43949</v>
      </c>
      <c r="GW45">
        <v>1</v>
      </c>
      <c r="GX45" t="s">
        <v>31</v>
      </c>
      <c r="GY45">
        <v>6</v>
      </c>
      <c r="HB45">
        <v>186</v>
      </c>
      <c r="HC45">
        <v>0</v>
      </c>
    </row>
    <row r="46" spans="1:325" ht="20.25">
      <c r="C46">
        <f>H45*D46</f>
        <v>1346.0000000008024</v>
      </c>
      <c r="D46">
        <f>0.11184046531</f>
        <v>0.11184046531</v>
      </c>
      <c r="E46" t="s">
        <v>33</v>
      </c>
      <c r="F46" s="10">
        <v>43934</v>
      </c>
      <c r="G46" s="2">
        <f>H46*15</f>
        <v>200714.99999933504</v>
      </c>
      <c r="H46">
        <f>H45+C46</f>
        <v>13380.999999955669</v>
      </c>
      <c r="I46">
        <v>13381</v>
      </c>
      <c r="J46">
        <v>580619</v>
      </c>
      <c r="K46">
        <f>O46+Z46+AK46+AV46+BG46+BR46+CC46+CN46+CY46</f>
        <v>13381</v>
      </c>
      <c r="L46" s="3">
        <f>(K46/K45)-1</f>
        <v>0.11184046530951397</v>
      </c>
      <c r="O46">
        <f>O45+43</f>
        <v>446</v>
      </c>
      <c r="Q46" s="5">
        <f>O46-O45</f>
        <v>43</v>
      </c>
      <c r="R46">
        <f>R45+-2</f>
        <v>37</v>
      </c>
      <c r="S46" s="5">
        <f>R46-R45</f>
        <v>-2</v>
      </c>
      <c r="T46" s="5"/>
      <c r="U46">
        <f>U45+0</f>
        <v>24</v>
      </c>
      <c r="W46" s="3">
        <f>(U46/U45)-1</f>
        <v>0</v>
      </c>
      <c r="Z46">
        <f>Z45+329</f>
        <v>2243</v>
      </c>
      <c r="AB46" s="5">
        <f>Z46-Z45</f>
        <v>329</v>
      </c>
      <c r="AC46">
        <f>AC45+28</f>
        <v>361</v>
      </c>
      <c r="AD46" s="5">
        <f>AC46-AC45</f>
        <v>28</v>
      </c>
      <c r="AE46" s="5"/>
      <c r="AF46">
        <f>AF45+17</f>
        <v>133</v>
      </c>
      <c r="AH46" s="3">
        <f>(AF46/AF45)-1</f>
        <v>0.14655172413793105</v>
      </c>
      <c r="AK46">
        <f>AK45+412</f>
        <v>3358</v>
      </c>
      <c r="AM46" s="5">
        <f>AK46-AK45</f>
        <v>412</v>
      </c>
      <c r="AN46">
        <f>AN45+45</f>
        <v>580</v>
      </c>
      <c r="AO46" s="5">
        <f>AN46-AN45</f>
        <v>45</v>
      </c>
      <c r="AP46" s="5"/>
      <c r="AQ46">
        <f>AQ45+16</f>
        <v>135</v>
      </c>
      <c r="AS46" s="3">
        <f>(AQ46/AQ45)-1</f>
        <v>0.13445378151260501</v>
      </c>
      <c r="AU46" s="4">
        <f>AV46</f>
        <v>6004</v>
      </c>
      <c r="AV46">
        <f>AV45+470</f>
        <v>6004</v>
      </c>
      <c r="AX46" s="5">
        <f>AV46-AV45</f>
        <v>470</v>
      </c>
      <c r="AY46">
        <f>AY45+22</f>
        <v>710</v>
      </c>
      <c r="AZ46" s="5">
        <f>AY46-AY45</f>
        <v>22</v>
      </c>
      <c r="BA46" s="5"/>
      <c r="BB46">
        <f>BB45+14</f>
        <v>262</v>
      </c>
      <c r="BD46" s="3">
        <f>(BB46/BB45)-1</f>
        <v>0.056451612903225756</v>
      </c>
      <c r="BG46">
        <f>BG45+40</f>
        <v>339</v>
      </c>
      <c r="BI46" s="5">
        <f>BG46-BG45</f>
        <v>40</v>
      </c>
      <c r="BJ46">
        <f>BJ45+3</f>
        <v>35</v>
      </c>
      <c r="BK46" s="5">
        <f>BJ46-BJ45</f>
        <v>3</v>
      </c>
      <c r="BL46" s="5"/>
      <c r="BM46">
        <f>BM45+1</f>
        <v>19</v>
      </c>
      <c r="BO46" s="3">
        <f>(BM46/BM45)-1</f>
        <v>0.05555555555555558</v>
      </c>
      <c r="BR46">
        <f>BR45+13</f>
        <v>195</v>
      </c>
      <c r="BT46" s="5">
        <f>BR46-BR45</f>
        <v>13</v>
      </c>
      <c r="BU46">
        <f>BU45+6</f>
        <v>13</v>
      </c>
      <c r="BV46" s="5">
        <f>BU46-BU45</f>
        <v>6</v>
      </c>
      <c r="BW46" s="5"/>
      <c r="BX46">
        <f>BX45+0</f>
        <v>17</v>
      </c>
      <c r="BZ46" s="3">
        <f>(BX46/BX45)-1</f>
        <v>0</v>
      </c>
      <c r="CC46">
        <f>CC45+17</f>
        <v>83</v>
      </c>
      <c r="CE46" s="5">
        <f>CC46-CC45</f>
        <v>17</v>
      </c>
      <c r="CF46">
        <f>CF45+0</f>
        <v>4</v>
      </c>
      <c r="CG46" s="5">
        <f>CF46-CF45</f>
        <v>0</v>
      </c>
      <c r="CH46" s="5"/>
      <c r="CI46">
        <f>CI45+0</f>
        <v>1</v>
      </c>
      <c r="CK46" s="3">
        <f>(CI46/CI45)-1</f>
        <v>0</v>
      </c>
      <c r="CN46">
        <f>CN45+32</f>
        <v>222</v>
      </c>
      <c r="CP46" s="5">
        <f>CN46-CN45</f>
        <v>32</v>
      </c>
      <c r="CQ46">
        <f>CQ45+4</f>
        <v>20</v>
      </c>
      <c r="CR46" s="5">
        <f>CQ46-CQ45</f>
        <v>4</v>
      </c>
      <c r="CS46" s="5"/>
      <c r="CT46">
        <f>CT45+0</f>
        <v>7</v>
      </c>
      <c r="CV46" s="3">
        <f>(CT46/CT45)-1</f>
        <v>0</v>
      </c>
      <c r="CY46">
        <f>CY45+-10</f>
        <v>491</v>
      </c>
      <c r="DA46" s="5">
        <f>CY46-CY45</f>
        <v>-10</v>
      </c>
      <c r="DE46">
        <f>DE45+0</f>
        <v>4</v>
      </c>
      <c r="DG46" s="3">
        <f>(DE46/DE45)-1</f>
        <v>0</v>
      </c>
      <c r="DJ46">
        <f>O46+Z46+AK46+AV46+BG46+BR46+CC46+CN46+CY46</f>
        <v>13381</v>
      </c>
      <c r="DL46" s="5">
        <f>DJ46-DJ45</f>
        <v>1346</v>
      </c>
      <c r="DM46">
        <f>R46+AC46+AN46+AY46+BJ46+BU46+CF46+CQ46+DB46</f>
        <v>1760</v>
      </c>
      <c r="DN46" s="3">
        <f>(DM46/DM45)-1</f>
        <v>0.064087061668681944</v>
      </c>
      <c r="DO46" s="3"/>
      <c r="DP46">
        <f>U46+AF46+AQ46+BB46+BM46+BX46+CI46+CT46+DE46</f>
        <v>602</v>
      </c>
      <c r="DR46" s="3">
        <f>(DP46/DP45)-1</f>
        <v>0.086642599277978238</v>
      </c>
      <c r="DS46" s="3"/>
      <c r="DT46">
        <f>DM46-DM45</f>
        <v>106</v>
      </c>
      <c r="DV46">
        <v>1</v>
      </c>
      <c r="DW46" t="s">
        <v>31</v>
      </c>
      <c r="DX46" s="8">
        <v>43950</v>
      </c>
      <c r="DY46">
        <v>6</v>
      </c>
      <c r="DZ46">
        <v>186</v>
      </c>
      <c r="EA46">
        <v>0</v>
      </c>
      <c r="EB46">
        <v>31</v>
      </c>
      <c r="EG46" t="s">
        <v>77</v>
      </c>
      <c r="EH46">
        <f>EH45+$EI$10+1</f>
        <v>1810</v>
      </c>
      <c r="EI46">
        <f>EH46+$EI$10</f>
        <v>1862</v>
      </c>
      <c r="ET46" t="inlineStr">
        <is>
          <t>CL is case rate</t>
        </is>
      </c>
      <c r="EU46" s="8"/>
      <c r="FU46">
        <v>100</v>
      </c>
      <c r="FV46" t="s">
        <v>78</v>
      </c>
      <c r="FW46">
        <v>390</v>
      </c>
      <c r="GA46" s="10">
        <v>43886</v>
      </c>
      <c r="GB46">
        <v>51</v>
      </c>
      <c r="GC46">
        <f>(GB46/GB45)-1</f>
        <v>0</v>
      </c>
      <c r="GV46" s="8">
        <v>43950</v>
      </c>
      <c r="GW46">
        <v>1</v>
      </c>
      <c r="GX46" t="s">
        <v>31</v>
      </c>
      <c r="GY46">
        <v>6</v>
      </c>
      <c r="HB46">
        <v>186</v>
      </c>
      <c r="HC46">
        <v>0</v>
      </c>
    </row>
    <row r="47" spans="1:325" ht="19.57">
      <c r="C47">
        <f>H46*D47</f>
        <v>607.99999999230567</v>
      </c>
      <c r="D47">
        <f>0.045437560719999999</f>
        <v>0.045437560719999999</v>
      </c>
      <c r="E47" t="s">
        <v>34</v>
      </c>
      <c r="F47" s="10">
        <v>43935</v>
      </c>
      <c r="G47" s="2">
        <f>H47*15</f>
        <v>209834.99999921964</v>
      </c>
      <c r="H47">
        <f>H46+C47</f>
        <v>13988.999999947975</v>
      </c>
      <c r="I47">
        <v>13989</v>
      </c>
      <c r="J47">
        <v>607670</v>
      </c>
      <c r="K47">
        <f>O47+Z47+AK47+AV47+BG47+BR47+CC47+CN47+CY47</f>
        <v>13989</v>
      </c>
      <c r="L47" s="3">
        <f>(K47/K46)-1</f>
        <v>0.045437560720424486</v>
      </c>
      <c r="O47">
        <f>O46+14</f>
        <v>460</v>
      </c>
      <c r="Q47" s="5">
        <f>O47-O46</f>
        <v>14</v>
      </c>
      <c r="R47">
        <f>R46+-2</f>
        <v>35</v>
      </c>
      <c r="S47" s="5">
        <f>R47-R46</f>
        <v>-2</v>
      </c>
      <c r="T47" s="5"/>
      <c r="U47">
        <f>U46+5</f>
        <v>29</v>
      </c>
      <c r="W47" s="3">
        <f>(U47/U46)-1</f>
        <v>0.20833333333333326</v>
      </c>
      <c r="Z47">
        <f>Z46+127</f>
        <v>2370</v>
      </c>
      <c r="AB47" s="5">
        <f>Z47-Z46</f>
        <v>127</v>
      </c>
      <c r="AC47">
        <f>AC46+8</f>
        <v>369</v>
      </c>
      <c r="AD47" s="5">
        <f>AC47-AC46</f>
        <v>8</v>
      </c>
      <c r="AE47" s="5"/>
      <c r="AF47">
        <f>AF46+20</f>
        <v>153</v>
      </c>
      <c r="AH47" s="3">
        <f>(AF47/AF46)-1</f>
        <v>0.15037593984962405</v>
      </c>
      <c r="AK47">
        <f>AK46+185</f>
        <v>3543</v>
      </c>
      <c r="AM47" s="5">
        <f>AK47-AK46</f>
        <v>185</v>
      </c>
      <c r="AN47">
        <f>AN46+-8</f>
        <v>572</v>
      </c>
      <c r="AO47" s="5">
        <f>AN47-AN46</f>
        <v>-8</v>
      </c>
      <c r="AP47" s="5"/>
      <c r="AQ47">
        <f>AQ46+16</f>
        <v>151</v>
      </c>
      <c r="AS47" s="3">
        <f>(AQ47/AQ46)-1</f>
        <v>0.11851851851851847</v>
      </c>
      <c r="AU47" s="4">
        <f>AV47</f>
        <v>6213</v>
      </c>
      <c r="AV47">
        <f>AV46+209</f>
        <v>6213</v>
      </c>
      <c r="AX47" s="5">
        <f>AV47-AV46</f>
        <v>209</v>
      </c>
      <c r="AY47">
        <f>AY46+21</f>
        <v>731</v>
      </c>
      <c r="AZ47" s="5">
        <f>AY47-AY46</f>
        <v>21</v>
      </c>
      <c r="BA47" s="5"/>
      <c r="BB47">
        <f>BB46+25</f>
        <v>287</v>
      </c>
      <c r="BD47" s="3">
        <f>(BB47/BB46)-1</f>
        <v>0.095419847328244378</v>
      </c>
      <c r="BG47">
        <f>BG46+16</f>
        <v>355</v>
      </c>
      <c r="BI47" s="5">
        <f>BG47-BG46</f>
        <v>16</v>
      </c>
      <c r="BJ47">
        <f>BJ46+3</f>
        <v>38</v>
      </c>
      <c r="BK47" s="5">
        <f>BJ47-BJ46</f>
        <v>3</v>
      </c>
      <c r="BL47" s="5"/>
      <c r="BM47">
        <f>BM46+2</f>
        <v>21</v>
      </c>
      <c r="BO47" s="3">
        <f>(BM47/BM46)-1</f>
        <v>0.10526315789473695</v>
      </c>
      <c r="BR47">
        <f>BR46+6</f>
        <v>201</v>
      </c>
      <c r="BT47" s="5">
        <f>BR47-BR46</f>
        <v>6</v>
      </c>
      <c r="BU47">
        <f>BU46+-1</f>
        <v>12</v>
      </c>
      <c r="BV47" s="5">
        <f>BU47-BU46</f>
        <v>-1</v>
      </c>
      <c r="BW47" s="5"/>
      <c r="BX47">
        <f>BX46+1</f>
        <v>18</v>
      </c>
      <c r="BZ47" s="3">
        <f>(BX47/BX46)-1</f>
        <v>0.058823529411764719</v>
      </c>
      <c r="CC47">
        <f>CC46+4</f>
        <v>87</v>
      </c>
      <c r="CE47" s="5">
        <f>CC47-CC46</f>
        <v>4</v>
      </c>
      <c r="CF47">
        <f>CF46+1</f>
        <v>5</v>
      </c>
      <c r="CG47" s="5">
        <f>CF47-CF46</f>
        <v>1</v>
      </c>
      <c r="CH47" s="5"/>
      <c r="CI47">
        <f>CI46+0</f>
        <v>1</v>
      </c>
      <c r="CK47" s="3">
        <f>(CI47/CI46)-1</f>
        <v>0</v>
      </c>
      <c r="CN47">
        <f>CN46+5</f>
        <v>227</v>
      </c>
      <c r="CP47" s="5">
        <f>CN47-CN46</f>
        <v>5</v>
      </c>
      <c r="CQ47">
        <f>CQ46+-3</f>
        <v>17</v>
      </c>
      <c r="CR47" s="5">
        <f>CQ47-CQ46</f>
        <v>-3</v>
      </c>
      <c r="CS47" s="5"/>
      <c r="CT47">
        <f>CT46+0</f>
        <v>7</v>
      </c>
      <c r="CV47" s="3">
        <f>(CT47/CT46)-1</f>
        <v>0</v>
      </c>
      <c r="CY47">
        <f>CY46+42</f>
        <v>533</v>
      </c>
      <c r="DA47" s="5">
        <f>CY47-CY46</f>
        <v>42</v>
      </c>
      <c r="DE47">
        <f>DE46+0</f>
        <v>4</v>
      </c>
      <c r="DG47" s="3">
        <f>(DE47/DE46)-1</f>
        <v>0</v>
      </c>
      <c r="DJ47">
        <f>O47+Z47+AK47+AV47+BG47+BR47+CC47+CN47+CY47</f>
        <v>13989</v>
      </c>
      <c r="DL47" s="5">
        <f>DJ47-DJ46</f>
        <v>608</v>
      </c>
      <c r="DM47">
        <f>R47+AC47+AN47+AY47+BJ47+BU47+CF47+CQ47+DB47</f>
        <v>1779</v>
      </c>
      <c r="DN47" s="3">
        <f>(DM47/DM46)-1</f>
        <v>0.010795454545454497</v>
      </c>
      <c r="DO47" s="3"/>
      <c r="DP47">
        <f>U47+AF47+AQ47+BB47+BM47+BX47+CI47+CT47+DE47</f>
        <v>671</v>
      </c>
      <c r="DR47" s="3">
        <f>(DP47/DP46)-1</f>
        <v>0.11461794019933547</v>
      </c>
      <c r="DS47" s="3"/>
      <c r="DT47">
        <f>DM47-DM46</f>
        <v>19</v>
      </c>
      <c r="DV47">
        <v>1</v>
      </c>
      <c r="DW47" t="s">
        <v>31</v>
      </c>
      <c r="DX47" s="8">
        <v>43951</v>
      </c>
      <c r="DY47">
        <v>6</v>
      </c>
      <c r="DZ47">
        <v>186</v>
      </c>
      <c r="EA47">
        <v>0</v>
      </c>
      <c r="EB47">
        <v>32</v>
      </c>
      <c r="EG47" t="s">
        <v>79</v>
      </c>
      <c r="EH47">
        <f>EH46+$EI$10+1</f>
        <v>1863</v>
      </c>
      <c r="EI47">
        <f>EH47+$EI$10</f>
        <v>1915</v>
      </c>
      <c r="EU47" s="8"/>
      <c r="FU47">
        <v>100</v>
      </c>
      <c r="FV47" t="s">
        <v>80</v>
      </c>
      <c r="FW47">
        <v>90</v>
      </c>
      <c r="GA47" s="10">
        <v>43887</v>
      </c>
      <c r="GB47">
        <v>57</v>
      </c>
      <c r="GC47">
        <f>(GB47/GB46)-1</f>
        <v>0.11764705882352944</v>
      </c>
      <c r="GE47" s="4"/>
      <c r="GV47" s="8">
        <v>43951</v>
      </c>
      <c r="GW47">
        <v>1</v>
      </c>
      <c r="GX47" t="s">
        <v>31</v>
      </c>
      <c r="GY47">
        <v>6</v>
      </c>
      <c r="HB47">
        <v>186</v>
      </c>
      <c r="HC47">
        <v>0</v>
      </c>
    </row>
    <row r="48" spans="1:325" ht="19.57">
      <c r="C48">
        <f>H47*D48</f>
        <v>765.99999999069723</v>
      </c>
      <c r="D48">
        <f>0.054757309313999997</f>
        <v>0.054757309313999997</v>
      </c>
      <c r="E48" t="s">
        <v>35</v>
      </c>
      <c r="F48" s="10">
        <v>43936</v>
      </c>
      <c r="G48" s="2">
        <f>H48*15</f>
        <v>221324.99999908009</v>
      </c>
      <c r="H48">
        <f>H47+C48</f>
        <v>14754.999999938673</v>
      </c>
      <c r="I48">
        <v>14755</v>
      </c>
      <c r="J48">
        <v>636350</v>
      </c>
      <c r="K48">
        <f>O48+Z48+AK48+AV48+BG48+BR48+CC48+CN48+CY48</f>
        <v>14755</v>
      </c>
      <c r="L48" s="3">
        <f>(K48/K47)-1</f>
        <v>0.054757309314461322</v>
      </c>
      <c r="O48">
        <f>O47+30</f>
        <v>490</v>
      </c>
      <c r="Q48" s="5">
        <f>O48-O47</f>
        <v>30</v>
      </c>
      <c r="R48">
        <f>R47+-3</f>
        <v>32</v>
      </c>
      <c r="S48" s="5">
        <f>R48-R47</f>
        <v>-3</v>
      </c>
      <c r="T48" s="5"/>
      <c r="U48">
        <f>U47+6</f>
        <v>35</v>
      </c>
      <c r="W48" s="3">
        <f>(U48/U47)-1</f>
        <v>0.2068965517241379</v>
      </c>
      <c r="Z48">
        <f>Z47+200</f>
        <v>2570</v>
      </c>
      <c r="AB48" s="5">
        <f>Z48-Z47</f>
        <v>200</v>
      </c>
      <c r="AC48">
        <f>AC47+33</f>
        <v>402</v>
      </c>
      <c r="AD48" s="5">
        <f>AC48-AC47</f>
        <v>33</v>
      </c>
      <c r="AE48" s="5"/>
      <c r="AF48">
        <f>AF47+60</f>
        <v>213</v>
      </c>
      <c r="AH48" s="3">
        <f>(AF48/AF47)-1</f>
        <v>0.39215686274509798</v>
      </c>
      <c r="AK48">
        <f>AK47+215</f>
        <v>3758</v>
      </c>
      <c r="AM48" s="5">
        <f>AK48-AK47</f>
        <v>215</v>
      </c>
      <c r="AN48">
        <f>AN47+40</f>
        <v>612</v>
      </c>
      <c r="AO48" s="5">
        <f>AN48-AN47</f>
        <v>40</v>
      </c>
      <c r="AP48" s="5"/>
      <c r="AQ48">
        <f>AQ47+44</f>
        <v>195</v>
      </c>
      <c r="AS48" s="3">
        <f>(AQ48/AQ47)-1</f>
        <v>0.29139072847682113</v>
      </c>
      <c r="AU48" s="4">
        <f>AV48</f>
        <v>6480</v>
      </c>
      <c r="AV48">
        <f>AV47+267</f>
        <v>6480</v>
      </c>
      <c r="AX48" s="5">
        <f>AV48-AV47</f>
        <v>267</v>
      </c>
      <c r="AY48">
        <f>AY47+53</f>
        <v>784</v>
      </c>
      <c r="AZ48" s="5">
        <f>AY48-AY47</f>
        <v>53</v>
      </c>
      <c r="BA48" s="5"/>
      <c r="BB48">
        <f>BB47+78</f>
        <v>365</v>
      </c>
      <c r="BD48" s="3">
        <f>(BB48/BB47)-1</f>
        <v>0.27177700348432055</v>
      </c>
      <c r="BG48">
        <f>BG47+24</f>
        <v>379</v>
      </c>
      <c r="BI48" s="5">
        <f>BG48-BG47</f>
        <v>24</v>
      </c>
      <c r="BJ48">
        <f>BJ47+2</f>
        <v>40</v>
      </c>
      <c r="BK48" s="5">
        <f>BJ48-BJ47</f>
        <v>2</v>
      </c>
      <c r="BL48" s="5"/>
      <c r="BM48">
        <f>BM47+7</f>
        <v>28</v>
      </c>
      <c r="BO48" s="3">
        <f>(BM48/BM47)-1</f>
        <v>0.33333333333333326</v>
      </c>
      <c r="BR48">
        <f>BR47+15</f>
        <v>216</v>
      </c>
      <c r="BT48" s="5">
        <f>BR48-BR47</f>
        <v>15</v>
      </c>
      <c r="BU48">
        <f>BU47+-1</f>
        <v>11</v>
      </c>
      <c r="BV48" s="5">
        <f>BU48-BU47</f>
        <v>-1</v>
      </c>
      <c r="BW48" s="5"/>
      <c r="BX48">
        <f>BX47+4</f>
        <v>22</v>
      </c>
      <c r="BZ48" s="3">
        <f>(BX48/BX47)-1</f>
        <v>0.22222222222222232</v>
      </c>
      <c r="CC48">
        <f>CC47+2</f>
        <v>89</v>
      </c>
      <c r="CE48" s="5">
        <f>CC48-CC47</f>
        <v>2</v>
      </c>
      <c r="CF48">
        <f>CF47+1</f>
        <v>6</v>
      </c>
      <c r="CG48" s="5">
        <f>CF48-CF47</f>
        <v>1</v>
      </c>
      <c r="CH48" s="5"/>
      <c r="CI48">
        <f>CI47+0</f>
        <v>1</v>
      </c>
      <c r="CK48" s="3">
        <f>(CI48/CI47)-1</f>
        <v>0</v>
      </c>
      <c r="CN48">
        <f>CN47+9</f>
        <v>236</v>
      </c>
      <c r="CP48" s="5">
        <f>CN48-CN47</f>
        <v>9</v>
      </c>
      <c r="CQ48">
        <f>CQ47+4</f>
        <v>21</v>
      </c>
      <c r="CR48" s="5">
        <f>CQ48-CQ47</f>
        <v>4</v>
      </c>
      <c r="CS48" s="5"/>
      <c r="CT48">
        <f>CT47+0</f>
        <v>7</v>
      </c>
      <c r="CV48" s="3">
        <f>(CT48/CT47)-1</f>
        <v>0</v>
      </c>
      <c r="CY48">
        <f>CY47+4</f>
        <v>537</v>
      </c>
      <c r="DA48" s="5">
        <f>CY48-CY47</f>
        <v>4</v>
      </c>
      <c r="DE48">
        <f>DE47+-2</f>
        <v>2</v>
      </c>
      <c r="DG48" s="3">
        <f>(DE48/DE47)-1</f>
        <v>-0.5</v>
      </c>
      <c r="DJ48">
        <f>O48+Z48+AK48+AV48+BG48+BR48+CC48+CN48+CY48</f>
        <v>14755</v>
      </c>
      <c r="DL48" s="5">
        <f>DJ48-DJ47</f>
        <v>766</v>
      </c>
      <c r="DM48">
        <f>R48+AC48+AN48+AY48+BJ48+BU48+CF48+CQ48+DB48</f>
        <v>1908</v>
      </c>
      <c r="DN48" s="3">
        <f>(DM48/DM47)-1</f>
        <v>0.072512647554806131</v>
      </c>
      <c r="DO48" s="3"/>
      <c r="DP48">
        <f>U48+AF48+AQ48+BB48+BM48+BX48+CI48+CT48+DE48</f>
        <v>868</v>
      </c>
      <c r="DR48" s="3">
        <f>(DP48/DP47)-1</f>
        <v>0.29359165424739198</v>
      </c>
      <c r="DS48" s="3"/>
      <c r="DT48">
        <f>DM48-DM47</f>
        <v>129</v>
      </c>
      <c r="DV48">
        <v>1</v>
      </c>
      <c r="DW48" t="s">
        <v>31</v>
      </c>
      <c r="DX48" s="8">
        <v>43952</v>
      </c>
      <c r="DY48">
        <v>6</v>
      </c>
      <c r="DZ48">
        <v>186</v>
      </c>
      <c r="EA48">
        <v>0</v>
      </c>
      <c r="EB48">
        <v>33</v>
      </c>
      <c r="EG48" t="s">
        <v>81</v>
      </c>
      <c r="EH48">
        <f>EH47+$EI$10+1</f>
        <v>1916</v>
      </c>
      <c r="EI48">
        <f>EH48+$EI$10</f>
        <v>1968</v>
      </c>
      <c r="ET48" t="inlineStr">
        <is>
          <t>CK is confirmed</t>
        </is>
      </c>
      <c r="EU48" s="8"/>
      <c r="FU48">
        <v>100</v>
      </c>
      <c r="FV48" t="s">
        <v>82</v>
      </c>
      <c r="FW48">
        <v>490</v>
      </c>
      <c r="GA48" s="10">
        <v>43888</v>
      </c>
      <c r="GB48">
        <v>58</v>
      </c>
      <c r="GC48">
        <f>(GB48/GB47)-1</f>
        <v>0.017543859649122862</v>
      </c>
      <c r="GE48" s="4"/>
      <c r="GF48" s="2"/>
      <c r="GV48" s="8">
        <v>43952</v>
      </c>
      <c r="GW48">
        <v>1</v>
      </c>
      <c r="GX48" t="s">
        <v>31</v>
      </c>
      <c r="GY48">
        <v>6</v>
      </c>
      <c r="HB48">
        <v>186</v>
      </c>
      <c r="HC48">
        <v>0</v>
      </c>
    </row>
    <row r="49" spans="1:325" ht="19.57">
      <c r="C49">
        <f>H48*D49</f>
        <v>1128.9999999990926</v>
      </c>
      <c r="D49">
        <f>0.076516435107</f>
        <v>0.076516435107</v>
      </c>
      <c r="E49" t="s">
        <v>37</v>
      </c>
      <c r="F49" s="10">
        <v>43937</v>
      </c>
      <c r="G49" s="2">
        <f>H49*15</f>
        <v>238259.99999906647</v>
      </c>
      <c r="H49">
        <f>H48+C49</f>
        <v>15883.999999937765</v>
      </c>
      <c r="I49">
        <v>15884</v>
      </c>
      <c r="J49">
        <v>667801</v>
      </c>
      <c r="K49">
        <f>O49+Z49+AK49+AV49+BG49+BR49+CC49+CN49+CY49</f>
        <v>15884</v>
      </c>
      <c r="L49" s="3">
        <f>(K49/K48)-1</f>
        <v>0.076516435106743552</v>
      </c>
      <c r="O49">
        <f>O48+45</f>
        <v>535</v>
      </c>
      <c r="Q49" s="5">
        <f>O49-O48</f>
        <v>45</v>
      </c>
      <c r="R49">
        <f>R48+-5</f>
        <v>27</v>
      </c>
      <c r="S49" s="5">
        <f>R49-R48</f>
        <v>-5</v>
      </c>
      <c r="T49" s="5"/>
      <c r="U49">
        <f>U48+9</f>
        <v>44</v>
      </c>
      <c r="W49" s="3">
        <f>(U49/U48)-1</f>
        <v>0.25714285714285712</v>
      </c>
      <c r="Z49">
        <f>Z48+289</f>
        <v>2859</v>
      </c>
      <c r="AB49" s="5">
        <f>Z49-Z48</f>
        <v>289</v>
      </c>
      <c r="AC49">
        <f>AC48+18</f>
        <v>420</v>
      </c>
      <c r="AD49" s="5">
        <f>AC49-AC48</f>
        <v>18</v>
      </c>
      <c r="AE49" s="5"/>
      <c r="AF49">
        <f>AF48+30</f>
        <v>243</v>
      </c>
      <c r="AH49" s="3">
        <f>(AF49/AF48)-1</f>
        <v>0.14084507042253525</v>
      </c>
      <c r="AK49">
        <f>AK48+405</f>
        <v>4163</v>
      </c>
      <c r="AM49" s="5">
        <f>AK49-AK48</f>
        <v>405</v>
      </c>
      <c r="AN49">
        <f>AN48+1</f>
        <v>613</v>
      </c>
      <c r="AO49" s="5">
        <f>AN49-AN48</f>
        <v>1</v>
      </c>
      <c r="AP49" s="5"/>
      <c r="AQ49">
        <f>AQ48+19</f>
        <v>214</v>
      </c>
      <c r="AS49" s="3">
        <f>(AQ49/AQ48)-1</f>
        <v>0.097435897435897534</v>
      </c>
      <c r="AU49" s="4">
        <f>AV49</f>
        <v>6816</v>
      </c>
      <c r="AV49">
        <f>AV48+336</f>
        <v>6816</v>
      </c>
      <c r="AX49" s="5">
        <f>AV49-AV48</f>
        <v>336</v>
      </c>
      <c r="AY49">
        <f>AY48+3</f>
        <v>787</v>
      </c>
      <c r="AZ49" s="5">
        <f>AY49-AY48</f>
        <v>3</v>
      </c>
      <c r="BA49" s="5"/>
      <c r="BB49">
        <f>BB48+41</f>
        <v>406</v>
      </c>
      <c r="BD49" s="3">
        <f>(BB49/BB48)-1</f>
        <v>0.11232876712328776</v>
      </c>
      <c r="BG49">
        <f>BG48+15</f>
        <v>394</v>
      </c>
      <c r="BI49" s="5">
        <f>BG49-BG48</f>
        <v>15</v>
      </c>
      <c r="BJ49">
        <f>BJ48+-1</f>
        <v>39</v>
      </c>
      <c r="BK49" s="5">
        <f>BJ49-BJ48</f>
        <v>-1</v>
      </c>
      <c r="BL49" s="5"/>
      <c r="BM49">
        <f>BM48+2</f>
        <v>30</v>
      </c>
      <c r="BO49" s="3">
        <f>(BM49/BM48)-1</f>
        <v>0.071428571428571397</v>
      </c>
      <c r="BR49">
        <f>BR48+25</f>
        <v>241</v>
      </c>
      <c r="BT49" s="5">
        <f>BR49-BR48</f>
        <v>25</v>
      </c>
      <c r="BU49">
        <f>BU48+0</f>
        <v>11</v>
      </c>
      <c r="BV49" s="5">
        <f>BU49-BU48</f>
        <v>0</v>
      </c>
      <c r="BW49" s="5"/>
      <c r="BX49">
        <f>BX48+0</f>
        <v>22</v>
      </c>
      <c r="BZ49" s="3">
        <f>(BX49/BX48)-1</f>
        <v>0</v>
      </c>
      <c r="CC49">
        <f>CC48+-2</f>
        <v>87</v>
      </c>
      <c r="CE49" s="5">
        <f>CC49-CC48</f>
        <v>-2</v>
      </c>
      <c r="CF49">
        <f>CF48+0</f>
        <v>6</v>
      </c>
      <c r="CG49" s="5">
        <f>CF49-CF48</f>
        <v>0</v>
      </c>
      <c r="CH49" s="5"/>
      <c r="CI49">
        <f>CI48+0</f>
        <v>1</v>
      </c>
      <c r="CK49" s="3">
        <f>(CI49/CI48)-1</f>
        <v>0</v>
      </c>
      <c r="CN49">
        <f>CN48+19</f>
        <v>255</v>
      </c>
      <c r="CP49" s="5">
        <f>CN49-CN48</f>
        <v>19</v>
      </c>
      <c r="CQ49">
        <f>CQ48+2</f>
        <v>23</v>
      </c>
      <c r="CR49" s="5">
        <f>CQ49-CQ48</f>
        <v>2</v>
      </c>
      <c r="CS49" s="5"/>
      <c r="CT49">
        <f>CT48+2</f>
        <v>9</v>
      </c>
      <c r="CV49" s="3">
        <f>(CT49/CT48)-1</f>
        <v>0.28571428571428581</v>
      </c>
      <c r="CY49">
        <f>CY48+-3</f>
        <v>534</v>
      </c>
      <c r="DA49" s="5">
        <f>CY49-CY48</f>
        <v>-3</v>
      </c>
      <c r="DE49">
        <f>DE48+0</f>
        <v>2</v>
      </c>
      <c r="DG49" s="3">
        <f>(DE49/DE48)-1</f>
        <v>0</v>
      </c>
      <c r="DJ49">
        <f>O49+Z49+AK49+AV49+BG49+BR49+CC49+CN49+CY49</f>
        <v>15884</v>
      </c>
      <c r="DL49" s="5">
        <f>DJ49-DJ48</f>
        <v>1129</v>
      </c>
      <c r="DM49">
        <f>R49+AC49+AN49+AY49+BJ49+BU49+CF49+CQ49+DB49</f>
        <v>1926</v>
      </c>
      <c r="DN49" s="3">
        <f>(DM49/DM48)-1</f>
        <v>0.0094339622641510523</v>
      </c>
      <c r="DO49" s="3"/>
      <c r="DP49">
        <f>U49+AF49+AQ49+BB49+BM49+BX49+CI49+CT49+DE49</f>
        <v>971</v>
      </c>
      <c r="DR49" s="3">
        <f>(DP49/DP48)-1</f>
        <v>0.11866359447004604</v>
      </c>
      <c r="DS49" s="3"/>
      <c r="DT49">
        <f>DM49-DM48</f>
        <v>18</v>
      </c>
      <c r="DV49">
        <v>1</v>
      </c>
      <c r="DW49" t="s">
        <v>31</v>
      </c>
      <c r="DX49" s="8">
        <v>43953</v>
      </c>
      <c r="DY49">
        <v>6</v>
      </c>
      <c r="DZ49">
        <v>186</v>
      </c>
      <c r="EA49">
        <v>0</v>
      </c>
      <c r="EB49">
        <v>34</v>
      </c>
      <c r="EG49" t="s">
        <v>83</v>
      </c>
      <c r="EH49">
        <f>EH48+$EI$10+1</f>
        <v>1969</v>
      </c>
      <c r="EI49">
        <f>EH49+$EI$10</f>
        <v>2021</v>
      </c>
      <c r="EU49" s="8"/>
      <c r="FU49">
        <v>11</v>
      </c>
      <c r="FV49">
        <v>33</v>
      </c>
      <c r="FW49">
        <v>90</v>
      </c>
      <c r="GA49" s="10">
        <v>43889</v>
      </c>
      <c r="GB49">
        <v>60</v>
      </c>
      <c r="GC49">
        <f>(GB49/GB48)-1</f>
        <v>0.034482758620689724</v>
      </c>
      <c r="GE49" s="4"/>
      <c r="GV49" s="8">
        <v>43953</v>
      </c>
      <c r="GW49">
        <v>1</v>
      </c>
      <c r="GX49" t="s">
        <v>31</v>
      </c>
      <c r="GY49">
        <v>6</v>
      </c>
      <c r="HB49">
        <v>186</v>
      </c>
      <c r="HC49">
        <v>0</v>
      </c>
    </row>
    <row r="50" spans="1:325" ht="19.57">
      <c r="C50">
        <f>H49*D50</f>
        <v>925.00000005193579</v>
      </c>
      <c r="D50">
        <f>0.05823470159</f>
        <v>0.05823470159</v>
      </c>
      <c r="E50" t="s">
        <v>38</v>
      </c>
      <c r="F50" s="10">
        <v>43938</v>
      </c>
      <c r="G50" s="2">
        <f>H50*15</f>
        <v>252134.99999984552</v>
      </c>
      <c r="H50">
        <f>H49+C50</f>
        <v>16808.999999989701</v>
      </c>
      <c r="I50">
        <v>16809</v>
      </c>
      <c r="J50">
        <v>699706</v>
      </c>
      <c r="K50">
        <f>O50+Z50+AK50+AV50+BG50+BR50+CC50+CN50+CY50</f>
        <v>16809</v>
      </c>
      <c r="L50" s="3">
        <f>(K50/K49)-1</f>
        <v>0.058234701586502124</v>
      </c>
      <c r="O50">
        <f>O49+34</f>
        <v>569</v>
      </c>
      <c r="Q50" s="5">
        <f>O50-O49</f>
        <v>34</v>
      </c>
      <c r="R50">
        <f>R49+1</f>
        <v>28</v>
      </c>
      <c r="S50" s="5">
        <f>R50-R49</f>
        <v>1</v>
      </c>
      <c r="T50" s="5"/>
      <c r="U50">
        <f>U49+2</f>
        <v>46</v>
      </c>
      <c r="W50" s="3">
        <f>(U50/U49)-1</f>
        <v>0.045454545454545414</v>
      </c>
      <c r="Z50">
        <f>Z49+156</f>
        <v>3015</v>
      </c>
      <c r="AB50" s="5">
        <f>Z50-Z49</f>
        <v>156</v>
      </c>
      <c r="AC50">
        <f>AC49+-10</f>
        <v>410</v>
      </c>
      <c r="AD50" s="5">
        <f>AC50-AC49</f>
        <v>-10</v>
      </c>
      <c r="AE50" s="5"/>
      <c r="AF50">
        <f>AF49+23</f>
        <v>266</v>
      </c>
      <c r="AH50" s="3">
        <f>(AF50/AF49)-1</f>
        <v>0.094650205761316775</v>
      </c>
      <c r="AK50">
        <f>AK49+357</f>
        <v>4520</v>
      </c>
      <c r="AM50" s="5">
        <f>AK50-AK49</f>
        <v>357</v>
      </c>
      <c r="AN50">
        <f>AN49+20</f>
        <v>633</v>
      </c>
      <c r="AO50" s="5">
        <f>AN50-AN49</f>
        <v>20</v>
      </c>
      <c r="AP50" s="5"/>
      <c r="AQ50">
        <f>AQ49+15</f>
        <v>229</v>
      </c>
      <c r="AS50" s="3">
        <f>(AQ50/AQ49)-1</f>
        <v>0.070093457943925186</v>
      </c>
      <c r="AU50" s="4">
        <f>AV50</f>
        <v>7146</v>
      </c>
      <c r="AV50">
        <f>AV49+330</f>
        <v>7146</v>
      </c>
      <c r="AX50" s="5">
        <f>AV50-AV49</f>
        <v>330</v>
      </c>
      <c r="AY50">
        <f>AY49+10</f>
        <v>797</v>
      </c>
      <c r="AZ50" s="5">
        <f>AY50-AY49</f>
        <v>10</v>
      </c>
      <c r="BA50" s="5"/>
      <c r="BB50">
        <f>BB49+19</f>
        <v>425</v>
      </c>
      <c r="BD50" s="3">
        <f>(BB50/BB49)-1</f>
        <v>0.046798029556650356</v>
      </c>
      <c r="BG50">
        <f>BG49+28</f>
        <v>422</v>
      </c>
      <c r="BI50" s="5">
        <f>BG50-BG49</f>
        <v>28</v>
      </c>
      <c r="BJ50">
        <f>BJ49+-2</f>
        <v>37</v>
      </c>
      <c r="BK50" s="5">
        <f>BJ50-BJ49</f>
        <v>-2</v>
      </c>
      <c r="BL50" s="5"/>
      <c r="BM50">
        <f>BM49+2</f>
        <v>32</v>
      </c>
      <c r="BO50" s="3">
        <f>(BM50/BM49)-1</f>
        <v>0.066666666666666652</v>
      </c>
      <c r="BR50">
        <f>BR49+17</f>
        <v>258</v>
      </c>
      <c r="BT50" s="5">
        <f>BR50-BR49</f>
        <v>17</v>
      </c>
      <c r="BU50">
        <f>BU49+1</f>
        <v>12</v>
      </c>
      <c r="BV50" s="5">
        <f>BU50-BU49</f>
        <v>1</v>
      </c>
      <c r="BW50" s="5"/>
      <c r="BX50">
        <f>BX49+2</f>
        <v>24</v>
      </c>
      <c r="BZ50" s="3">
        <f>(BX50/BX49)-1</f>
        <v>0.090909090909090828</v>
      </c>
      <c r="CC50">
        <f>CC49+5</f>
        <v>92</v>
      </c>
      <c r="CE50" s="5">
        <f>CC50-CC49</f>
        <v>5</v>
      </c>
      <c r="CF50">
        <f>CF49+1</f>
        <v>7</v>
      </c>
      <c r="CG50" s="5">
        <f>CF50-CF49</f>
        <v>1</v>
      </c>
      <c r="CH50" s="5"/>
      <c r="CI50">
        <f>CI49+1</f>
        <v>2</v>
      </c>
      <c r="CK50" s="3">
        <f>(CI50/CI49)-1</f>
        <v>1</v>
      </c>
      <c r="CN50">
        <f>CN49+37</f>
        <v>292</v>
      </c>
      <c r="CP50" s="5">
        <f>CN50-CN49</f>
        <v>37</v>
      </c>
      <c r="CQ50">
        <f>CQ49+-1</f>
        <v>22</v>
      </c>
      <c r="CR50" s="5">
        <f>CQ50-CQ49</f>
        <v>-1</v>
      </c>
      <c r="CS50" s="5"/>
      <c r="CT50">
        <f>CT49+1</f>
        <v>10</v>
      </c>
      <c r="CV50" s="3">
        <f>(CT50/CT49)-1</f>
        <v>0.11111111111111116</v>
      </c>
      <c r="CY50">
        <f>CY49+-39</f>
        <v>495</v>
      </c>
      <c r="DA50" s="5">
        <f>CY50-CY49</f>
        <v>-39</v>
      </c>
      <c r="DE50">
        <f>DE49+0</f>
        <v>2</v>
      </c>
      <c r="DG50" s="3">
        <f>(DE50/DE49)-1</f>
        <v>0</v>
      </c>
      <c r="DJ50">
        <f>O50+Z50+AK50+AV50+BG50+BR50+CC50+CN50+CY50</f>
        <v>16809</v>
      </c>
      <c r="DL50" s="5">
        <f>DJ50-DJ49</f>
        <v>925</v>
      </c>
      <c r="DM50">
        <f>R50+AC50+AN50+AY50+BJ50+BU50+CF50+CQ50+DB50</f>
        <v>1946</v>
      </c>
      <c r="DN50" s="3">
        <f>(DM50/DM49)-1</f>
        <v>0.010384215991692702</v>
      </c>
      <c r="DO50" s="3"/>
      <c r="DP50">
        <f>U50+AF50+AQ50+BB50+BM50+BX50+CI50+CT50+DE50</f>
        <v>1036</v>
      </c>
      <c r="DR50" s="3">
        <f>(DP50/DP49)-1</f>
        <v>0.066941297631307961</v>
      </c>
      <c r="DS50" s="3"/>
      <c r="DT50">
        <f>DM50-DM49</f>
        <v>20</v>
      </c>
      <c r="DV50">
        <v>1</v>
      </c>
      <c r="DW50" t="s">
        <v>31</v>
      </c>
      <c r="DX50" s="8">
        <v>43954</v>
      </c>
      <c r="DY50">
        <v>6</v>
      </c>
      <c r="DZ50">
        <v>186</v>
      </c>
      <c r="EA50">
        <v>0</v>
      </c>
      <c r="EB50">
        <v>35</v>
      </c>
      <c r="EG50" t="s">
        <v>84</v>
      </c>
      <c r="EH50">
        <f>EH49+$EI$10+1</f>
        <v>2022</v>
      </c>
      <c r="EI50">
        <f>EH50+$EI$10</f>
        <v>2074</v>
      </c>
      <c r="ET50" t="s">
        <v>31</v>
      </c>
      <c r="EU50" s="8"/>
      <c r="FU50">
        <v>100</v>
      </c>
      <c r="FV50" t="s">
        <v>85</v>
      </c>
      <c r="FW50">
        <v>290</v>
      </c>
      <c r="GA50" s="10">
        <v>43890</v>
      </c>
      <c r="GB50">
        <v>68</v>
      </c>
      <c r="GC50">
        <f>(GB50/GB49)-1</f>
        <v>0.1333333333333333</v>
      </c>
      <c r="GE50" s="4"/>
      <c r="GV50" s="8">
        <v>43954</v>
      </c>
      <c r="GW50">
        <v>1</v>
      </c>
      <c r="GX50" t="s">
        <v>31</v>
      </c>
      <c r="GY50">
        <v>6</v>
      </c>
      <c r="HB50">
        <v>186</v>
      </c>
      <c r="HC50">
        <v>0</v>
      </c>
    </row>
    <row r="51" spans="1:325" ht="19.57">
      <c r="C51">
        <f>H50*D51</f>
        <v>740.99999999728402</v>
      </c>
      <c r="D51">
        <f>0.044083526682000003</f>
        <v>0.044083526682000003</v>
      </c>
      <c r="E51" t="s">
        <v>40</v>
      </c>
      <c r="F51" s="10">
        <v>43939</v>
      </c>
      <c r="G51" s="2">
        <f>H51*15</f>
        <v>263249.99999980477</v>
      </c>
      <c r="H51">
        <f>H50+C51</f>
        <v>17549.999999986983</v>
      </c>
      <c r="I51">
        <v>17550</v>
      </c>
      <c r="J51">
        <v>732197</v>
      </c>
      <c r="K51">
        <f>O51+Z51+AK51+AV51+BG51+BR51+CC51+CN51+CY51</f>
        <v>17550</v>
      </c>
      <c r="L51" s="3">
        <f>(K51/K50)-1</f>
        <v>0.044083526682134666</v>
      </c>
      <c r="O51">
        <f>O50+24</f>
        <v>593</v>
      </c>
      <c r="Q51" s="5">
        <f>O51-O50</f>
        <v>24</v>
      </c>
      <c r="R51">
        <f>R50+2</f>
        <v>30</v>
      </c>
      <c r="S51" s="5">
        <f>R51-R50</f>
        <v>2</v>
      </c>
      <c r="T51" s="5"/>
      <c r="U51">
        <f>U50+2</f>
        <v>48</v>
      </c>
      <c r="W51" s="3">
        <f>(U51/U50)-1</f>
        <v>0.043478260869565188</v>
      </c>
      <c r="Z51">
        <f>Z50+181</f>
        <v>3196</v>
      </c>
      <c r="AB51" s="5">
        <f>Z51-Z50</f>
        <v>181</v>
      </c>
      <c r="AC51">
        <f>AC50+7</f>
        <v>417</v>
      </c>
      <c r="AD51" s="5">
        <f>AC51-AC50</f>
        <v>7</v>
      </c>
      <c r="AE51" s="5"/>
      <c r="AF51">
        <f>AF50+23</f>
        <v>289</v>
      </c>
      <c r="AH51" s="3">
        <f>(AF51/AF50)-1</f>
        <v>0.086466165413533913</v>
      </c>
      <c r="AK51">
        <f>AK50+223</f>
        <v>4743</v>
      </c>
      <c r="AM51" s="5">
        <f>AK51-AK50</f>
        <v>223</v>
      </c>
      <c r="AN51">
        <f>AN50+5</f>
        <v>638</v>
      </c>
      <c r="AO51" s="5">
        <f>AN51-AN50</f>
        <v>5</v>
      </c>
      <c r="AP51" s="5"/>
      <c r="AQ51">
        <f>AQ50+12</f>
        <v>241</v>
      </c>
      <c r="AS51" s="3">
        <f>(AQ51/AQ50)-1</f>
        <v>0.05240174672489073</v>
      </c>
      <c r="AU51" s="4">
        <f>AV51</f>
        <v>7363</v>
      </c>
      <c r="AV51">
        <f>AV50+217</f>
        <v>7363</v>
      </c>
      <c r="AX51" s="5">
        <f>AV51-AV50</f>
        <v>217</v>
      </c>
      <c r="AY51">
        <f>AY50+-21</f>
        <v>776</v>
      </c>
      <c r="AZ51" s="5">
        <f>AY51-AY50</f>
        <v>-21</v>
      </c>
      <c r="BA51" s="5"/>
      <c r="BB51">
        <f>BB50+7</f>
        <v>432</v>
      </c>
      <c r="BD51" s="3">
        <f>(BB51/BB50)-1</f>
        <v>0.016470588235294015</v>
      </c>
      <c r="BG51">
        <f>BG50+26</f>
        <v>448</v>
      </c>
      <c r="BI51" s="5">
        <f>BG51-BG50</f>
        <v>26</v>
      </c>
      <c r="BJ51">
        <f>BJ50+-1</f>
        <v>36</v>
      </c>
      <c r="BK51" s="5">
        <f>BJ51-BJ50</f>
        <v>-1</v>
      </c>
      <c r="BL51" s="5"/>
      <c r="BM51">
        <f>BM50+5</f>
        <v>37</v>
      </c>
      <c r="BO51" s="3">
        <f>(BM51/BM50)-1</f>
        <v>0.15625</v>
      </c>
      <c r="BR51">
        <f>BR50+12</f>
        <v>270</v>
      </c>
      <c r="BT51" s="5">
        <f>BR51-BR50</f>
        <v>12</v>
      </c>
      <c r="BU51">
        <f>BU50+2</f>
        <v>14</v>
      </c>
      <c r="BV51" s="5">
        <f>BU51-BU50</f>
        <v>2</v>
      </c>
      <c r="BW51" s="5"/>
      <c r="BX51">
        <f>BX50+0</f>
        <v>24</v>
      </c>
      <c r="BZ51" s="3">
        <f>(BX51/BX50)-1</f>
        <v>0</v>
      </c>
      <c r="CC51">
        <f>CC50+5</f>
        <v>97</v>
      </c>
      <c r="CE51" s="5">
        <f>CC51-CC50</f>
        <v>5</v>
      </c>
      <c r="CF51">
        <f>CF50+-3</f>
        <v>4</v>
      </c>
      <c r="CG51" s="5">
        <f>CF51-CF50</f>
        <v>-3</v>
      </c>
      <c r="CH51" s="5"/>
      <c r="CI51">
        <f>CI50+0</f>
        <v>2</v>
      </c>
      <c r="CK51" s="3">
        <f>(CI51/CI50)-1</f>
        <v>0</v>
      </c>
      <c r="CN51">
        <f>CN50+23</f>
        <v>315</v>
      </c>
      <c r="CP51" s="5">
        <f>CN51-CN50</f>
        <v>23</v>
      </c>
      <c r="CQ51">
        <f>CQ50+1</f>
        <v>23</v>
      </c>
      <c r="CR51" s="5">
        <f>CQ51-CQ50</f>
        <v>1</v>
      </c>
      <c r="CS51" s="5"/>
      <c r="CT51">
        <f>CT50+0</f>
        <v>10</v>
      </c>
      <c r="CV51" s="3">
        <f>(CT51/CT50)-1</f>
        <v>0</v>
      </c>
      <c r="CY51">
        <f>CY50+30</f>
        <v>525</v>
      </c>
      <c r="DA51" s="5">
        <f>CY51-CY50</f>
        <v>30</v>
      </c>
      <c r="DE51">
        <f>DE50+1</f>
        <v>3</v>
      </c>
      <c r="DG51" s="3">
        <f>(DE51/DE50)-1</f>
        <v>0.5</v>
      </c>
      <c r="DJ51">
        <f>O51+Z51+AK51+AV51+BG51+BR51+CC51+CN51+CY51</f>
        <v>17550</v>
      </c>
      <c r="DL51" s="5">
        <f>DJ51-DJ50</f>
        <v>741</v>
      </c>
      <c r="DM51">
        <f>R51+AC51+AN51+AY51+BJ51+BU51+CF51+CQ51+DB51</f>
        <v>1938</v>
      </c>
      <c r="DN51" s="3">
        <f>(DM51/DM50)-1</f>
        <v>-0.0041109969167523186</v>
      </c>
      <c r="DO51" s="3"/>
      <c r="DP51">
        <f>U51+AF51+AQ51+BB51+BM51+BX51+CI51+CT51+DE51</f>
        <v>1086</v>
      </c>
      <c r="DR51" s="3">
        <f>(DP51/DP50)-1</f>
        <v>0.048262548262548277</v>
      </c>
      <c r="DS51" s="3"/>
      <c r="DT51">
        <f>DM51-DM50</f>
        <v>-8</v>
      </c>
      <c r="DV51">
        <v>1</v>
      </c>
      <c r="DW51" t="s">
        <v>31</v>
      </c>
      <c r="DX51" s="8">
        <v>43955</v>
      </c>
      <c r="DY51">
        <v>6</v>
      </c>
      <c r="DZ51">
        <v>186</v>
      </c>
      <c r="EA51">
        <v>0</v>
      </c>
      <c r="EB51">
        <v>36</v>
      </c>
      <c r="EG51" t="s">
        <v>86</v>
      </c>
      <c r="EH51">
        <f>EH50+$EI$10+1</f>
        <v>2075</v>
      </c>
      <c r="EI51">
        <f>EH51+$EI$10</f>
        <v>2127</v>
      </c>
      <c r="ET51" t="s">
        <v>36</v>
      </c>
      <c r="EU51" s="8"/>
      <c r="FU51">
        <v>100</v>
      </c>
      <c r="FV51" t="s">
        <v>87</v>
      </c>
      <c r="FW51">
        <v>90</v>
      </c>
      <c r="GA51" s="10">
        <v>43891</v>
      </c>
      <c r="GB51">
        <v>74</v>
      </c>
      <c r="GC51">
        <f>(GB51/GB50)-1</f>
        <v>0.088235294117646967</v>
      </c>
      <c r="GE51" s="4"/>
      <c r="GM51" s="2"/>
      <c r="GV51" s="8">
        <v>43955</v>
      </c>
      <c r="GW51">
        <v>1</v>
      </c>
      <c r="GX51" t="s">
        <v>31</v>
      </c>
      <c r="GY51">
        <v>6</v>
      </c>
      <c r="HB51">
        <v>186</v>
      </c>
      <c r="HC51">
        <v>0</v>
      </c>
    </row>
    <row r="52" spans="1:325" ht="19.57">
      <c r="C52">
        <f>H51*D52</f>
        <v>412.00000000349445</v>
      </c>
      <c r="D52">
        <f>0.023475783476</f>
        <v>0.023475783476</v>
      </c>
      <c r="E52" t="s">
        <v>30</v>
      </c>
      <c r="F52" s="10">
        <v>43940</v>
      </c>
      <c r="G52" s="2">
        <f>H52*15</f>
        <v>269429.99999985722</v>
      </c>
      <c r="H52">
        <f>H51+C52</f>
        <v>17961.999999990479</v>
      </c>
      <c r="I52">
        <v>17962</v>
      </c>
      <c r="J52">
        <v>758809</v>
      </c>
      <c r="K52">
        <f>O52+Z52+AK52+AV52+BG52+BR52+CC52+CN52+CY52</f>
        <v>17962</v>
      </c>
      <c r="L52" s="3">
        <f>(K52/K51)-1</f>
        <v>0.023475783475783496</v>
      </c>
      <c r="O52">
        <f>O51+7</f>
        <v>600</v>
      </c>
      <c r="Q52" s="5">
        <f>O52-O51</f>
        <v>7</v>
      </c>
      <c r="R52">
        <f>R51+-3</f>
        <v>27</v>
      </c>
      <c r="S52" s="5">
        <f>R52-R51</f>
        <v>-3</v>
      </c>
      <c r="T52" s="5"/>
      <c r="U52">
        <f>U51+0</f>
        <v>48</v>
      </c>
      <c r="W52" s="3">
        <f>(U52/U51)-1</f>
        <v>0</v>
      </c>
      <c r="Z52">
        <f>Z51+155</f>
        <v>3351</v>
      </c>
      <c r="AB52" s="5">
        <f>Z52-Z51</f>
        <v>155</v>
      </c>
      <c r="AC52">
        <f>AC51+3</f>
        <v>420</v>
      </c>
      <c r="AD52" s="5">
        <f>AC52-AC51</f>
        <v>3</v>
      </c>
      <c r="AE52" s="5"/>
      <c r="AF52">
        <f>AF51+6</f>
        <v>295</v>
      </c>
      <c r="AH52" s="3">
        <f>(AF52/AF51)-1</f>
        <v>0.02076124567474058</v>
      </c>
      <c r="AK52">
        <f>AK51+128</f>
        <v>4871</v>
      </c>
      <c r="AM52" s="5">
        <f>AK52-AK51</f>
        <v>128</v>
      </c>
      <c r="AN52">
        <f>AN51+-5</f>
        <v>633</v>
      </c>
      <c r="AO52" s="5">
        <f>AN52-AN51</f>
        <v>-5</v>
      </c>
      <c r="AP52" s="5"/>
      <c r="AQ52">
        <f>AQ51+16</f>
        <v>257</v>
      </c>
      <c r="AS52" s="3">
        <f>(AQ52/AQ51)-1</f>
        <v>0.06639004149377592</v>
      </c>
      <c r="AU52" s="4">
        <f>AV52</f>
        <v>7434</v>
      </c>
      <c r="AV52">
        <f>AV51+71</f>
        <v>7434</v>
      </c>
      <c r="AX52" s="5">
        <f>AV52-AV51</f>
        <v>71</v>
      </c>
      <c r="AY52">
        <f>AY51+-30</f>
        <v>746</v>
      </c>
      <c r="AZ52" s="5">
        <f>AY52-AY51</f>
        <v>-30</v>
      </c>
      <c r="BA52" s="5"/>
      <c r="BB52">
        <f>BB51+15</f>
        <v>447</v>
      </c>
      <c r="BD52" s="3">
        <f>(BB52/BB51)-1</f>
        <v>0.034722222222222321</v>
      </c>
      <c r="BG52">
        <f>BG51+14</f>
        <v>462</v>
      </c>
      <c r="BI52" s="5">
        <f>BG52-BG51</f>
        <v>14</v>
      </c>
      <c r="BJ52">
        <f>BJ51+-3</f>
        <v>33</v>
      </c>
      <c r="BK52" s="5">
        <f>BJ52-BJ51</f>
        <v>-3</v>
      </c>
      <c r="BL52" s="5"/>
      <c r="BM52">
        <f>BM51+3</f>
        <v>40</v>
      </c>
      <c r="BO52" s="3">
        <f>(BM52/BM51)-1</f>
        <v>0.081081081081081141</v>
      </c>
      <c r="BR52">
        <f>BR51+6</f>
        <v>276</v>
      </c>
      <c r="BT52" s="5">
        <f>BR52-BR51</f>
        <v>6</v>
      </c>
      <c r="BU52">
        <f>BU51+-2</f>
        <v>12</v>
      </c>
      <c r="BV52" s="5">
        <f>BU52-BU51</f>
        <v>-2</v>
      </c>
      <c r="BW52" s="5"/>
      <c r="BX52">
        <f>BX51+0</f>
        <v>24</v>
      </c>
      <c r="BZ52" s="3">
        <f>(BX52/BX51)-1</f>
        <v>0</v>
      </c>
      <c r="CC52">
        <f>CC51+3</f>
        <v>100</v>
      </c>
      <c r="CE52" s="5">
        <f>CC52-CC51</f>
        <v>3</v>
      </c>
      <c r="CF52">
        <f>CF51+0</f>
        <v>4</v>
      </c>
      <c r="CG52" s="5">
        <f>CF52-CF51</f>
        <v>0</v>
      </c>
      <c r="CH52" s="5"/>
      <c r="CI52">
        <f>CI51+0</f>
        <v>2</v>
      </c>
      <c r="CK52" s="3">
        <f>(CI52/CI51)-1</f>
        <v>0</v>
      </c>
      <c r="CN52">
        <f>CN51+24</f>
        <v>339</v>
      </c>
      <c r="CP52" s="5">
        <f>CN52-CN51</f>
        <v>24</v>
      </c>
      <c r="CQ52">
        <f>CQ51+3</f>
        <v>26</v>
      </c>
      <c r="CR52" s="5">
        <f>CQ52-CQ51</f>
        <v>3</v>
      </c>
      <c r="CS52" s="5"/>
      <c r="CT52">
        <f>CT51+0</f>
        <v>10</v>
      </c>
      <c r="CV52" s="3">
        <f>(CT52/CT51)-1</f>
        <v>0</v>
      </c>
      <c r="CY52">
        <f>CY51+4</f>
        <v>529</v>
      </c>
      <c r="DA52" s="5">
        <f>CY52-CY51</f>
        <v>4</v>
      </c>
      <c r="DC52" s="3"/>
      <c r="DD52" s="3"/>
      <c r="DE52">
        <f>DE51+1</f>
        <v>4</v>
      </c>
      <c r="DG52" s="3">
        <f>(DE52/DE51)-1</f>
        <v>0.33333333333333326</v>
      </c>
      <c r="DJ52">
        <f>O52+Z52+AK52+AV52+BG52+BR52+CC52+CN52+CY52</f>
        <v>17962</v>
      </c>
      <c r="DL52" s="5">
        <f>DJ52-DJ51</f>
        <v>412</v>
      </c>
      <c r="DM52">
        <f>R52+AC52+AN52+AY52+BJ52+BU52+CF52+CQ52+DB52</f>
        <v>1901</v>
      </c>
      <c r="DN52" s="3">
        <f>(DM52/DM51)-1</f>
        <v>-0.01909184726522184</v>
      </c>
      <c r="DO52" s="3"/>
      <c r="DP52">
        <f>U52+AF52+AQ52+BB52+BM52+BX52+CI52+CT52+DE52</f>
        <v>1127</v>
      </c>
      <c r="DR52" s="3">
        <f>(DP52/DP51)-1</f>
        <v>0.037753222836095723</v>
      </c>
      <c r="DS52" s="3"/>
      <c r="DT52">
        <f>DM52-DM51</f>
        <v>-37</v>
      </c>
      <c r="DV52">
        <v>1</v>
      </c>
      <c r="DW52" t="s">
        <v>31</v>
      </c>
      <c r="DX52" s="8">
        <v>43956</v>
      </c>
      <c r="DY52">
        <v>6</v>
      </c>
      <c r="DZ52">
        <v>186</v>
      </c>
      <c r="EA52">
        <v>0</v>
      </c>
      <c r="EB52">
        <v>37</v>
      </c>
      <c r="EG52" t="s">
        <v>88</v>
      </c>
      <c r="EH52">
        <f>EH51+$EI$10+1</f>
        <v>2128</v>
      </c>
      <c r="EI52">
        <f>EH52+$EI$10</f>
        <v>2180</v>
      </c>
      <c r="ET52" t="s">
        <v>89</v>
      </c>
      <c r="EU52" s="8"/>
      <c r="FU52">
        <v>100</v>
      </c>
      <c r="FV52" t="s">
        <v>90</v>
      </c>
      <c r="FW52">
        <v>390</v>
      </c>
      <c r="GA52" s="10">
        <v>43892</v>
      </c>
      <c r="GB52">
        <v>98</v>
      </c>
      <c r="GC52">
        <f>(GB52/GB51)-1</f>
        <v>0.32432432432432434</v>
      </c>
      <c r="GV52" s="8">
        <v>43956</v>
      </c>
      <c r="GW52">
        <v>1</v>
      </c>
      <c r="GX52" t="s">
        <v>31</v>
      </c>
      <c r="GY52">
        <v>6</v>
      </c>
      <c r="HB52">
        <v>186</v>
      </c>
      <c r="HC52">
        <v>0</v>
      </c>
    </row>
    <row r="53" spans="1:325" ht="19.57">
      <c r="C53">
        <f>H52*D53</f>
        <v>1852.9999999926918</v>
      </c>
      <c r="D53">
        <f>0.10316223137699999</f>
        <v>0.10316223137699999</v>
      </c>
      <c r="E53" t="s">
        <v>33</v>
      </c>
      <c r="F53" s="10">
        <v>43941</v>
      </c>
      <c r="G53" s="2">
        <f>H53*15</f>
        <v>297224.99999974755</v>
      </c>
      <c r="H53">
        <f>H52+C53</f>
        <v>19814.999999983171</v>
      </c>
      <c r="I53">
        <v>19815</v>
      </c>
      <c r="J53">
        <v>784326</v>
      </c>
      <c r="K53">
        <f>O53+Z53+AK53+AV53+BG53+BR53+CC53+CN53+CY53</f>
        <v>19815</v>
      </c>
      <c r="L53" s="3">
        <f>(K53/K52)-1</f>
        <v>0.10316223137735214</v>
      </c>
      <c r="O53">
        <f>O52+39</f>
        <v>639</v>
      </c>
      <c r="Q53" s="5">
        <f>O53-O52</f>
        <v>39</v>
      </c>
      <c r="R53">
        <f>R52+-4</f>
        <v>23</v>
      </c>
      <c r="S53" s="5">
        <f>R53-R52</f>
        <v>-4</v>
      </c>
      <c r="T53" s="5"/>
      <c r="U53">
        <f>U52+10</f>
        <v>58</v>
      </c>
      <c r="W53" s="3">
        <f>(U53/U52)-1</f>
        <v>0.20833333333333326</v>
      </c>
      <c r="Z53">
        <f>Z52+472</f>
        <v>3823</v>
      </c>
      <c r="AB53" s="5">
        <f>Z53-Z52</f>
        <v>472</v>
      </c>
      <c r="AC53">
        <f>AC52+35</f>
        <v>455</v>
      </c>
      <c r="AD53" s="5">
        <f>AC53-AC52</f>
        <v>35</v>
      </c>
      <c r="AE53" s="5"/>
      <c r="AF53">
        <f>AF52+74</f>
        <v>369</v>
      </c>
      <c r="AH53" s="3">
        <f>(AF53/AF52)-1</f>
        <v>0.25084745762711869</v>
      </c>
      <c r="AK53">
        <f>AK52+401</f>
        <v>5272</v>
      </c>
      <c r="AM53" s="5">
        <f>AK53-AK52</f>
        <v>401</v>
      </c>
      <c r="AN53">
        <f>AN52+-7</f>
        <v>626</v>
      </c>
      <c r="AO53" s="5">
        <f>AN53-AN52</f>
        <v>-7</v>
      </c>
      <c r="AP53" s="5"/>
      <c r="AQ53">
        <f>AQ52+44</f>
        <v>301</v>
      </c>
      <c r="AS53" s="3">
        <f>(AQ53/AQ52)-1</f>
        <v>0.17120622568093391</v>
      </c>
      <c r="AU53" s="4">
        <f>AV53</f>
        <v>8320</v>
      </c>
      <c r="AV53">
        <f>AV52+886</f>
        <v>8320</v>
      </c>
      <c r="AX53" s="5">
        <f>AV53-AV52</f>
        <v>886</v>
      </c>
      <c r="AY53">
        <f>AY52+-13</f>
        <v>733</v>
      </c>
      <c r="AZ53" s="5">
        <f>AY53-AY52</f>
        <v>-13</v>
      </c>
      <c r="BA53" s="5"/>
      <c r="BB53">
        <f>BB52+65</f>
        <v>512</v>
      </c>
      <c r="BD53" s="3">
        <f>(BB53/BB52)-1</f>
        <v>0.14541387024608499</v>
      </c>
      <c r="BG53">
        <f>BG52+22</f>
        <v>484</v>
      </c>
      <c r="BI53" s="5">
        <f>BG53-BG52</f>
        <v>22</v>
      </c>
      <c r="BJ53">
        <f>BJ52+3</f>
        <v>36</v>
      </c>
      <c r="BK53" s="5">
        <f>BJ53-BJ52</f>
        <v>3</v>
      </c>
      <c r="BL53" s="5"/>
      <c r="BM53">
        <f>BM52+5</f>
        <v>45</v>
      </c>
      <c r="BO53" s="3">
        <f>(BM53/BM52)-1</f>
        <v>0.125</v>
      </c>
      <c r="BR53">
        <f>BR52+23</f>
        <v>299</v>
      </c>
      <c r="BT53" s="5">
        <f>BR53-BR52</f>
        <v>23</v>
      </c>
      <c r="BU53">
        <f>BU52+1</f>
        <v>13</v>
      </c>
      <c r="BV53" s="5">
        <f>BU53-BU52</f>
        <v>1</v>
      </c>
      <c r="BW53" s="5"/>
      <c r="BX53">
        <f>BX52+3</f>
        <v>27</v>
      </c>
      <c r="BZ53" s="3">
        <f>(BX53/BX52)-1</f>
        <v>0.125</v>
      </c>
      <c r="CC53">
        <f>CC52+8</f>
        <v>108</v>
      </c>
      <c r="CE53" s="5">
        <f>CC53-CC52</f>
        <v>8</v>
      </c>
      <c r="CF53">
        <f>CF52+0</f>
        <v>4</v>
      </c>
      <c r="CG53" s="5">
        <f>CF53-CF52</f>
        <v>0</v>
      </c>
      <c r="CH53" s="5"/>
      <c r="CI53">
        <f>CI52+0</f>
        <v>2</v>
      </c>
      <c r="CK53" s="3">
        <f>(CI53/CI52)-1</f>
        <v>0</v>
      </c>
      <c r="CN53">
        <f>CN52+17</f>
        <v>356</v>
      </c>
      <c r="CP53" s="5">
        <f>CN53-CN52</f>
        <v>17</v>
      </c>
      <c r="CQ53">
        <f>CQ52+3</f>
        <v>29</v>
      </c>
      <c r="CR53" s="5">
        <f>CQ53-CQ52</f>
        <v>3</v>
      </c>
      <c r="CS53" s="5"/>
      <c r="CT53">
        <f>CT52+3</f>
        <v>13</v>
      </c>
      <c r="CV53" s="3">
        <f>(CT53/CT52)-1</f>
        <v>0.30000000000000004</v>
      </c>
      <c r="CY53">
        <f>CY52+-15</f>
        <v>514</v>
      </c>
      <c r="DA53" s="5">
        <f>CY53-CY52</f>
        <v>-15</v>
      </c>
      <c r="DC53" s="3"/>
      <c r="DD53" s="3"/>
      <c r="DE53">
        <f>DE52+0</f>
        <v>4</v>
      </c>
      <c r="DG53" s="3">
        <f>(DE53/DE52)-1</f>
        <v>0</v>
      </c>
      <c r="DJ53">
        <f>O53+Z53+AK53+AV53+BG53+BR53+CC53+CN53+CY53</f>
        <v>19815</v>
      </c>
      <c r="DL53" s="5">
        <f>DJ53-DJ52</f>
        <v>1853</v>
      </c>
      <c r="DM53">
        <f>R53+AC53+AN53+AY53+BJ53+BU53+CF53+CQ53+DB53</f>
        <v>1919</v>
      </c>
      <c r="DN53" s="3">
        <f>(DM53/DM52)-1</f>
        <v>0.0094687006838505283</v>
      </c>
      <c r="DO53" s="3"/>
      <c r="DP53">
        <f>U53+AF53+AQ53+BB53+BM53+BX53+CI53+CT53+DE53</f>
        <v>1331</v>
      </c>
      <c r="DR53" s="3">
        <f>(DP53/DP52)-1</f>
        <v>0.18101153504880219</v>
      </c>
      <c r="DS53" s="3"/>
      <c r="DT53">
        <f>DM53-DM52</f>
        <v>18</v>
      </c>
      <c r="DV53">
        <v>1</v>
      </c>
      <c r="DW53" t="s">
        <v>31</v>
      </c>
      <c r="DX53" s="8">
        <v>43957</v>
      </c>
      <c r="DY53">
        <v>6</v>
      </c>
      <c r="DZ53">
        <v>186</v>
      </c>
      <c r="EA53">
        <v>0</v>
      </c>
      <c r="EB53">
        <v>38</v>
      </c>
      <c r="EG53" t="s">
        <v>61</v>
      </c>
      <c r="EH53">
        <f>EH52+$EI$10+1</f>
        <v>2181</v>
      </c>
      <c r="EI53">
        <f>EH53+$EI$10</f>
        <v>2233</v>
      </c>
      <c r="ET53" t="s">
        <v>39</v>
      </c>
      <c r="EU53" s="8"/>
      <c r="FU53">
        <v>100</v>
      </c>
      <c r="FV53">
        <v>99</v>
      </c>
      <c r="FW53">
        <v>90</v>
      </c>
      <c r="GA53" s="10">
        <v>43893</v>
      </c>
      <c r="GB53">
        <v>118</v>
      </c>
      <c r="GC53">
        <f>(GB53/GB52)-1</f>
        <v>0.20408163265306123</v>
      </c>
      <c r="GV53" s="8">
        <v>43957</v>
      </c>
      <c r="GW53">
        <v>1</v>
      </c>
      <c r="GX53" t="s">
        <v>31</v>
      </c>
      <c r="GY53">
        <v>6</v>
      </c>
      <c r="HB53">
        <v>186</v>
      </c>
      <c r="HC53">
        <v>0</v>
      </c>
    </row>
    <row r="54" spans="1:325" ht="19.57">
      <c r="C54">
        <f>H53*D54</f>
        <v>544.9999999999161</v>
      </c>
      <c r="D54">
        <f>0.027504415846599999</f>
        <v>0.027504415846599999</v>
      </c>
      <c r="E54" t="s">
        <v>34</v>
      </c>
      <c r="F54" s="10">
        <v>43942</v>
      </c>
      <c r="G54" s="2">
        <f>H54*15</f>
        <v>305399.99999974633</v>
      </c>
      <c r="H54">
        <f>H53+C54</f>
        <v>20359.999999983087</v>
      </c>
      <c r="I54">
        <v>20360</v>
      </c>
      <c r="J54">
        <v>811865</v>
      </c>
      <c r="K54">
        <f>O54+Z54+AK54+AV54+BG54+BR54+CC54+CN54+CY54</f>
        <v>20360</v>
      </c>
      <c r="L54" s="3">
        <f>(K54/K53)-1</f>
        <v>0.027504415846580921</v>
      </c>
      <c r="O54">
        <f>O53+4</f>
        <v>643</v>
      </c>
      <c r="Q54" s="5">
        <f>O54-O53</f>
        <v>4</v>
      </c>
      <c r="R54">
        <f>R53+0</f>
        <v>23</v>
      </c>
      <c r="S54" s="5">
        <f>R54-R53</f>
        <v>0</v>
      </c>
      <c r="T54" s="5"/>
      <c r="U54">
        <f>U53+1</f>
        <v>59</v>
      </c>
      <c r="W54" s="5">
        <f>U54-U53</f>
        <v>1</v>
      </c>
      <c r="Z54">
        <f>Z53+128</f>
        <v>3951</v>
      </c>
      <c r="AB54" s="5">
        <f>Z54-Z53</f>
        <v>128</v>
      </c>
      <c r="AC54">
        <f>AC53+18</f>
        <v>473</v>
      </c>
      <c r="AD54" s="5">
        <f>AC54-AC53</f>
        <v>18</v>
      </c>
      <c r="AE54" s="5"/>
      <c r="AF54">
        <f>AF53+33</f>
        <v>402</v>
      </c>
      <c r="AH54" s="5">
        <f>AF54-AF53</f>
        <v>33</v>
      </c>
      <c r="AK54">
        <f>AK53+221</f>
        <v>5493</v>
      </c>
      <c r="AM54" s="5">
        <f>AK54-AK53</f>
        <v>221</v>
      </c>
      <c r="AN54">
        <f>AN53+-1</f>
        <v>625</v>
      </c>
      <c r="AO54" s="5">
        <f>AN54-AN53</f>
        <v>-1</v>
      </c>
      <c r="AP54" s="5"/>
      <c r="AQ54">
        <f>AQ53+21</f>
        <v>322</v>
      </c>
      <c r="AS54" s="5">
        <f>AQ54-AQ53</f>
        <v>21</v>
      </c>
      <c r="AU54" s="4">
        <f>AV54</f>
        <v>8472</v>
      </c>
      <c r="AV54">
        <f>AV53+152</f>
        <v>8472</v>
      </c>
      <c r="AX54" s="5">
        <f>AV54-AV53</f>
        <v>152</v>
      </c>
      <c r="AY54">
        <f>AY53+2</f>
        <v>735</v>
      </c>
      <c r="AZ54" s="5">
        <f>AY54-AY53</f>
        <v>2</v>
      </c>
      <c r="BA54" s="5"/>
      <c r="BB54">
        <f>BB53+32</f>
        <v>544</v>
      </c>
      <c r="BD54" s="5">
        <f>BB54-BB53</f>
        <v>32</v>
      </c>
      <c r="BG54">
        <f>BG53+28</f>
        <v>512</v>
      </c>
      <c r="BI54" s="5">
        <f>BG54-BG53</f>
        <v>28</v>
      </c>
      <c r="BJ54">
        <f>BJ53+4</f>
        <v>40</v>
      </c>
      <c r="BK54" s="5">
        <f>BJ54-BJ53</f>
        <v>4</v>
      </c>
      <c r="BL54" s="5"/>
      <c r="BM54">
        <f>BM53+2</f>
        <v>47</v>
      </c>
      <c r="BO54" s="5">
        <f>BM54-BM53</f>
        <v>2</v>
      </c>
      <c r="BR54">
        <f>BR53+6</f>
        <v>305</v>
      </c>
      <c r="BT54" s="5">
        <f>BR54-BR53</f>
        <v>6</v>
      </c>
      <c r="BU54">
        <f>BU53+0</f>
        <v>13</v>
      </c>
      <c r="BV54" s="5">
        <f>BU54-BU53</f>
        <v>0</v>
      </c>
      <c r="BW54" s="5"/>
      <c r="BX54">
        <f>BX53+3</f>
        <v>30</v>
      </c>
      <c r="BZ54" s="5">
        <f>BX54-BX53</f>
        <v>3</v>
      </c>
      <c r="CC54">
        <f>CC53+4</f>
        <v>112</v>
      </c>
      <c r="CE54" s="5">
        <f>CC54-CC53</f>
        <v>4</v>
      </c>
      <c r="CF54">
        <f>CF53+1</f>
        <v>5</v>
      </c>
      <c r="CG54" s="5">
        <f>CF54-CF53</f>
        <v>1</v>
      </c>
      <c r="CH54" s="5"/>
      <c r="CI54">
        <f>CI53+0</f>
        <v>2</v>
      </c>
      <c r="CK54" s="5">
        <f>CI54-CI53</f>
        <v>0</v>
      </c>
      <c r="CN54">
        <f>CN53+13</f>
        <v>369</v>
      </c>
      <c r="CP54" s="5">
        <f>CN54-CN53</f>
        <v>13</v>
      </c>
      <c r="CQ54">
        <f>CQ53+6</f>
        <v>35</v>
      </c>
      <c r="CR54" s="5">
        <f>CQ54-CQ53</f>
        <v>6</v>
      </c>
      <c r="CS54" s="5"/>
      <c r="CT54">
        <f>CT53+0</f>
        <v>13</v>
      </c>
      <c r="CV54" s="5">
        <f>CT54-CT53</f>
        <v>0</v>
      </c>
      <c r="CY54">
        <f>CY53+-11</f>
        <v>503</v>
      </c>
      <c r="DA54" s="5">
        <f>CY54-CY53</f>
        <v>-11</v>
      </c>
      <c r="DC54" s="5"/>
      <c r="DD54" s="5"/>
      <c r="DE54">
        <f>DE53+0</f>
        <v>4</v>
      </c>
      <c r="DG54" s="5">
        <f>DE54-DE53</f>
        <v>0</v>
      </c>
      <c r="DJ54">
        <f>O54+Z54+AK54+AV54+BG54+BR54+CC54+CN54+CY54</f>
        <v>20360</v>
      </c>
      <c r="DL54" s="5">
        <f>DJ54-DJ53</f>
        <v>545</v>
      </c>
      <c r="DM54">
        <f>R54+AC54+AN54+AY54+BJ54+BU54+CF54+CQ54+DB54</f>
        <v>1949</v>
      </c>
      <c r="DN54" s="3">
        <f>(DM54/DM53)-1</f>
        <v>0.015633142261594513</v>
      </c>
      <c r="DO54" s="3"/>
      <c r="DP54">
        <f>U54+AF54+AQ54+BB54+BM54+BX54+CI54+CT54+DE54</f>
        <v>1423</v>
      </c>
      <c r="DR54" s="3">
        <f>(DP54/DP53)-1</f>
        <v>0.069120961682945126</v>
      </c>
      <c r="DS54" s="3"/>
      <c r="DT54">
        <f>DM54-DM53</f>
        <v>30</v>
      </c>
      <c r="DV54">
        <v>1</v>
      </c>
      <c r="DW54" t="s">
        <v>31</v>
      </c>
      <c r="DX54" s="8">
        <v>43958</v>
      </c>
      <c r="DY54">
        <v>6</v>
      </c>
      <c r="DZ54">
        <v>186</v>
      </c>
      <c r="EA54">
        <v>0</v>
      </c>
      <c r="EB54">
        <v>39</v>
      </c>
      <c r="EG54" t="s">
        <v>91</v>
      </c>
      <c r="EH54">
        <f>EH53+$EI$10+1</f>
        <v>2234</v>
      </c>
      <c r="EI54">
        <f>EH54+$EI$10</f>
        <v>2286</v>
      </c>
      <c r="ET54" t="s">
        <v>46</v>
      </c>
      <c r="EU54" s="8"/>
      <c r="FU54">
        <v>100</v>
      </c>
      <c r="FV54" t="s">
        <v>92</v>
      </c>
      <c r="FW54">
        <v>490</v>
      </c>
      <c r="GA54" s="10">
        <v>43894</v>
      </c>
      <c r="GB54">
        <v>149</v>
      </c>
      <c r="GC54">
        <f>(GB54/GB53)-1</f>
        <v>0.26271186440677963</v>
      </c>
      <c r="GV54" s="8">
        <v>43958</v>
      </c>
      <c r="GW54">
        <v>1</v>
      </c>
      <c r="GX54" t="s">
        <v>31</v>
      </c>
      <c r="GY54">
        <v>6</v>
      </c>
      <c r="HB54">
        <v>186</v>
      </c>
      <c r="HC54">
        <v>0</v>
      </c>
    </row>
    <row r="55" spans="1:325" ht="19.57">
      <c r="C55">
        <f>H54*D55</f>
        <v>2109.000000006648</v>
      </c>
      <c r="D55">
        <f>0.10358546169000001</f>
        <v>0.10358546169000001</v>
      </c>
      <c r="E55" t="s">
        <v>35</v>
      </c>
      <c r="F55" s="10">
        <v>43943</v>
      </c>
      <c r="G55" s="2">
        <f>H55*15</f>
        <v>337034.99999984598</v>
      </c>
      <c r="H55">
        <f>H54+C55</f>
        <v>22468.999999989734</v>
      </c>
      <c r="I55">
        <v>22469</v>
      </c>
      <c r="J55">
        <v>840351</v>
      </c>
      <c r="K55">
        <f>O55+Z55+AK55+AV55+BG55+BR55+CC55+CN55+CY55</f>
        <v>22469</v>
      </c>
      <c r="L55" s="3">
        <f>(K55/K54)-1</f>
        <v>0.10358546168958749</v>
      </c>
      <c r="O55">
        <f>O54+79</f>
        <v>722</v>
      </c>
      <c r="Q55" s="5">
        <f>O55-O54</f>
        <v>79</v>
      </c>
      <c r="R55">
        <f>R54+-3</f>
        <v>20</v>
      </c>
      <c r="S55" s="5">
        <f>R55-R54</f>
        <v>-3</v>
      </c>
      <c r="T55" s="5"/>
      <c r="U55">
        <f>U54+4</f>
        <v>63</v>
      </c>
      <c r="W55" s="5">
        <f>U55-U54</f>
        <v>4</v>
      </c>
      <c r="Z55">
        <f>Z54+177</f>
        <v>4128</v>
      </c>
      <c r="AB55" s="5">
        <f>Z55-Z54</f>
        <v>177</v>
      </c>
      <c r="AC55">
        <f>AC54+22</f>
        <v>495</v>
      </c>
      <c r="AD55" s="5">
        <f>AC55-AC54</f>
        <v>22</v>
      </c>
      <c r="AE55" s="5"/>
      <c r="AF55">
        <f>AF54+40</f>
        <v>442</v>
      </c>
      <c r="AH55" s="5">
        <f>AF55-AF54</f>
        <v>40</v>
      </c>
      <c r="AK55">
        <f>AK54+318</f>
        <v>5811</v>
      </c>
      <c r="AM55" s="5">
        <f>AK55-AK54</f>
        <v>318</v>
      </c>
      <c r="AN55">
        <f>AN54+-5</f>
        <v>620</v>
      </c>
      <c r="AO55" s="5">
        <f>AN55-AN54</f>
        <v>-5</v>
      </c>
      <c r="AP55" s="5"/>
      <c r="AQ55">
        <f>AQ54+23</f>
        <v>345</v>
      </c>
      <c r="AS55" s="5">
        <f>AQ55-AQ54</f>
        <v>23</v>
      </c>
      <c r="AU55" s="4">
        <f>AV55</f>
        <v>9883</v>
      </c>
      <c r="AV55">
        <f>AV54+1411</f>
        <v>9883</v>
      </c>
      <c r="AX55" s="5">
        <f>AV55-AV54</f>
        <v>1411</v>
      </c>
      <c r="AY55">
        <f>AY54+14</f>
        <v>749</v>
      </c>
      <c r="AZ55" s="5">
        <f>AY55-AY54</f>
        <v>14</v>
      </c>
      <c r="BA55" s="5"/>
      <c r="BB55">
        <f>BB54+40</f>
        <v>584</v>
      </c>
      <c r="BD55" s="5">
        <f>BB55-BB54</f>
        <v>40</v>
      </c>
      <c r="BG55">
        <f>BG54+13</f>
        <v>525</v>
      </c>
      <c r="BI55" s="5">
        <f>BG55-BG54</f>
        <v>13</v>
      </c>
      <c r="BJ55">
        <f>BJ54+2</f>
        <v>42</v>
      </c>
      <c r="BK55" s="5">
        <f>BJ55-BJ54</f>
        <v>2</v>
      </c>
      <c r="BL55" s="5"/>
      <c r="BM55">
        <f>BM54+6</f>
        <v>53</v>
      </c>
      <c r="BO55" s="5">
        <f>BM55-BM54</f>
        <v>6</v>
      </c>
      <c r="BR55">
        <f>BR54+26</f>
        <v>331</v>
      </c>
      <c r="BT55" s="5">
        <f>BR55-BR54</f>
        <v>26</v>
      </c>
      <c r="BU55">
        <f>BU54+-2</f>
        <v>11</v>
      </c>
      <c r="BV55" s="5">
        <f>BU55-BU54</f>
        <v>-2</v>
      </c>
      <c r="BW55" s="5"/>
      <c r="BX55">
        <f>BX54+2</f>
        <v>32</v>
      </c>
      <c r="BZ55" s="5">
        <f>BX55-BX54</f>
        <v>2</v>
      </c>
      <c r="CC55">
        <f>CC54+10</f>
        <v>122</v>
      </c>
      <c r="CE55" s="5">
        <f>CC55-CC54</f>
        <v>10</v>
      </c>
      <c r="CF55">
        <f>CF54+-2</f>
        <v>3</v>
      </c>
      <c r="CG55" s="5">
        <f>CF55-CF54</f>
        <v>-2</v>
      </c>
      <c r="CH55" s="5"/>
      <c r="CI55">
        <f>CI54+2</f>
        <v>4</v>
      </c>
      <c r="CK55" s="5">
        <f>CI55-CI54</f>
        <v>2</v>
      </c>
      <c r="CN55">
        <f>CN54+28</f>
        <v>397</v>
      </c>
      <c r="CP55" s="5">
        <f>CN55-CN54</f>
        <v>28</v>
      </c>
      <c r="CQ55">
        <f>CQ54+-3</f>
        <v>32</v>
      </c>
      <c r="CR55" s="5">
        <f>CQ55-CQ54</f>
        <v>-3</v>
      </c>
      <c r="CS55" s="5"/>
      <c r="CT55">
        <f>CT54+1</f>
        <v>14</v>
      </c>
      <c r="CV55" s="5">
        <f>CT55-CT54</f>
        <v>1</v>
      </c>
      <c r="CY55">
        <f>CY54+47</f>
        <v>550</v>
      </c>
      <c r="DA55" s="5">
        <f>CY55-CY54</f>
        <v>47</v>
      </c>
      <c r="DC55" s="5"/>
      <c r="DD55" s="5"/>
      <c r="DE55">
        <f>DE54+3</f>
        <v>7</v>
      </c>
      <c r="DG55" s="5">
        <f>DE55-DE54</f>
        <v>3</v>
      </c>
      <c r="DJ55">
        <f>O55+Z55+AK55+AV55+BG55+BR55+CC55+CN55+CY55</f>
        <v>22469</v>
      </c>
      <c r="DL55" s="5">
        <f>DJ55-DJ54</f>
        <v>2109</v>
      </c>
      <c r="DM55">
        <f>R55+AC55+AN55+AY55+BJ55+BU55+CF55+CQ55+DB55</f>
        <v>1972</v>
      </c>
      <c r="DN55" s="3">
        <f>(DM55/DM54)-1</f>
        <v>0.011800923550538744</v>
      </c>
      <c r="DO55" s="3"/>
      <c r="DP55">
        <f>U55+AF55+AQ55+BB55+BM55+BX55+CI55+CT55+DE55</f>
        <v>1544</v>
      </c>
      <c r="DR55" s="3">
        <f>(DP55/DP54)-1</f>
        <v>0.085031623330990902</v>
      </c>
      <c r="DS55" s="3"/>
      <c r="DT55">
        <f>DM55-DM54</f>
        <v>23</v>
      </c>
      <c r="DV55">
        <v>1</v>
      </c>
      <c r="DW55" t="s">
        <v>31</v>
      </c>
      <c r="DX55" s="8">
        <v>43959</v>
      </c>
      <c r="DY55">
        <v>6</v>
      </c>
      <c r="DZ55">
        <v>186</v>
      </c>
      <c r="EA55">
        <v>0</v>
      </c>
      <c r="EB55">
        <v>40</v>
      </c>
      <c r="EG55" t="s">
        <v>93</v>
      </c>
      <c r="EH55">
        <f>EH54+$EI$10+1</f>
        <v>2287</v>
      </c>
      <c r="EI55">
        <f>EH55+$EI$10</f>
        <v>2339</v>
      </c>
      <c r="ET55" t="s">
        <v>94</v>
      </c>
      <c r="EU55" s="8"/>
      <c r="FU55">
        <v>100</v>
      </c>
      <c r="FV55" t="s">
        <v>95</v>
      </c>
      <c r="FW55">
        <v>90</v>
      </c>
      <c r="GA55" s="10">
        <v>43895</v>
      </c>
      <c r="GB55">
        <v>217</v>
      </c>
      <c r="GC55">
        <f>(GB55/GB54)-1</f>
        <v>0.4563758389261745</v>
      </c>
      <c r="GV55" s="8">
        <v>43959</v>
      </c>
      <c r="GW55">
        <v>1</v>
      </c>
      <c r="GX55" t="s">
        <v>31</v>
      </c>
      <c r="GY55">
        <v>6</v>
      </c>
      <c r="HB55">
        <v>186</v>
      </c>
      <c r="HC55">
        <v>0</v>
      </c>
    </row>
    <row r="56" spans="1:325" ht="19.57">
      <c r="C56">
        <f>H55*D56</f>
        <v>630.99999999945953</v>
      </c>
      <c r="D56">
        <f>0.028083136766200001</f>
        <v>0.028083136766200001</v>
      </c>
      <c r="E56" t="s">
        <v>37</v>
      </c>
      <c r="F56" s="10">
        <v>43944</v>
      </c>
      <c r="G56" s="2">
        <f>H56*15</f>
        <v>346499.99999983789</v>
      </c>
      <c r="H56">
        <f>H55+C56</f>
        <v>23099.999999989192</v>
      </c>
      <c r="I56">
        <v>23100</v>
      </c>
      <c r="J56">
        <v>869170</v>
      </c>
      <c r="K56">
        <f>O56+Z56+AK56+AV56+BG56+BR56+CC56+CN56+CY56</f>
        <v>23100</v>
      </c>
      <c r="L56" s="3">
        <f>(K56/K55)-1</f>
        <v>0.028083136766211325</v>
      </c>
      <c r="O56">
        <f>O55+29</f>
        <v>751</v>
      </c>
      <c r="Q56" s="5">
        <f>O56-O55</f>
        <v>29</v>
      </c>
      <c r="R56">
        <f>R55+2</f>
        <v>22</v>
      </c>
      <c r="S56" s="5">
        <f>R56-R55</f>
        <v>2</v>
      </c>
      <c r="T56" s="5"/>
      <c r="U56">
        <f>U55+3</f>
        <v>66</v>
      </c>
      <c r="W56" s="5">
        <f>U56-U55</f>
        <v>3</v>
      </c>
      <c r="Z56">
        <f>Z55+175</f>
        <v>4303</v>
      </c>
      <c r="AB56" s="5">
        <f>Z56-Z55</f>
        <v>175</v>
      </c>
      <c r="AC56">
        <f>AC55+-5</f>
        <v>490</v>
      </c>
      <c r="AD56" s="5">
        <f>AC56-AC55</f>
        <v>-5</v>
      </c>
      <c r="AE56" s="5"/>
      <c r="AF56">
        <f>AF55+27</f>
        <v>469</v>
      </c>
      <c r="AH56" s="5">
        <f>AF56-AF55</f>
        <v>27</v>
      </c>
      <c r="AK56">
        <f>AK55+253</f>
        <v>6064</v>
      </c>
      <c r="AM56" s="5">
        <f>AK56-AK55</f>
        <v>253</v>
      </c>
      <c r="AN56">
        <f>AN55+6</f>
        <v>626</v>
      </c>
      <c r="AO56" s="5">
        <f>AN56-AN55</f>
        <v>6</v>
      </c>
      <c r="AP56" s="5"/>
      <c r="AQ56">
        <f>AQ55+27</f>
        <v>372</v>
      </c>
      <c r="AS56" s="5">
        <f>AQ56-AQ55</f>
        <v>27</v>
      </c>
      <c r="AU56" s="4">
        <f>AV56</f>
        <v>10008</v>
      </c>
      <c r="AV56">
        <f>AV55+125</f>
        <v>10008</v>
      </c>
      <c r="AX56" s="5">
        <f>AV56-AV55</f>
        <v>125</v>
      </c>
      <c r="AY56">
        <f>AY55+-19</f>
        <v>730</v>
      </c>
      <c r="AZ56" s="5">
        <f>AY56-AY55</f>
        <v>-19</v>
      </c>
      <c r="BA56" s="5"/>
      <c r="BB56">
        <f>BB55+31</f>
        <v>615</v>
      </c>
      <c r="BD56" s="5">
        <f>BB56-BB55</f>
        <v>31</v>
      </c>
      <c r="BG56">
        <f>BG55+20</f>
        <v>545</v>
      </c>
      <c r="BI56" s="5">
        <f>BG56-BG55</f>
        <v>20</v>
      </c>
      <c r="BJ56">
        <f>BJ55+-4</f>
        <v>38</v>
      </c>
      <c r="BK56" s="5">
        <f>BJ56-BJ55</f>
        <v>-4</v>
      </c>
      <c r="BL56" s="5"/>
      <c r="BM56">
        <f>BM55+4</f>
        <v>57</v>
      </c>
      <c r="BO56" s="5">
        <f>BM56-BM55</f>
        <v>4</v>
      </c>
      <c r="BR56">
        <f>BR55+28</f>
        <v>359</v>
      </c>
      <c r="BT56" s="5">
        <f>BR56-BR55</f>
        <v>28</v>
      </c>
      <c r="BU56">
        <f>BU55+-5</f>
        <v>6</v>
      </c>
      <c r="BV56" s="5">
        <f>BU56-BU55</f>
        <v>-5</v>
      </c>
      <c r="BW56" s="5"/>
      <c r="BX56">
        <f>BX55+1</f>
        <v>33</v>
      </c>
      <c r="BZ56" s="5">
        <f>BX56-BX55</f>
        <v>1</v>
      </c>
      <c r="CC56">
        <f>CC55+7</f>
        <v>129</v>
      </c>
      <c r="CE56" s="5">
        <f>CC56-CC55</f>
        <v>7</v>
      </c>
      <c r="CF56">
        <f>CF55+1</f>
        <v>4</v>
      </c>
      <c r="CG56" s="5">
        <f>CF56-CF55</f>
        <v>1</v>
      </c>
      <c r="CH56" s="5"/>
      <c r="CI56">
        <f>CI55+0</f>
        <v>4</v>
      </c>
      <c r="CK56" s="5">
        <f>CI56-CI55</f>
        <v>0</v>
      </c>
      <c r="CN56">
        <f>CN55+22</f>
        <v>419</v>
      </c>
      <c r="CP56" s="5">
        <f>CN56-CN55</f>
        <v>22</v>
      </c>
      <c r="CQ56">
        <f>CQ55+-1</f>
        <v>31</v>
      </c>
      <c r="CR56" s="5">
        <f>CQ56-CQ55</f>
        <v>-1</v>
      </c>
      <c r="CS56" s="5"/>
      <c r="CT56">
        <f>CT55+3</f>
        <v>17</v>
      </c>
      <c r="CV56" s="5">
        <f>CT56-CT55</f>
        <v>3</v>
      </c>
      <c r="CY56">
        <f>CY55+-28</f>
        <v>522</v>
      </c>
      <c r="DA56" s="5">
        <f>CY56-CY55</f>
        <v>-28</v>
      </c>
      <c r="DC56" s="5"/>
      <c r="DD56" s="5"/>
      <c r="DE56">
        <f>DE55+-1</f>
        <v>6</v>
      </c>
      <c r="DG56" s="5">
        <f>DE56-DE55</f>
        <v>-1</v>
      </c>
      <c r="DJ56">
        <f>O56+Z56+AK56+AV56+BG56+BR56+CC56+CN56+CY56</f>
        <v>23100</v>
      </c>
      <c r="DL56" s="5">
        <f>DJ56-DJ55</f>
        <v>631</v>
      </c>
      <c r="DM56">
        <f>R56+AC56+AN56+AY56+BJ56+BU56+CF56+CQ56+DB56</f>
        <v>1947</v>
      </c>
      <c r="DN56" s="3">
        <f>(DM56/DM55)-1</f>
        <v>-0.012677484787018245</v>
      </c>
      <c r="DO56" s="3"/>
      <c r="DP56">
        <f>U56+AF56+AQ56+BB56+BM56+BX56+CI56+CT56+DE56</f>
        <v>1639</v>
      </c>
      <c r="DR56" s="3">
        <f>(DP56/DP55)-1</f>
        <v>0.061528497409326421</v>
      </c>
      <c r="DS56" s="3"/>
      <c r="DT56">
        <f>DM56-DM55</f>
        <v>-25</v>
      </c>
      <c r="DV56">
        <v>1</v>
      </c>
      <c r="DW56" t="s">
        <v>31</v>
      </c>
      <c r="DX56" s="8">
        <v>43960</v>
      </c>
      <c r="DY56">
        <v>6</v>
      </c>
      <c r="DZ56">
        <v>186</v>
      </c>
      <c r="EA56">
        <v>0</v>
      </c>
      <c r="EB56">
        <v>41</v>
      </c>
      <c r="EG56" t="s">
        <v>96</v>
      </c>
      <c r="EH56">
        <f>EH55+$EI$10+1</f>
        <v>2340</v>
      </c>
      <c r="EI56">
        <f>EH56+$EI$10</f>
        <v>2392</v>
      </c>
      <c r="ET56" t="s">
        <v>58</v>
      </c>
      <c r="EU56" s="8"/>
      <c r="FU56">
        <v>100</v>
      </c>
      <c r="FV56" t="s">
        <v>97</v>
      </c>
      <c r="FW56">
        <v>290</v>
      </c>
      <c r="GA56" s="10">
        <v>43896</v>
      </c>
      <c r="GB56">
        <v>262</v>
      </c>
      <c r="GC56">
        <f>(GB56/GB55)-1</f>
        <v>0.20737327188940102</v>
      </c>
      <c r="GV56" s="8">
        <v>43960</v>
      </c>
      <c r="GW56">
        <v>1</v>
      </c>
      <c r="GX56" t="s">
        <v>31</v>
      </c>
      <c r="GY56">
        <v>6</v>
      </c>
      <c r="HB56">
        <v>186</v>
      </c>
      <c r="HC56">
        <v>0</v>
      </c>
    </row>
    <row r="57" spans="1:325" ht="19.57">
      <c r="C57">
        <f>H56*D57</f>
        <v>820.99999999671593</v>
      </c>
      <c r="D57">
        <f>0.035541125541000002</f>
        <v>0.035541125541000002</v>
      </c>
      <c r="E57" t="s">
        <v>38</v>
      </c>
      <c r="F57" s="10">
        <v>43945</v>
      </c>
      <c r="G57" s="2">
        <f>H57*15</f>
        <v>358814.99999978859</v>
      </c>
      <c r="H57">
        <f>H56+C57</f>
        <v>23920.999999985906</v>
      </c>
      <c r="I57">
        <v>23921</v>
      </c>
      <c r="J57">
        <v>905358</v>
      </c>
      <c r="K57">
        <f>O57+Z57+AK57+AV57+BG57+BR57+CC57+CN57+CY57</f>
        <v>23921</v>
      </c>
      <c r="L57" s="3">
        <f>(K57/K56)-1</f>
        <v>0.03554112554112554</v>
      </c>
      <c r="O57">
        <f>O56+57</f>
        <v>808</v>
      </c>
      <c r="Q57" s="5">
        <f>O57-O56</f>
        <v>57</v>
      </c>
      <c r="R57">
        <f>R56+0</f>
        <v>22</v>
      </c>
      <c r="S57" s="5">
        <f>R57-R56</f>
        <v>0</v>
      </c>
      <c r="T57" s="5"/>
      <c r="U57">
        <f>U56+3</f>
        <v>69</v>
      </c>
      <c r="W57" s="5">
        <f>U57-U56</f>
        <v>3</v>
      </c>
      <c r="Z57">
        <f>Z56+267</f>
        <v>4570</v>
      </c>
      <c r="AB57" s="5">
        <f>Z57-Z56</f>
        <v>267</v>
      </c>
      <c r="AC57">
        <f>AC56+-28</f>
        <v>462</v>
      </c>
      <c r="AD57" s="5">
        <f>AC57-AC56</f>
        <v>-28</v>
      </c>
      <c r="AE57" s="5"/>
      <c r="AF57">
        <f>AF56+42</f>
        <v>511</v>
      </c>
      <c r="AH57" s="5">
        <f>AF57-AF56</f>
        <v>42</v>
      </c>
      <c r="AK57">
        <f>AK56+222</f>
        <v>6286</v>
      </c>
      <c r="AM57" s="5">
        <f>AK57-AK56</f>
        <v>222</v>
      </c>
      <c r="AN57">
        <f>AN56+-9</f>
        <v>617</v>
      </c>
      <c r="AO57" s="5">
        <f>AN57-AN56</f>
        <v>-9</v>
      </c>
      <c r="AP57" s="5"/>
      <c r="AQ57">
        <f>AQ56+24</f>
        <v>396</v>
      </c>
      <c r="AS57" s="5">
        <f>AQ57-AQ56</f>
        <v>24</v>
      </c>
      <c r="AU57" s="4">
        <f>AV57</f>
        <v>10227</v>
      </c>
      <c r="AV57">
        <f>AV56+219</f>
        <v>10227</v>
      </c>
      <c r="AX57" s="5">
        <f>AV57-AV56</f>
        <v>219</v>
      </c>
      <c r="AY57">
        <f>AY56+-36</f>
        <v>694</v>
      </c>
      <c r="AZ57" s="5">
        <f>AY57-AY56</f>
        <v>-36</v>
      </c>
      <c r="BA57" s="5"/>
      <c r="BB57">
        <f>BB56+47</f>
        <v>662</v>
      </c>
      <c r="BD57" s="5">
        <f>BB57-BB56</f>
        <v>47</v>
      </c>
      <c r="BG57">
        <f>BG56+16</f>
        <v>561</v>
      </c>
      <c r="BI57" s="5">
        <f>BG57-BG56</f>
        <v>16</v>
      </c>
      <c r="BJ57">
        <f>BJ56+1</f>
        <v>39</v>
      </c>
      <c r="BK57" s="5">
        <f>BJ57-BJ56</f>
        <v>1</v>
      </c>
      <c r="BL57" s="5"/>
      <c r="BM57">
        <f>BM56+6</f>
        <v>63</v>
      </c>
      <c r="BO57" s="5">
        <f>BM57-BM56</f>
        <v>6</v>
      </c>
      <c r="BR57">
        <f>BR56+16</f>
        <v>375</v>
      </c>
      <c r="BT57" s="5">
        <f>BR57-BR56</f>
        <v>16</v>
      </c>
      <c r="BU57">
        <f>BU56+-2</f>
        <v>4</v>
      </c>
      <c r="BV57" s="5">
        <f>BU57-BU56</f>
        <v>-2</v>
      </c>
      <c r="BW57" s="5"/>
      <c r="BX57">
        <f>BX56+1</f>
        <v>34</v>
      </c>
      <c r="BZ57" s="5">
        <f>BX57-BX56</f>
        <v>1</v>
      </c>
      <c r="CC57">
        <f>CC56+10</f>
        <v>139</v>
      </c>
      <c r="CE57" s="5">
        <f>CC57-CC56</f>
        <v>10</v>
      </c>
      <c r="CF57">
        <f>CF56+2</f>
        <v>6</v>
      </c>
      <c r="CG57" s="5">
        <f>CF57-CF56</f>
        <v>2</v>
      </c>
      <c r="CH57" s="5"/>
      <c r="CI57">
        <f>CI56+-1</f>
        <v>3</v>
      </c>
      <c r="CK57" s="5">
        <f>CI57-CI56</f>
        <v>-1</v>
      </c>
      <c r="CN57">
        <f>CN56+29</f>
        <v>448</v>
      </c>
      <c r="CP57" s="5">
        <f>CN57-CN56</f>
        <v>29</v>
      </c>
      <c r="CQ57">
        <f>CQ56+2</f>
        <v>33</v>
      </c>
      <c r="CR57" s="5">
        <f>CQ57-CQ56</f>
        <v>2</v>
      </c>
      <c r="CS57" s="5"/>
      <c r="CT57">
        <f>CT56+6</f>
        <v>23</v>
      </c>
      <c r="CV57" s="5">
        <f>CT57-CT56</f>
        <v>6</v>
      </c>
      <c r="CY57">
        <f>CY56+-15</f>
        <v>507</v>
      </c>
      <c r="DA57" s="5">
        <f>CY57-CY56</f>
        <v>-15</v>
      </c>
      <c r="DC57" s="5"/>
      <c r="DD57" s="5"/>
      <c r="DE57">
        <f>DE56+-3</f>
        <v>3</v>
      </c>
      <c r="DG57" s="5">
        <f>DE57-DE56</f>
        <v>-3</v>
      </c>
      <c r="DJ57">
        <f>O57+Z57+AK57+AV57+BG57+BR57+CC57+CN57+CY57</f>
        <v>23921</v>
      </c>
      <c r="DL57" s="5">
        <f>DJ57-DJ56</f>
        <v>821</v>
      </c>
      <c r="DM57">
        <f>R57+AC57+AN57+AY57+BJ57+BU57+CF57+CQ57+DB57</f>
        <v>1877</v>
      </c>
      <c r="DN57" s="3">
        <f>(DM57/DM56)-1</f>
        <v>-0.035952747817154629</v>
      </c>
      <c r="DO57" s="3"/>
      <c r="DP57">
        <f>U57+AF57+AQ57+BB57+BM57+BX57+CI57+CT57+DE57</f>
        <v>1764</v>
      </c>
      <c r="DR57" s="3">
        <f>(DP57/DP56)-1</f>
        <v>0.07626601586333126</v>
      </c>
      <c r="DS57" s="3"/>
      <c r="DT57">
        <f>DM57-DM56</f>
        <v>-70</v>
      </c>
      <c r="DV57">
        <v>1</v>
      </c>
      <c r="DW57" t="s">
        <v>31</v>
      </c>
      <c r="DX57" s="8">
        <v>43961</v>
      </c>
      <c r="DY57">
        <v>6</v>
      </c>
      <c r="DZ57">
        <v>186</v>
      </c>
      <c r="EA57">
        <v>0</v>
      </c>
      <c r="EB57">
        <v>42</v>
      </c>
      <c r="EG57" t="s">
        <v>98</v>
      </c>
      <c r="EH57">
        <f>EH56+$EI$10+1</f>
        <v>2393</v>
      </c>
      <c r="EI57">
        <f>EH57+$EI$10</f>
        <v>2445</v>
      </c>
      <c r="ET57" t="s">
        <v>62</v>
      </c>
      <c r="EU57" s="8"/>
      <c r="FU57">
        <v>100</v>
      </c>
      <c r="FV57">
        <v>88</v>
      </c>
      <c r="FW57">
        <v>90</v>
      </c>
      <c r="GA57" s="10">
        <v>43897</v>
      </c>
      <c r="GB57">
        <v>402</v>
      </c>
      <c r="GC57">
        <f>(GB57/GB56)-1</f>
        <v>0.53435114503816794</v>
      </c>
      <c r="GV57" s="8">
        <v>43961</v>
      </c>
      <c r="GW57">
        <v>1</v>
      </c>
      <c r="GX57" t="s">
        <v>31</v>
      </c>
      <c r="GY57">
        <v>6</v>
      </c>
      <c r="HB57">
        <v>186</v>
      </c>
      <c r="HC57">
        <v>0</v>
      </c>
    </row>
    <row r="58" spans="1:325" ht="19.57">
      <c r="C58">
        <f>H57*D58</f>
        <v>660.99999999534452</v>
      </c>
      <c r="D58">
        <f>0.027632624054</f>
        <v>0.027632624054</v>
      </c>
      <c r="E58" t="s">
        <v>40</v>
      </c>
      <c r="F58" s="10">
        <v>43946</v>
      </c>
      <c r="G58" s="2">
        <f>H58*15</f>
        <v>368729.99999971874</v>
      </c>
      <c r="H58">
        <f>H57+C58</f>
        <v>24581.99999998125</v>
      </c>
      <c r="I58">
        <v>24582</v>
      </c>
      <c r="J58">
        <v>938154</v>
      </c>
      <c r="K58">
        <f>O58+Z58+AK58+AV58+BG58+BR58+CC58+CN58+CY58</f>
        <v>24582</v>
      </c>
      <c r="L58" s="3">
        <f>(K58/K57)-1</f>
        <v>0.027632624054178434</v>
      </c>
      <c r="O58">
        <f>O57+26</f>
        <v>834</v>
      </c>
      <c r="Q58" s="5">
        <f>O58-O57</f>
        <v>26</v>
      </c>
      <c r="R58">
        <f>R57+0</f>
        <v>22</v>
      </c>
      <c r="S58" s="5">
        <f>R58-R57</f>
        <v>0</v>
      </c>
      <c r="T58" s="5"/>
      <c r="U58">
        <f>U57+4</f>
        <v>73</v>
      </c>
      <c r="W58" s="5">
        <f>U58-U57</f>
        <v>4</v>
      </c>
      <c r="Z58">
        <f>Z57+191</f>
        <v>4761</v>
      </c>
      <c r="AB58" s="5">
        <f>Z58-Z57</f>
        <v>191</v>
      </c>
      <c r="AC58">
        <f>AC57+-19</f>
        <v>443</v>
      </c>
      <c r="AD58" s="5">
        <f>AC58-AC57</f>
        <v>-19</v>
      </c>
      <c r="AE58" s="5"/>
      <c r="AF58">
        <f>AF57+42</f>
        <v>553</v>
      </c>
      <c r="AH58" s="5">
        <f>AF58-AF57</f>
        <v>42</v>
      </c>
      <c r="AK58">
        <f>AK57+223</f>
        <v>6509</v>
      </c>
      <c r="AM58" s="5">
        <f>AK58-AK57</f>
        <v>223</v>
      </c>
      <c r="AN58">
        <f>AN57+-7</f>
        <v>610</v>
      </c>
      <c r="AO58" s="5">
        <f>AN58-AN57</f>
        <v>-7</v>
      </c>
      <c r="AP58" s="5"/>
      <c r="AQ58">
        <f>AQ57+20</f>
        <v>416</v>
      </c>
      <c r="AS58" s="5">
        <f>AQ58-AQ57</f>
        <v>20</v>
      </c>
      <c r="AU58" s="4">
        <f>AV58</f>
        <v>10373</v>
      </c>
      <c r="AV58">
        <f>AV57+146</f>
        <v>10373</v>
      </c>
      <c r="AX58" s="5">
        <f>AV58-AV57</f>
        <v>146</v>
      </c>
      <c r="AY58">
        <f>AY57+-45</f>
        <v>649</v>
      </c>
      <c r="AZ58" s="5">
        <f>AY58-AY57</f>
        <v>-45</v>
      </c>
      <c r="BA58" s="5"/>
      <c r="BB58">
        <f>BB57+27</f>
        <v>689</v>
      </c>
      <c r="BD58" s="5">
        <f>BB58-BB57</f>
        <v>27</v>
      </c>
      <c r="BG58">
        <f>BG57+15</f>
        <v>576</v>
      </c>
      <c r="BI58" s="5">
        <f>BG58-BG57</f>
        <v>15</v>
      </c>
      <c r="BJ58">
        <f>BJ57+2</f>
        <v>41</v>
      </c>
      <c r="BK58" s="5">
        <f>BJ58-BJ57</f>
        <v>2</v>
      </c>
      <c r="BL58" s="5"/>
      <c r="BM58">
        <f>BM57+-1</f>
        <v>62</v>
      </c>
      <c r="BO58" s="5">
        <f>BM58-BM57</f>
        <v>-1</v>
      </c>
      <c r="BR58">
        <f>BR57+9</f>
        <v>384</v>
      </c>
      <c r="BT58" s="5">
        <f>BR58-BR57</f>
        <v>9</v>
      </c>
      <c r="BU58">
        <f>BU57+2</f>
        <v>6</v>
      </c>
      <c r="BV58" s="5">
        <f>BU58-BU57</f>
        <v>2</v>
      </c>
      <c r="BW58" s="5"/>
      <c r="BX58">
        <f>BX57+1</f>
        <v>35</v>
      </c>
      <c r="BZ58" s="5">
        <f>BX58-BX57</f>
        <v>1</v>
      </c>
      <c r="CC58">
        <f>CC57+12</f>
        <v>151</v>
      </c>
      <c r="CE58" s="5">
        <f>CC58-CC57</f>
        <v>12</v>
      </c>
      <c r="CF58">
        <f>CF57+0</f>
        <v>6</v>
      </c>
      <c r="CG58" s="5">
        <f>CF58-CF57</f>
        <v>0</v>
      </c>
      <c r="CH58" s="5"/>
      <c r="CI58">
        <f>CI57+0</f>
        <v>3</v>
      </c>
      <c r="CK58" s="5">
        <f>CI58-CI57</f>
        <v>0</v>
      </c>
      <c r="CN58">
        <f>CN57+25</f>
        <v>473</v>
      </c>
      <c r="CP58" s="5">
        <f>CN58-CN57</f>
        <v>25</v>
      </c>
      <c r="CQ58">
        <f>CQ57+0</f>
        <v>33</v>
      </c>
      <c r="CR58" s="5">
        <f>CQ58-CQ57</f>
        <v>0</v>
      </c>
      <c r="CS58" s="5"/>
      <c r="CT58">
        <f>CT57+5</f>
        <v>28</v>
      </c>
      <c r="CV58" s="5">
        <f>CT58-CT57</f>
        <v>5</v>
      </c>
      <c r="CY58">
        <f>CY57+14</f>
        <v>521</v>
      </c>
      <c r="DA58" s="5">
        <f>CY58-CY57</f>
        <v>14</v>
      </c>
      <c r="DC58" s="5"/>
      <c r="DD58" s="5"/>
      <c r="DE58">
        <f>DE57+0</f>
        <v>3</v>
      </c>
      <c r="DG58" s="5">
        <f>DE58-DE57</f>
        <v>0</v>
      </c>
      <c r="DJ58">
        <f>O58+Z58+AK58+AV58+BG58+BR58+CC58+CN58+CY58</f>
        <v>24582</v>
      </c>
      <c r="DL58" s="5">
        <f>DJ58-DJ57</f>
        <v>661</v>
      </c>
      <c r="DM58">
        <f>R58+AC58+AN58+AY58+BJ58+BU58+CF58+CQ58+DB58</f>
        <v>1810</v>
      </c>
      <c r="DN58" s="3">
        <f>(DM58/DM57)-1</f>
        <v>-0.035695258391049589</v>
      </c>
      <c r="DO58" s="3"/>
      <c r="DP58">
        <f>U58+AF58+AQ58+BB58+BM58+BX58+CI58+CT58+DE58</f>
        <v>1862</v>
      </c>
      <c r="DR58" s="3">
        <f>(DP58/DP57)-1</f>
        <v>0.05555555555555558</v>
      </c>
      <c r="DS58" s="3"/>
      <c r="DT58">
        <f>DM58-DM57</f>
        <v>-67</v>
      </c>
      <c r="DV58">
        <v>1</v>
      </c>
      <c r="DW58" t="s">
        <v>31</v>
      </c>
      <c r="DX58" s="8">
        <v>43962</v>
      </c>
      <c r="DY58">
        <v>7</v>
      </c>
      <c r="DZ58">
        <v>217</v>
      </c>
      <c r="EA58">
        <v>0</v>
      </c>
      <c r="EB58">
        <v>43</v>
      </c>
      <c r="EG58" t="s">
        <v>64</v>
      </c>
      <c r="EH58">
        <f>EH57+$EI$10+1</f>
        <v>2446</v>
      </c>
      <c r="EI58">
        <f>EH58+$EI$10</f>
        <v>2498</v>
      </c>
      <c r="ET58" t="s">
        <v>70</v>
      </c>
      <c r="EU58" s="8"/>
      <c r="FU58">
        <v>100</v>
      </c>
      <c r="FV58" t="inlineStr">
        <is>
          <t>25th</t>
        </is>
      </c>
      <c r="FW58">
        <v>390</v>
      </c>
      <c r="GA58" s="10">
        <v>43898</v>
      </c>
      <c r="GB58">
        <v>518</v>
      </c>
      <c r="GC58">
        <f>(GB58/GB57)-1</f>
        <v>0.28855721393034828</v>
      </c>
      <c r="GV58" s="8">
        <v>43962</v>
      </c>
      <c r="GW58">
        <v>1</v>
      </c>
      <c r="GX58" t="s">
        <v>31</v>
      </c>
      <c r="GY58">
        <v>7</v>
      </c>
      <c r="HB58">
        <v>217</v>
      </c>
      <c r="HC58">
        <v>0</v>
      </c>
    </row>
    <row r="59" spans="1:325" ht="20.25">
      <c r="C59">
        <f>H58*D59</f>
        <v>687.00000000043894</v>
      </c>
      <c r="D59">
        <f>0.0279472784965</f>
        <v>0.0279472784965</v>
      </c>
      <c r="E59" t="s">
        <v>30</v>
      </c>
      <c r="F59" s="10">
        <v>43947</v>
      </c>
      <c r="G59" s="2">
        <f>H59*15</f>
        <v>379034.99999972538</v>
      </c>
      <c r="H59">
        <f>H58+C59</f>
        <v>25268.99999998169</v>
      </c>
      <c r="I59">
        <v>25269</v>
      </c>
      <c r="J59">
        <v>965785</v>
      </c>
      <c r="K59">
        <f>O59+Z59+AK59+AV59+BG59+BR59+CC59+CN59+CY59</f>
        <v>25269</v>
      </c>
      <c r="L59" s="3">
        <f>(K59/K58)-1</f>
        <v>0.027947278496460726</v>
      </c>
      <c r="O59">
        <f>O58+30</f>
        <v>864</v>
      </c>
      <c r="Q59" s="5">
        <f>O59-O58</f>
        <v>30</v>
      </c>
      <c r="R59">
        <f>R58+0</f>
        <v>22</v>
      </c>
      <c r="S59" s="5">
        <f>R59-R58</f>
        <v>0</v>
      </c>
      <c r="T59" s="5"/>
      <c r="U59">
        <f>U58+1</f>
        <v>74</v>
      </c>
      <c r="W59" s="5">
        <f>U59-U58</f>
        <v>1</v>
      </c>
      <c r="Z59">
        <f>Z58+228</f>
        <v>4989</v>
      </c>
      <c r="AB59" s="5">
        <f>Z59-Z58</f>
        <v>228</v>
      </c>
      <c r="AC59">
        <f>AC58+-17</f>
        <v>426</v>
      </c>
      <c r="AD59" s="5">
        <f>AC59-AC58</f>
        <v>-17</v>
      </c>
      <c r="AE59" s="5"/>
      <c r="AF59">
        <f>AF58+26</f>
        <v>579</v>
      </c>
      <c r="AH59" s="5">
        <f>AF59-AF58</f>
        <v>26</v>
      </c>
      <c r="AK59">
        <f>AK58+206</f>
        <v>6715</v>
      </c>
      <c r="AM59" s="5">
        <f>AK59-AK58</f>
        <v>206</v>
      </c>
      <c r="AN59">
        <f>AN58+-5</f>
        <v>605</v>
      </c>
      <c r="AO59" s="5">
        <f>AN59-AN58</f>
        <v>-5</v>
      </c>
      <c r="AP59" s="5"/>
      <c r="AQ59">
        <f>AQ58+13</f>
        <v>429</v>
      </c>
      <c r="AS59" s="5">
        <f>AQ59-AQ58</f>
        <v>13</v>
      </c>
      <c r="AU59" s="4">
        <f>AV59</f>
        <v>10529</v>
      </c>
      <c r="AV59">
        <f>AV58+156</f>
        <v>10529</v>
      </c>
      <c r="AX59" s="5">
        <f>AV59-AV58</f>
        <v>156</v>
      </c>
      <c r="AY59">
        <f>AY58+-14</f>
        <v>635</v>
      </c>
      <c r="AZ59" s="5">
        <f>AY59-AY58</f>
        <v>-14</v>
      </c>
      <c r="BA59" s="5"/>
      <c r="BB59">
        <f>BB58+18</f>
        <v>707</v>
      </c>
      <c r="BD59" s="5">
        <f>BB59-BB58</f>
        <v>18</v>
      </c>
      <c r="BG59">
        <f>BG58+12</f>
        <v>588</v>
      </c>
      <c r="BI59" s="5">
        <f>BG59-BG58</f>
        <v>12</v>
      </c>
      <c r="BJ59">
        <f>BJ58+-4</f>
        <v>37</v>
      </c>
      <c r="BK59" s="5">
        <f>BJ59-BJ58</f>
        <v>-4</v>
      </c>
      <c r="BL59" s="5"/>
      <c r="BM59">
        <f>BM58+4</f>
        <v>66</v>
      </c>
      <c r="BO59" s="5">
        <f>BM59-BM58</f>
        <v>4</v>
      </c>
      <c r="BR59">
        <f>BR58+23</f>
        <v>407</v>
      </c>
      <c r="BT59" s="5">
        <f>BR59-BR58</f>
        <v>23</v>
      </c>
      <c r="BU59">
        <f>BU58+-1</f>
        <v>5</v>
      </c>
      <c r="BV59" s="5">
        <f>BU59-BU58</f>
        <v>-1</v>
      </c>
      <c r="BW59" s="5"/>
      <c r="BX59">
        <f>BX58+0</f>
        <v>35</v>
      </c>
      <c r="BZ59" s="5">
        <f>BX59-BX58</f>
        <v>0</v>
      </c>
      <c r="CC59">
        <f>CC58+6</f>
        <v>157</v>
      </c>
      <c r="CE59" s="5">
        <f>CC59-CC58</f>
        <v>6</v>
      </c>
      <c r="CF59">
        <f>CF58+-1</f>
        <v>5</v>
      </c>
      <c r="CG59" s="5">
        <f>CF59-CF58</f>
        <v>-1</v>
      </c>
      <c r="CH59" s="5"/>
      <c r="CI59">
        <f>CI58+0</f>
        <v>3</v>
      </c>
      <c r="CK59" s="5">
        <f>CI59-CI58</f>
        <v>0</v>
      </c>
      <c r="CN59">
        <f>CN58+25</f>
        <v>498</v>
      </c>
      <c r="CP59" s="5">
        <f>CN59-CN58</f>
        <v>25</v>
      </c>
      <c r="CQ59">
        <f>CQ58+-2</f>
        <v>31</v>
      </c>
      <c r="CR59" s="5">
        <f>CQ59-CQ58</f>
        <v>-2</v>
      </c>
      <c r="CS59" s="5"/>
      <c r="CT59">
        <f>CT58+3</f>
        <v>31</v>
      </c>
      <c r="CV59" s="5">
        <f>CT59-CT58</f>
        <v>3</v>
      </c>
      <c r="CY59">
        <f>CY58+1</f>
        <v>522</v>
      </c>
      <c r="DA59" s="5">
        <f>CY59-CY58</f>
        <v>1</v>
      </c>
      <c r="DC59" s="5"/>
      <c r="DD59" s="5"/>
      <c r="DE59">
        <f>DE58+-3</f>
        <v>0</v>
      </c>
      <c r="DG59" s="5">
        <f>DE59-DE58</f>
        <v>-3</v>
      </c>
      <c r="DJ59">
        <f>O59+Z59+AK59+AV59+BG59+BR59+CC59+CN59+CY59</f>
        <v>25269</v>
      </c>
      <c r="DL59" s="5">
        <f>DJ59-DJ58</f>
        <v>687</v>
      </c>
      <c r="DM59">
        <f>R59+AC59+AN59+AY59+BJ59+BU59+CF59+CQ59+DB59</f>
        <v>1766</v>
      </c>
      <c r="DN59" s="3">
        <f>(DM59/DM58)-1</f>
        <v>-0.024309392265193353</v>
      </c>
      <c r="DO59" s="3"/>
      <c r="DP59">
        <f>U59+AF59+AQ59+BB59+BM59+BX59+CI59+CT59+DE59</f>
        <v>1924</v>
      </c>
      <c r="DR59" s="3">
        <f>(DP59/DP58)-1</f>
        <v>0.033297529538131032</v>
      </c>
      <c r="DS59" s="3"/>
      <c r="DT59">
        <f>DM59-DM58</f>
        <v>-44</v>
      </c>
      <c r="DV59">
        <v>1</v>
      </c>
      <c r="DW59" t="s">
        <v>31</v>
      </c>
      <c r="DX59" s="8">
        <v>43963</v>
      </c>
      <c r="DY59">
        <v>7</v>
      </c>
      <c r="DZ59">
        <v>217</v>
      </c>
      <c r="EA59">
        <v>0</v>
      </c>
      <c r="EB59">
        <v>44</v>
      </c>
      <c r="EG59" t="s">
        <v>99</v>
      </c>
      <c r="EH59">
        <f>EH58+$EI$10+1</f>
        <v>2499</v>
      </c>
      <c r="EI59">
        <f>EH59+$EI$10</f>
        <v>2551</v>
      </c>
      <c r="ET59" t="s">
        <v>72</v>
      </c>
      <c r="FU59">
        <v>100</v>
      </c>
      <c r="FV59" t="inlineStr">
        <is>
          <t>26th</t>
        </is>
      </c>
      <c r="FW59">
        <v>90</v>
      </c>
      <c r="GA59" s="10">
        <v>43899</v>
      </c>
      <c r="GB59">
        <v>583</v>
      </c>
      <c r="GC59">
        <f>(GB59/GB58)-1</f>
        <v>0.12548262548262556</v>
      </c>
      <c r="GV59" s="8">
        <v>43963</v>
      </c>
      <c r="GW59">
        <v>1</v>
      </c>
      <c r="GX59" t="s">
        <v>31</v>
      </c>
      <c r="GY59">
        <v>7</v>
      </c>
      <c r="HB59">
        <v>217</v>
      </c>
      <c r="HC59">
        <v>0</v>
      </c>
    </row>
    <row r="60" spans="1:325" ht="20.25">
      <c r="C60">
        <f>H59*D60</f>
        <v>727.99999999542956</v>
      </c>
      <c r="D60">
        <f>0.028810004353000001</f>
        <v>0.028810004353000001</v>
      </c>
      <c r="E60" t="s">
        <v>33</v>
      </c>
      <c r="F60" s="10">
        <v>43948</v>
      </c>
      <c r="G60" s="2">
        <f>H60*15</f>
        <v>389954.99999965681</v>
      </c>
      <c r="H60">
        <f>H59+C60</f>
        <v>25996.999999977121</v>
      </c>
      <c r="I60">
        <v>25997</v>
      </c>
      <c r="J60">
        <v>988197</v>
      </c>
      <c r="K60">
        <f>O60+Z60+AK60+AV60+BG60+BR60+CC60+CN60+CY60</f>
        <v>25997</v>
      </c>
      <c r="L60" s="3">
        <f>(K60/K59)-1</f>
        <v>0.028810004353160057</v>
      </c>
      <c r="O60">
        <f>O59+28</f>
        <v>892</v>
      </c>
      <c r="Q60" s="5">
        <f>O60-O59</f>
        <v>28</v>
      </c>
      <c r="R60">
        <f>R59+-1</f>
        <v>21</v>
      </c>
      <c r="S60" s="5">
        <f>R60-R59</f>
        <v>-1</v>
      </c>
      <c r="T60" s="5"/>
      <c r="U60">
        <f>U59+1</f>
        <v>75</v>
      </c>
      <c r="W60" s="5">
        <f>U60-U59</f>
        <v>1</v>
      </c>
      <c r="Z60">
        <f>Z59+168</f>
        <v>5157</v>
      </c>
      <c r="AB60" s="5">
        <f>Z60-Z59</f>
        <v>168</v>
      </c>
      <c r="AC60">
        <f>AC59+3</f>
        <v>429</v>
      </c>
      <c r="AD60" s="5">
        <f>AC60-AC59</f>
        <v>3</v>
      </c>
      <c r="AE60" s="5"/>
      <c r="AF60">
        <f>AF59+33</f>
        <v>612</v>
      </c>
      <c r="AH60" s="5">
        <f>AF60-AF59</f>
        <v>33</v>
      </c>
      <c r="AK60">
        <f>AK59+278</f>
        <v>6993</v>
      </c>
      <c r="AM60" s="5">
        <f>AK60-AK59</f>
        <v>278</v>
      </c>
      <c r="AN60">
        <f>AN59+-3</f>
        <v>602</v>
      </c>
      <c r="AO60" s="5">
        <f>AN60-AN59</f>
        <v>-3</v>
      </c>
      <c r="AP60" s="5"/>
      <c r="AQ60">
        <f>AQ59+27</f>
        <v>456</v>
      </c>
      <c r="AS60" s="5">
        <f>AQ60-AQ59</f>
        <v>27</v>
      </c>
      <c r="AU60" s="4">
        <f>AV60</f>
        <v>10763</v>
      </c>
      <c r="AV60">
        <f>AV59+234</f>
        <v>10763</v>
      </c>
      <c r="AX60" s="5">
        <f>AV60-AV59</f>
        <v>234</v>
      </c>
      <c r="AY60">
        <f>AY59+-8</f>
        <v>627</v>
      </c>
      <c r="AZ60" s="5">
        <f>AY60-AY59</f>
        <v>-8</v>
      </c>
      <c r="BA60" s="5"/>
      <c r="BB60">
        <f>BB59+20</f>
        <v>727</v>
      </c>
      <c r="BD60" s="5">
        <f>BB60-BB59</f>
        <v>20</v>
      </c>
      <c r="BG60">
        <f>BG59+21</f>
        <v>609</v>
      </c>
      <c r="BI60" s="5">
        <f>BG60-BG59</f>
        <v>21</v>
      </c>
      <c r="BJ60">
        <f>BJ59+0</f>
        <v>37</v>
      </c>
      <c r="BK60" s="5">
        <f>BJ60-BJ59</f>
        <v>0</v>
      </c>
      <c r="BL60" s="5"/>
      <c r="BM60">
        <f>BM59+3</f>
        <v>69</v>
      </c>
      <c r="BO60" s="5">
        <f>BM60-BM59</f>
        <v>3</v>
      </c>
      <c r="BR60">
        <f>BR59+12</f>
        <v>419</v>
      </c>
      <c r="BT60" s="5">
        <f>BR60-BR59</f>
        <v>12</v>
      </c>
      <c r="BU60">
        <f>BU59+0</f>
        <v>5</v>
      </c>
      <c r="BV60" s="5">
        <f>BU60-BU59</f>
        <v>0</v>
      </c>
      <c r="BW60" s="5"/>
      <c r="BX60">
        <f>BX59+0</f>
        <v>35</v>
      </c>
      <c r="BZ60" s="5">
        <f>BX60-BX59</f>
        <v>0</v>
      </c>
      <c r="CC60">
        <f>CC59+7</f>
        <v>164</v>
      </c>
      <c r="CE60" s="5">
        <f>CC60-CC59</f>
        <v>7</v>
      </c>
      <c r="CF60">
        <f>CF59+1</f>
        <v>6</v>
      </c>
      <c r="CG60" s="5">
        <f>CF60-CF59</f>
        <v>1</v>
      </c>
      <c r="CH60" s="5"/>
      <c r="CI60">
        <f>CI59+0</f>
        <v>3</v>
      </c>
      <c r="CK60" s="5">
        <f>CI60-CI59</f>
        <v>0</v>
      </c>
      <c r="CN60">
        <f>CN59+18</f>
        <v>516</v>
      </c>
      <c r="CP60" s="5">
        <f>CN60-CN59</f>
        <v>18</v>
      </c>
      <c r="CQ60">
        <f>CQ59+0</f>
        <v>31</v>
      </c>
      <c r="CR60" s="5">
        <f>CQ60-CQ59</f>
        <v>0</v>
      </c>
      <c r="CS60" s="5"/>
      <c r="CT60">
        <f>CT59+3</f>
        <v>34</v>
      </c>
      <c r="CV60" s="5">
        <f>CT60-CT59</f>
        <v>3</v>
      </c>
      <c r="CY60">
        <f>CY59+-38</f>
        <v>484</v>
      </c>
      <c r="DA60" s="5">
        <f>CY60-CY59</f>
        <v>-38</v>
      </c>
      <c r="DC60" s="5"/>
      <c r="DD60" s="5"/>
      <c r="DE60">
        <f>DE59+1</f>
        <v>1</v>
      </c>
      <c r="DG60" s="5">
        <f>DE60-DE59</f>
        <v>1</v>
      </c>
      <c r="DJ60">
        <f>O60+Z60+AK60+AV60+BG60+BR60+CC60+CN60+CY60</f>
        <v>25997</v>
      </c>
      <c r="DL60" s="5">
        <f>DJ60-DJ59</f>
        <v>728</v>
      </c>
      <c r="DM60">
        <f>R60+AC60+AN60+AY60+BJ60+BU60+CF60+CQ60+DB60</f>
        <v>1758</v>
      </c>
      <c r="DN60" s="3">
        <f>(DM60/DM59)-1</f>
        <v>-0.0045300113250282825</v>
      </c>
      <c r="DO60" s="3"/>
      <c r="DP60">
        <f>U60+AF60+AQ60+BB60+BM60+BX60+CI60+CT60+DE60</f>
        <v>2012</v>
      </c>
      <c r="DR60" s="3">
        <f>(DP60/DP59)-1</f>
        <v>0.04573804573804563</v>
      </c>
      <c r="DS60" s="3"/>
      <c r="DT60">
        <f>DM60-DM59</f>
        <v>-8</v>
      </c>
      <c r="DV60">
        <v>1</v>
      </c>
      <c r="DW60" t="s">
        <v>31</v>
      </c>
      <c r="DX60" s="8">
        <v>43964</v>
      </c>
      <c r="DY60">
        <v>7</v>
      </c>
      <c r="DZ60">
        <v>217</v>
      </c>
      <c r="EA60">
        <v>0</v>
      </c>
      <c r="EB60">
        <v>45</v>
      </c>
      <c r="EG60" t="s">
        <v>100</v>
      </c>
      <c r="EH60">
        <f>EH59+$EI$10+1</f>
        <v>2552</v>
      </c>
      <c r="EI60">
        <f>EH60+$EI$10</f>
        <v>2604</v>
      </c>
      <c r="ET60" t="s">
        <v>61</v>
      </c>
      <c r="FU60">
        <v>27</v>
      </c>
      <c r="FV60">
        <v>77</v>
      </c>
      <c r="FW60">
        <v>490</v>
      </c>
      <c r="GA60" s="10">
        <v>43900</v>
      </c>
      <c r="GB60">
        <v>959</v>
      </c>
      <c r="GC60">
        <f>(GB60/GB59)-1</f>
        <v>0.64493996569468259</v>
      </c>
      <c r="GV60" s="8">
        <v>43964</v>
      </c>
      <c r="GW60">
        <v>1</v>
      </c>
      <c r="GX60" t="s">
        <v>31</v>
      </c>
      <c r="GY60">
        <v>7</v>
      </c>
      <c r="HB60">
        <v>217</v>
      </c>
      <c r="HC60">
        <v>0</v>
      </c>
    </row>
    <row r="61" spans="1:325" ht="20.25">
      <c r="C61">
        <f>H60*D61</f>
        <v>314.99999999980565</v>
      </c>
      <c r="D61">
        <f>0.0121167827057</f>
        <v>0.0121167827057</v>
      </c>
      <c r="E61" t="s">
        <v>34</v>
      </c>
      <c r="F61" s="10">
        <v>43949</v>
      </c>
      <c r="G61" s="2">
        <f>H61*15</f>
        <v>394679.9999996539</v>
      </c>
      <c r="H61">
        <f>H60+C61</f>
        <v>26311.999999976928</v>
      </c>
      <c r="I61">
        <v>26312</v>
      </c>
      <c r="J61">
        <v>1012582</v>
      </c>
      <c r="K61">
        <f>O61+Z61+AK61+AV61+BG61+BR61+CC61+CN61+CY61</f>
        <v>26312</v>
      </c>
      <c r="L61" s="3">
        <f>(K61/K60)-1</f>
        <v>0.012116782705696716</v>
      </c>
      <c r="O61">
        <f>O60+8</f>
        <v>900</v>
      </c>
      <c r="Q61" s="5">
        <f>O61-O60</f>
        <v>8</v>
      </c>
      <c r="R61">
        <f>R60+-1</f>
        <v>20</v>
      </c>
      <c r="S61" s="5">
        <f>R61-R60</f>
        <v>-1</v>
      </c>
      <c r="T61" s="5"/>
      <c r="U61">
        <f>U60+1</f>
        <v>76</v>
      </c>
      <c r="W61" s="5">
        <f>U61-U60</f>
        <v>1</v>
      </c>
      <c r="Z61">
        <f>Z60+67</f>
        <v>5224</v>
      </c>
      <c r="AB61" s="5">
        <f>Z61-Z60</f>
        <v>67</v>
      </c>
      <c r="AC61">
        <f>AC60+-11</f>
        <v>418</v>
      </c>
      <c r="AD61" s="5">
        <f>AC61-AC60</f>
        <v>-11</v>
      </c>
      <c r="AE61" s="5"/>
      <c r="AF61">
        <f>AF60+31</f>
        <v>643</v>
      </c>
      <c r="AH61" s="5">
        <f>AF61-AF60</f>
        <v>31</v>
      </c>
      <c r="AK61">
        <f>AK60+96</f>
        <v>7089</v>
      </c>
      <c r="AM61" s="5">
        <f>AK61-AK60</f>
        <v>96</v>
      </c>
      <c r="AN61">
        <f>AN60+-4</f>
        <v>598</v>
      </c>
      <c r="AO61" s="5">
        <f>AN61-AN60</f>
        <v>-4</v>
      </c>
      <c r="AP61" s="5"/>
      <c r="AQ61">
        <f>AQ60+22</f>
        <v>478</v>
      </c>
      <c r="AS61" s="5">
        <f>AQ61-AQ60</f>
        <v>22</v>
      </c>
      <c r="AU61" s="4">
        <f>AV61</f>
        <v>10874</v>
      </c>
      <c r="AV61">
        <f>AV60+111</f>
        <v>10874</v>
      </c>
      <c r="AX61" s="5">
        <f>AV61-AV60</f>
        <v>111</v>
      </c>
      <c r="AY61">
        <f>AY60+-7</f>
        <v>620</v>
      </c>
      <c r="AZ61" s="5">
        <f>AY61-AY60</f>
        <v>-7</v>
      </c>
      <c r="BA61" s="5"/>
      <c r="BB61">
        <f>BB60+20</f>
        <v>747</v>
      </c>
      <c r="BD61" s="5">
        <f>BB61-BB60</f>
        <v>20</v>
      </c>
      <c r="BG61">
        <f>BG60+9</f>
        <v>618</v>
      </c>
      <c r="BI61" s="5">
        <f>BG61-BG60</f>
        <v>9</v>
      </c>
      <c r="BJ61">
        <f>BJ60+-6</f>
        <v>31</v>
      </c>
      <c r="BK61" s="5">
        <f>BJ61-BJ60</f>
        <v>-6</v>
      </c>
      <c r="BL61" s="5"/>
      <c r="BM61">
        <f>BM60+1</f>
        <v>70</v>
      </c>
      <c r="BO61" s="5">
        <f>BM61-BM60</f>
        <v>1</v>
      </c>
      <c r="BR61">
        <f>BR60+3</f>
        <v>422</v>
      </c>
      <c r="BT61" s="5">
        <f>BR61-BR60</f>
        <v>3</v>
      </c>
      <c r="BU61">
        <f>BU60+1</f>
        <v>6</v>
      </c>
      <c r="BV61" s="5">
        <f>BU61-BU60</f>
        <v>1</v>
      </c>
      <c r="BW61" s="5"/>
      <c r="BX61">
        <f>BX60+0</f>
        <v>35</v>
      </c>
      <c r="BZ61" s="5">
        <f>BX61-BX60</f>
        <v>0</v>
      </c>
      <c r="CC61">
        <f>CC60+0</f>
        <v>164</v>
      </c>
      <c r="CE61" s="5">
        <f>CC61-CC60</f>
        <v>0</v>
      </c>
      <c r="CF61">
        <f>CF60+-1</f>
        <v>5</v>
      </c>
      <c r="CG61" s="5">
        <f>CF61-CF60</f>
        <v>-1</v>
      </c>
      <c r="CH61" s="5"/>
      <c r="CI61">
        <f>CI60+0</f>
        <v>3</v>
      </c>
      <c r="CK61" s="5">
        <f>CI61-CI60</f>
        <v>0</v>
      </c>
      <c r="CN61">
        <f>CN60+14</f>
        <v>530</v>
      </c>
      <c r="CP61" s="5">
        <f>CN61-CN60</f>
        <v>14</v>
      </c>
      <c r="CQ61">
        <f>CQ60+3</f>
        <v>34</v>
      </c>
      <c r="CR61" s="5">
        <f>CQ61-CQ60</f>
        <v>3</v>
      </c>
      <c r="CS61" s="5"/>
      <c r="CT61">
        <f>CT60+0</f>
        <v>34</v>
      </c>
      <c r="CV61" s="5">
        <f>CT61-CT60</f>
        <v>0</v>
      </c>
      <c r="CY61">
        <f>CY60+7</f>
        <v>491</v>
      </c>
      <c r="DA61" s="5">
        <f>CY61-CY60</f>
        <v>7</v>
      </c>
      <c r="DC61" s="5"/>
      <c r="DD61" s="5"/>
      <c r="DE61">
        <f>DE60+2</f>
        <v>3</v>
      </c>
      <c r="DG61" s="5">
        <f>DE61-DE60</f>
        <v>2</v>
      </c>
      <c r="DJ61">
        <f>O61+Z61+AK61+AV61+BG61+BR61+CC61+CN61+CY61</f>
        <v>26312</v>
      </c>
      <c r="DL61" s="5">
        <f>DJ61-DJ60</f>
        <v>315</v>
      </c>
      <c r="DM61">
        <f>R61+AC61+AN61+AY61+BJ61+BU61+CF61+CQ61+DB61</f>
        <v>1732</v>
      </c>
      <c r="DN61" s="3">
        <f>(DM61/DM60)-1</f>
        <v>-0.014789533560864654</v>
      </c>
      <c r="DO61" s="3"/>
      <c r="DP61">
        <f>U61+AF61+AQ61+BB61+BM61+BX61+CI61+CT61+DE61</f>
        <v>2089</v>
      </c>
      <c r="DR61" s="3">
        <f>(DP61/DP60)-1</f>
        <v>0.038270377733598426</v>
      </c>
      <c r="DS61" s="3"/>
      <c r="DT61">
        <f>DM61-DM60</f>
        <v>-26</v>
      </c>
      <c r="DV61">
        <v>1</v>
      </c>
      <c r="DW61" t="s">
        <v>31</v>
      </c>
      <c r="DX61" s="8">
        <v>43965</v>
      </c>
      <c r="DY61">
        <v>8</v>
      </c>
      <c r="DZ61">
        <v>248</v>
      </c>
      <c r="EA61">
        <v>0</v>
      </c>
      <c r="EG61" t="s">
        <v>66</v>
      </c>
      <c r="EH61">
        <f>EH60+$EI$10+1</f>
        <v>2605</v>
      </c>
      <c r="EI61">
        <f>EH61+$EI$10</f>
        <v>2657</v>
      </c>
      <c r="ET61" t="s">
        <v>96</v>
      </c>
      <c r="FU61">
        <v>28</v>
      </c>
      <c r="FV61">
        <v>88</v>
      </c>
      <c r="FW61">
        <v>90</v>
      </c>
      <c r="GA61" s="10">
        <v>43901</v>
      </c>
      <c r="GB61">
        <v>1281</v>
      </c>
      <c r="GC61">
        <f>(GB61/GB60)-1</f>
        <v>0.33576642335766427</v>
      </c>
      <c r="GV61" s="8">
        <v>43965</v>
      </c>
      <c r="GW61">
        <v>1</v>
      </c>
      <c r="GX61" t="s">
        <v>31</v>
      </c>
      <c r="GY61">
        <v>8</v>
      </c>
      <c r="HB61">
        <v>248</v>
      </c>
      <c r="HC61">
        <v>0</v>
      </c>
    </row>
    <row r="62" spans="1:325" ht="20.25">
      <c r="C62">
        <f>H61*D62</f>
        <v>455.00000000020418</v>
      </c>
      <c r="D62">
        <f>0.017292490118599999</f>
        <v>0.017292490118599999</v>
      </c>
      <c r="E62" t="s">
        <v>35</v>
      </c>
      <c r="F62" s="10">
        <v>43950</v>
      </c>
      <c r="G62" s="2">
        <f>H62*15</f>
        <v>401504.99999965698</v>
      </c>
      <c r="H62">
        <f>H61+C62</f>
        <v>26766.999999977132</v>
      </c>
      <c r="I62">
        <v>26767</v>
      </c>
      <c r="J62">
        <v>1039909</v>
      </c>
      <c r="K62">
        <f>O62+Z62+AK62+AV62+BG62+BR62+CC62+CN62+CY62</f>
        <v>26767</v>
      </c>
      <c r="L62" s="3">
        <f>(K62/K61)-1</f>
        <v>0.017292490118577142</v>
      </c>
      <c r="O62">
        <f>O61+19</f>
        <v>919</v>
      </c>
      <c r="Q62" s="5">
        <f>O62-O61</f>
        <v>19</v>
      </c>
      <c r="R62">
        <f>R61+1</f>
        <v>21</v>
      </c>
      <c r="S62" s="5">
        <f>R62-R61</f>
        <v>1</v>
      </c>
      <c r="T62" s="5"/>
      <c r="U62">
        <f>U61+3</f>
        <v>79</v>
      </c>
      <c r="W62" s="5">
        <f>U62-U61</f>
        <v>3</v>
      </c>
      <c r="Z62">
        <f>Z61+164</f>
        <v>5388</v>
      </c>
      <c r="AB62" s="5">
        <f>Z62-Z61</f>
        <v>164</v>
      </c>
      <c r="AC62">
        <f>AC61+-15</f>
        <v>403</v>
      </c>
      <c r="AD62" s="5">
        <f>AC62-AC61</f>
        <v>-15</v>
      </c>
      <c r="AE62" s="5"/>
      <c r="AF62">
        <f>AF61+27</f>
        <v>670</v>
      </c>
      <c r="AH62" s="5">
        <f>AF62-AF61</f>
        <v>27</v>
      </c>
      <c r="AK62">
        <f>AK61+116</f>
        <v>7205</v>
      </c>
      <c r="AM62" s="5">
        <f>AK62-AK61</f>
        <v>116</v>
      </c>
      <c r="AN62">
        <f>AN61+-7</f>
        <v>591</v>
      </c>
      <c r="AO62" s="5">
        <f>AN62-AN61</f>
        <v>-7</v>
      </c>
      <c r="AP62" s="5"/>
      <c r="AQ62">
        <f>AQ61+15</f>
        <v>493</v>
      </c>
      <c r="AS62" s="5">
        <f>AQ62-AQ61</f>
        <v>15</v>
      </c>
      <c r="AU62" s="4">
        <f>AV62</f>
        <v>10985</v>
      </c>
      <c r="AV62">
        <f>AV61+111</f>
        <v>10985</v>
      </c>
      <c r="AX62" s="5">
        <f>AV62-AV61</f>
        <v>111</v>
      </c>
      <c r="AY62">
        <f>AY61+-29</f>
        <v>591</v>
      </c>
      <c r="AZ62" s="5">
        <f>AY62-AY61</f>
        <v>-29</v>
      </c>
      <c r="BA62" s="5"/>
      <c r="BB62">
        <f>BB61+27</f>
        <v>774</v>
      </c>
      <c r="BD62" s="5">
        <f>BB62-BB61</f>
        <v>27</v>
      </c>
      <c r="BG62">
        <f>BG61+13</f>
        <v>631</v>
      </c>
      <c r="BI62" s="5">
        <f>BG62-BG61</f>
        <v>13</v>
      </c>
      <c r="BJ62">
        <f>BJ61+6</f>
        <v>37</v>
      </c>
      <c r="BK62" s="5">
        <f>BJ62-BJ61</f>
        <v>6</v>
      </c>
      <c r="BL62" s="5"/>
      <c r="BM62">
        <f>BM61+6</f>
        <v>76</v>
      </c>
      <c r="BO62" s="5">
        <f>BM62-BM61</f>
        <v>6</v>
      </c>
      <c r="BR62">
        <f>BR61+5</f>
        <v>427</v>
      </c>
      <c r="BT62" s="5">
        <f>BR62-BR61</f>
        <v>5</v>
      </c>
      <c r="BU62">
        <f>BU61+-1</f>
        <v>5</v>
      </c>
      <c r="BV62" s="5">
        <f>BU62-BU61</f>
        <v>-1</v>
      </c>
      <c r="BW62" s="5"/>
      <c r="BX62">
        <f>BX61+1</f>
        <v>36</v>
      </c>
      <c r="BZ62" s="5">
        <f>BX62-BX61</f>
        <v>1</v>
      </c>
      <c r="CC62">
        <f>CC61+1</f>
        <v>165</v>
      </c>
      <c r="CE62" s="5">
        <f>CC62-CC61</f>
        <v>1</v>
      </c>
      <c r="CF62">
        <f>CF61+-1</f>
        <v>4</v>
      </c>
      <c r="CG62" s="5">
        <f>CF62-CF61</f>
        <v>-1</v>
      </c>
      <c r="CH62" s="5"/>
      <c r="CI62">
        <f>CI61+-1</f>
        <v>2</v>
      </c>
      <c r="CK62" s="5">
        <f>CI62-CI61</f>
        <v>-1</v>
      </c>
      <c r="CN62">
        <f>CN61+10</f>
        <v>540</v>
      </c>
      <c r="CP62" s="5">
        <f>CN62-CN61</f>
        <v>10</v>
      </c>
      <c r="CQ62">
        <f>CQ61+5</f>
        <v>39</v>
      </c>
      <c r="CR62" s="5">
        <f>CQ62-CQ61</f>
        <v>5</v>
      </c>
      <c r="CS62" s="5"/>
      <c r="CT62">
        <f>CT61+1</f>
        <v>35</v>
      </c>
      <c r="CV62" s="5">
        <f>CT62-CT61</f>
        <v>1</v>
      </c>
      <c r="CY62">
        <f>CY61+16</f>
        <v>507</v>
      </c>
      <c r="DA62" s="5">
        <f>CY62-CY61</f>
        <v>16</v>
      </c>
      <c r="DC62" s="5"/>
      <c r="DD62" s="5"/>
      <c r="DE62">
        <f>DE61+0</f>
        <v>3</v>
      </c>
      <c r="DG62" s="5">
        <f>DE62-DE61</f>
        <v>0</v>
      </c>
      <c r="DJ62">
        <f>O62+Z62+AK62+AV62+BG62+BR62+CC62+CN62+CY62</f>
        <v>26767</v>
      </c>
      <c r="DL62" s="5">
        <f>DJ62-DJ61</f>
        <v>455</v>
      </c>
      <c r="DM62">
        <f>R62+AC62+AN62+AY62+BJ62+BU62+CF62+CQ62+DB62</f>
        <v>1691</v>
      </c>
      <c r="DN62" s="3">
        <f>(DM62/DM61)-1</f>
        <v>-0.023672055427251704</v>
      </c>
      <c r="DO62" s="3"/>
      <c r="DP62">
        <f>U62+AF62+AQ62+BB62+BM62+BX62+CI62+CT62+DE62</f>
        <v>2168</v>
      </c>
      <c r="DR62" s="3">
        <f>(DP62/DP61)-1</f>
        <v>0.037817137386309208</v>
      </c>
      <c r="DS62" s="1"/>
      <c r="DT62">
        <f>DM62-DM61</f>
        <v>-41</v>
      </c>
      <c r="DV62">
        <v>1</v>
      </c>
      <c r="DW62" t="s">
        <v>31</v>
      </c>
      <c r="DX62" s="8">
        <v>43966</v>
      </c>
      <c r="DY62">
        <v>9</v>
      </c>
      <c r="DZ62">
        <v>279</v>
      </c>
      <c r="EA62">
        <v>0</v>
      </c>
      <c r="EG62" t="s">
        <v>101</v>
      </c>
      <c r="EH62">
        <f>EH61+$EI$10+1</f>
        <v>2658</v>
      </c>
      <c r="EI62">
        <f>EH62+$EI$10</f>
        <v>2710</v>
      </c>
      <c r="ET62" t="s">
        <v>101</v>
      </c>
      <c r="FU62">
        <v>29</v>
      </c>
      <c r="FV62">
        <v>99</v>
      </c>
      <c r="FW62">
        <v>290</v>
      </c>
      <c r="GA62" s="10">
        <v>43902</v>
      </c>
      <c r="GB62">
        <v>1663</v>
      </c>
      <c r="GC62">
        <f>(GB62/GB61)-1</f>
        <v>0.29820452771272454</v>
      </c>
      <c r="GV62" s="8">
        <v>43966</v>
      </c>
      <c r="GW62">
        <v>1</v>
      </c>
      <c r="GX62" t="s">
        <v>31</v>
      </c>
      <c r="GY62">
        <v>9</v>
      </c>
      <c r="HB62">
        <v>279</v>
      </c>
      <c r="HC62">
        <v>0</v>
      </c>
    </row>
    <row r="63" spans="1:325" ht="20.25">
      <c r="C63">
        <f>H62*D63</f>
        <v>933.00000000072691</v>
      </c>
      <c r="D63">
        <f>0.034856352972000001</f>
        <v>0.034856352972000001</v>
      </c>
      <c r="E63" t="s">
        <v>37</v>
      </c>
      <c r="F63" s="10">
        <v>43951</v>
      </c>
      <c r="G63" s="2">
        <f>H63*15</f>
        <v>415499.99999966787</v>
      </c>
      <c r="H63">
        <f>H62+C63</f>
        <v>27699.999999977859</v>
      </c>
      <c r="I63">
        <v>27700</v>
      </c>
      <c r="J63">
        <v>1069424</v>
      </c>
      <c r="K63">
        <f>O63+Z63+AK63+AV63+BG63+BR63+CC63+CN63+CY63</f>
        <v>27700</v>
      </c>
      <c r="L63" s="3">
        <f>(K63/K62)-1</f>
        <v>0.034856352971943005</v>
      </c>
      <c r="O63">
        <f>O62+44</f>
        <v>963</v>
      </c>
      <c r="Q63" s="5">
        <f>O63-O62</f>
        <v>44</v>
      </c>
      <c r="R63">
        <f>R62+0</f>
        <v>21</v>
      </c>
      <c r="S63" s="5">
        <f>R63-R62</f>
        <v>0</v>
      </c>
      <c r="T63" s="5"/>
      <c r="U63">
        <f>U62+1</f>
        <v>80</v>
      </c>
      <c r="W63" s="5">
        <f>U63-U62</f>
        <v>1</v>
      </c>
      <c r="Z63">
        <f>Z62+213</f>
        <v>5601</v>
      </c>
      <c r="AB63" s="5">
        <f>Z63-Z62</f>
        <v>213</v>
      </c>
      <c r="AC63">
        <f>AC62+13</f>
        <v>416</v>
      </c>
      <c r="AD63" s="5">
        <f>AC63-AC62</f>
        <v>13</v>
      </c>
      <c r="AE63" s="5"/>
      <c r="AF63">
        <f>AF62+28</f>
        <v>698</v>
      </c>
      <c r="AH63" s="5">
        <f>AF63-AF62</f>
        <v>28</v>
      </c>
      <c r="AK63">
        <f>AK62+331</f>
        <v>7536</v>
      </c>
      <c r="AM63" s="5">
        <f>AK63-AK62</f>
        <v>331</v>
      </c>
      <c r="AN63">
        <f>AN62+-34</f>
        <v>557</v>
      </c>
      <c r="AO63" s="5">
        <f>AN63-AN62</f>
        <v>-34</v>
      </c>
      <c r="AP63" s="5"/>
      <c r="AQ63">
        <f>AQ62+19</f>
        <v>512</v>
      </c>
      <c r="AS63" s="5">
        <f>AQ63-AQ62</f>
        <v>19</v>
      </c>
      <c r="AU63" s="4">
        <f>AV63</f>
        <v>11294</v>
      </c>
      <c r="AV63">
        <f>AV62+309</f>
        <v>11294</v>
      </c>
      <c r="AX63" s="5">
        <f>AV63-AV62</f>
        <v>309</v>
      </c>
      <c r="AY63">
        <f>AY62+-26</f>
        <v>565</v>
      </c>
      <c r="AZ63" s="5">
        <f>AY63-AY62</f>
        <v>-26</v>
      </c>
      <c r="BA63" s="5"/>
      <c r="BB63">
        <f>BB62+36</f>
        <v>810</v>
      </c>
      <c r="BD63" s="5">
        <f>BB63-BB62</f>
        <v>36</v>
      </c>
      <c r="BG63">
        <f>BG62+26</f>
        <v>657</v>
      </c>
      <c r="BI63" s="5">
        <f>BG63-BG62</f>
        <v>26</v>
      </c>
      <c r="BJ63">
        <f>BJ62+5</f>
        <v>42</v>
      </c>
      <c r="BK63" s="5">
        <f>BJ63-BJ62</f>
        <v>5</v>
      </c>
      <c r="BL63" s="5"/>
      <c r="BM63">
        <f>BM62+3</f>
        <v>79</v>
      </c>
      <c r="BO63" s="5">
        <f>BM63-BM62</f>
        <v>3</v>
      </c>
      <c r="BR63">
        <f>BR62+10</f>
        <v>437</v>
      </c>
      <c r="BT63" s="5">
        <f>BR63-BR62</f>
        <v>10</v>
      </c>
      <c r="BU63">
        <f>BU62+-1</f>
        <v>4</v>
      </c>
      <c r="BV63" s="5">
        <f>BU63-BU62</f>
        <v>-1</v>
      </c>
      <c r="BW63" s="5"/>
      <c r="BX63">
        <f>BX62+0</f>
        <v>36</v>
      </c>
      <c r="BZ63" s="5">
        <f>BX63-BX62</f>
        <v>0</v>
      </c>
      <c r="CC63">
        <f>CC62+21</f>
        <v>186</v>
      </c>
      <c r="CE63" s="5">
        <f>CC63-CC62</f>
        <v>21</v>
      </c>
      <c r="CF63">
        <f>CF62+0</f>
        <v>4</v>
      </c>
      <c r="CG63" s="5">
        <f>CF63-CF62</f>
        <v>0</v>
      </c>
      <c r="CH63" s="5"/>
      <c r="CI63">
        <f>CI62+0</f>
        <v>2</v>
      </c>
      <c r="CK63" s="5">
        <f>CI63-CI62</f>
        <v>0</v>
      </c>
      <c r="CN63">
        <f>CN62+24</f>
        <v>564</v>
      </c>
      <c r="CP63" s="5">
        <f>CN63-CN62</f>
        <v>24</v>
      </c>
      <c r="CQ63">
        <f>CQ62+2</f>
        <v>41</v>
      </c>
      <c r="CR63" s="5">
        <f>CQ63-CQ62</f>
        <v>2</v>
      </c>
      <c r="CS63" s="5"/>
      <c r="CT63">
        <f>CT62+1</f>
        <v>36</v>
      </c>
      <c r="CV63" s="5">
        <f>CT63-CT62</f>
        <v>1</v>
      </c>
      <c r="CY63">
        <f>CY62+-45</f>
        <v>462</v>
      </c>
      <c r="DA63" s="5">
        <f>CY63-CY62</f>
        <v>-45</v>
      </c>
      <c r="DC63" s="5"/>
      <c r="DD63" s="5"/>
      <c r="DE63">
        <f>DE62+1</f>
        <v>4</v>
      </c>
      <c r="DG63" s="5">
        <f>DE63-DE62</f>
        <v>1</v>
      </c>
      <c r="DJ63">
        <f>O63+Z63+AK63+AV63+BG63+BR63+CC63+CN63+CY63</f>
        <v>27700</v>
      </c>
      <c r="DL63" s="5">
        <f>DJ63-DJ62</f>
        <v>933</v>
      </c>
      <c r="DM63">
        <f>R63+AC63+AN63+AY63+BJ63+BU63+CF63+CQ63+DB63</f>
        <v>1650</v>
      </c>
      <c r="DN63" s="3">
        <f>(DM63/DM62)-1</f>
        <v>-0.02424600827912482</v>
      </c>
      <c r="DO63" s="3"/>
      <c r="DP63">
        <f>U63+AF63+AQ63+BB63+BM63+BX63+CI63+CT63+DE63</f>
        <v>2257</v>
      </c>
      <c r="DR63" s="3">
        <f>(DP63/DP62)-1</f>
        <v>0.041051660516605137</v>
      </c>
      <c r="DS63" s="1"/>
      <c r="DT63">
        <f>DM63-DM62</f>
        <v>-41</v>
      </c>
      <c r="DV63">
        <v>4</v>
      </c>
      <c r="DW63" t="s">
        <v>36</v>
      </c>
      <c r="DX63" s="8">
        <v>43914</v>
      </c>
      <c r="DY63">
        <v>2</v>
      </c>
      <c r="EA63">
        <v>0</v>
      </c>
      <c r="EG63" t="s">
        <v>102</v>
      </c>
      <c r="EH63">
        <f>EH62+$EI$10+1</f>
        <v>2711</v>
      </c>
      <c r="EI63">
        <f>EH63+$EI$10</f>
        <v>2763</v>
      </c>
      <c r="FU63">
        <v>30</v>
      </c>
      <c r="FV63">
        <v>110</v>
      </c>
      <c r="FW63">
        <v>90</v>
      </c>
      <c r="GA63" s="10">
        <v>43903</v>
      </c>
      <c r="GB63">
        <v>2179</v>
      </c>
      <c r="GC63">
        <f>(GB63/GB62)-1</f>
        <v>0.31028262176788934</v>
      </c>
      <c r="GV63" s="8">
        <v>43967</v>
      </c>
      <c r="GW63">
        <v>1</v>
      </c>
      <c r="GX63" t="s">
        <v>31</v>
      </c>
      <c r="GY63">
        <v>9</v>
      </c>
      <c r="HB63">
        <v>279</v>
      </c>
      <c r="HC63">
        <v>0</v>
      </c>
      <c r="HF63">
        <v>51</v>
      </c>
    </row>
    <row r="64" spans="1:325" ht="20.25">
      <c r="C64">
        <f>H63*D64</f>
        <v>1064.0000000110495</v>
      </c>
      <c r="D64">
        <f>0.038411552347</f>
        <v>0.038411552347</v>
      </c>
      <c r="E64" t="s">
        <v>38</v>
      </c>
      <c r="F64" s="10">
        <v>43952</v>
      </c>
      <c r="G64" s="2">
        <f>H64*15</f>
        <v>431459.99999983364</v>
      </c>
      <c r="H64">
        <f>H63+C64</f>
        <v>28763.999999988908</v>
      </c>
      <c r="I64">
        <v>28764</v>
      </c>
      <c r="J64">
        <v>1103461</v>
      </c>
      <c r="K64">
        <f>O64+Z64+AK64+AV64+BG64+BR64+CC64+CN64+CY64</f>
        <v>28764</v>
      </c>
      <c r="L64" s="3">
        <f>(K64/K63)-1</f>
        <v>0.038411552346570454</v>
      </c>
      <c r="O64">
        <f>O63+51</f>
        <v>1014</v>
      </c>
      <c r="Q64" s="5">
        <f>O64-O63</f>
        <v>51</v>
      </c>
      <c r="R64">
        <f>R63+1</f>
        <v>22</v>
      </c>
      <c r="S64" s="5">
        <f>R64-R63</f>
        <v>1</v>
      </c>
      <c r="T64" s="5"/>
      <c r="U64">
        <f>U63+6</f>
        <v>86</v>
      </c>
      <c r="W64" s="5">
        <f>U64-U63</f>
        <v>6</v>
      </c>
      <c r="Z64">
        <f>Z63+330</f>
        <v>5931</v>
      </c>
      <c r="AB64" s="5">
        <f>Z64-Z63</f>
        <v>330</v>
      </c>
      <c r="AC64">
        <f>AC63+-3</f>
        <v>413</v>
      </c>
      <c r="AD64" s="5">
        <f>AC64-AC63</f>
        <v>-3</v>
      </c>
      <c r="AE64" s="5"/>
      <c r="AF64">
        <f>AF63+17</f>
        <v>715</v>
      </c>
      <c r="AH64" s="5">
        <f>AF64-AF63</f>
        <v>17</v>
      </c>
      <c r="AK64">
        <f>AK63+364</f>
        <v>7900</v>
      </c>
      <c r="AM64" s="5">
        <f>AK64-AK63</f>
        <v>364</v>
      </c>
      <c r="AN64">
        <f>AN63+-24</f>
        <v>533</v>
      </c>
      <c r="AO64" s="5">
        <f>AN64-AN63</f>
        <v>-24</v>
      </c>
      <c r="AP64" s="5"/>
      <c r="AQ64">
        <f>AQ63+21</f>
        <v>533</v>
      </c>
      <c r="AS64" s="5">
        <f>AQ64-AQ63</f>
        <v>21</v>
      </c>
      <c r="AU64" s="4">
        <f>AV64</f>
        <v>11612</v>
      </c>
      <c r="AV64">
        <f>AV63+318</f>
        <v>11612</v>
      </c>
      <c r="AX64" s="5">
        <f>AV64-AV63</f>
        <v>318</v>
      </c>
      <c r="AY64">
        <f>AY63+-28</f>
        <v>537</v>
      </c>
      <c r="AZ64" s="5">
        <f>AY64-AY63</f>
        <v>-28</v>
      </c>
      <c r="BA64" s="5"/>
      <c r="BB64">
        <f>BB63+29</f>
        <v>839</v>
      </c>
      <c r="BD64" s="5">
        <f>BB64-BB63</f>
        <v>29</v>
      </c>
      <c r="BG64">
        <f>BG63+30</f>
        <v>687</v>
      </c>
      <c r="BI64" s="5">
        <f>BG64-BG63</f>
        <v>30</v>
      </c>
      <c r="BJ64">
        <f>BJ63+-2</f>
        <v>40</v>
      </c>
      <c r="BK64" s="5">
        <f>BJ64-BJ63</f>
        <v>-2</v>
      </c>
      <c r="BL64" s="5"/>
      <c r="BM64">
        <f>BM63+3</f>
        <v>82</v>
      </c>
      <c r="BO64" s="5">
        <f>BM64-BM63</f>
        <v>3</v>
      </c>
      <c r="BR64">
        <f>BR63+9</f>
        <v>446</v>
      </c>
      <c r="BT64" s="5">
        <f>BR64-BR63</f>
        <v>9</v>
      </c>
      <c r="BU64">
        <f>BU63+2</f>
        <v>6</v>
      </c>
      <c r="BV64" s="5">
        <f>BU64-BU63</f>
        <v>2</v>
      </c>
      <c r="BW64" s="5"/>
      <c r="BX64">
        <f>BX63+2</f>
        <v>38</v>
      </c>
      <c r="BZ64" s="5">
        <f>BX64-BX63</f>
        <v>2</v>
      </c>
      <c r="CC64">
        <f>CC63+14</f>
        <v>200</v>
      </c>
      <c r="CE64" s="5">
        <f>CC64-CC63</f>
        <v>14</v>
      </c>
      <c r="CF64">
        <f>CF63+-1</f>
        <v>3</v>
      </c>
      <c r="CG64" s="5">
        <f>CF64-CF63</f>
        <v>-1</v>
      </c>
      <c r="CH64" s="5"/>
      <c r="CI64">
        <f>CI63+0</f>
        <v>2</v>
      </c>
      <c r="CK64" s="5">
        <f>CI64-CI63</f>
        <v>0</v>
      </c>
      <c r="CN64">
        <f>CN63+39</f>
        <v>603</v>
      </c>
      <c r="CP64" s="5">
        <f>CN64-CN63</f>
        <v>39</v>
      </c>
      <c r="CQ64">
        <f>CQ63+-3</f>
        <v>38</v>
      </c>
      <c r="CR64" s="5">
        <f>CQ64-CQ63</f>
        <v>-3</v>
      </c>
      <c r="CS64" s="5"/>
      <c r="CT64">
        <f>CT63+6</f>
        <v>42</v>
      </c>
      <c r="CV64" s="5">
        <f>CT64-CT63</f>
        <v>6</v>
      </c>
      <c r="CY64">
        <f>CY63+-91</f>
        <v>371</v>
      </c>
      <c r="DA64" s="5">
        <f>CY64-CY63</f>
        <v>-91</v>
      </c>
      <c r="DC64" s="5"/>
      <c r="DD64" s="5"/>
      <c r="DE64">
        <f>DE63+-2</f>
        <v>2</v>
      </c>
      <c r="DG64" s="5">
        <f>DE64-DE63</f>
        <v>-2</v>
      </c>
      <c r="DJ64">
        <f>O64+Z64+AK64+AV64+BG64+BR64+CC64+CN64+CY64</f>
        <v>28764</v>
      </c>
      <c r="DL64" s="5">
        <f>DJ64-DJ63</f>
        <v>1064</v>
      </c>
      <c r="DM64">
        <f>R64+AC64+AN64+AY64+BJ64+BU64+CF64+CQ64+DB64</f>
        <v>1592</v>
      </c>
      <c r="DN64" s="3">
        <f>(DM64/DM63)-1</f>
        <v>-0.035151515151515156</v>
      </c>
      <c r="DO64" s="3"/>
      <c r="DP64">
        <f>U64+AF64+AQ64+BB64+BM64+BX64+CI64+CT64+DE64</f>
        <v>2339</v>
      </c>
      <c r="DR64" s="3">
        <f>(DP64/DP63)-1</f>
        <v>0.036331413380593647</v>
      </c>
      <c r="DS64" s="1"/>
      <c r="DT64">
        <f>DM64-DM63</f>
        <v>-58</v>
      </c>
      <c r="DV64">
        <v>4</v>
      </c>
      <c r="DW64" t="s">
        <v>36</v>
      </c>
      <c r="DX64" s="8">
        <v>43915</v>
      </c>
      <c r="DY64">
        <v>4</v>
      </c>
      <c r="EA64">
        <v>0</v>
      </c>
      <c r="FU64">
        <v>1</v>
      </c>
      <c r="FV64">
        <v>1</v>
      </c>
      <c r="FW64">
        <v>390</v>
      </c>
      <c r="GA64" s="10">
        <v>43904</v>
      </c>
      <c r="GB64">
        <v>2727</v>
      </c>
      <c r="GC64">
        <f>(GB64/GB63)-1</f>
        <v>0.25149150986691149</v>
      </c>
      <c r="GV64" s="8">
        <v>43968</v>
      </c>
      <c r="GW64">
        <v>1</v>
      </c>
      <c r="GX64" t="s">
        <v>31</v>
      </c>
      <c r="GY64">
        <v>9</v>
      </c>
      <c r="HB64">
        <v>279</v>
      </c>
      <c r="HC64">
        <v>0</v>
      </c>
      <c r="HF64">
        <v>51</v>
      </c>
    </row>
    <row r="65" spans="1:325" ht="20.25">
      <c r="C65">
        <f>H64*D65</f>
        <v>523.00000000041462</v>
      </c>
      <c r="D65">
        <f>0.018182450285099998</f>
        <v>0.018182450285099998</v>
      </c>
      <c r="E65" t="s">
        <v>40</v>
      </c>
      <c r="F65" s="10">
        <v>43953</v>
      </c>
      <c r="G65" s="2">
        <f>H65*15</f>
        <v>439304.99999983981</v>
      </c>
      <c r="H65">
        <f>H64+C65</f>
        <v>29286.999999989323</v>
      </c>
      <c r="I65">
        <v>29287</v>
      </c>
      <c r="J65">
        <v>1132539</v>
      </c>
      <c r="K65">
        <f>O65+Z65+AK65+AV65+BG65+BR65+CC65+CN65+CY65</f>
        <v>29287</v>
      </c>
      <c r="L65" s="3">
        <f>(K65/K64)-1</f>
        <v>0.018182450285078477</v>
      </c>
      <c r="O65">
        <f>O64+22</f>
        <v>1036</v>
      </c>
      <c r="Q65" s="5">
        <f>O65-O64</f>
        <v>22</v>
      </c>
      <c r="R65">
        <f>R64+0</f>
        <v>22</v>
      </c>
      <c r="S65" s="5">
        <f>R65-R64</f>
        <v>0</v>
      </c>
      <c r="T65" s="5"/>
      <c r="U65">
        <f>U64+3</f>
        <v>89</v>
      </c>
      <c r="W65" s="5">
        <f>U65-U64</f>
        <v>3</v>
      </c>
      <c r="Z65">
        <f>Z64+181</f>
        <v>6112</v>
      </c>
      <c r="AB65" s="5">
        <f>Z65-Z64</f>
        <v>181</v>
      </c>
      <c r="AC65">
        <f>AC64+-13</f>
        <v>400</v>
      </c>
      <c r="AD65" s="5">
        <f>AC65-AC64</f>
        <v>-13</v>
      </c>
      <c r="AE65" s="5"/>
      <c r="AF65">
        <f>AF64+26</f>
        <v>741</v>
      </c>
      <c r="AH65" s="5">
        <f>AF65-AF64</f>
        <v>26</v>
      </c>
      <c r="AK65">
        <f>AK64+124</f>
        <v>8024</v>
      </c>
      <c r="AM65" s="5">
        <f>AK65-AK64</f>
        <v>124</v>
      </c>
      <c r="AN65">
        <f>AN64+-10</f>
        <v>523</v>
      </c>
      <c r="AO65" s="5">
        <f>AN65-AN64</f>
        <v>-10</v>
      </c>
      <c r="AP65" s="5"/>
      <c r="AQ65">
        <f>AQ64+32</f>
        <v>565</v>
      </c>
      <c r="AS65" s="5">
        <f>AQ65-AQ64</f>
        <v>32</v>
      </c>
      <c r="AU65" s="4">
        <f>AV65</f>
        <v>11801</v>
      </c>
      <c r="AV65">
        <f>AV64+189</f>
        <v>11801</v>
      </c>
      <c r="AX65" s="5">
        <f>AV65-AV64</f>
        <v>189</v>
      </c>
      <c r="AY65">
        <f>AY64+-12</f>
        <v>525</v>
      </c>
      <c r="AZ65" s="5">
        <f>AY65-AY64</f>
        <v>-12</v>
      </c>
      <c r="BA65" s="5"/>
      <c r="BB65">
        <f>BB64+26</f>
        <v>865</v>
      </c>
      <c r="BD65" s="5">
        <f>BB65-BB64</f>
        <v>26</v>
      </c>
      <c r="BG65">
        <f>BG64+20</f>
        <v>707</v>
      </c>
      <c r="BI65" s="5">
        <f>BG65-BG64</f>
        <v>20</v>
      </c>
      <c r="BJ65">
        <f>BJ64+-3</f>
        <v>37</v>
      </c>
      <c r="BK65" s="5">
        <f>BJ65-BJ64</f>
        <v>-3</v>
      </c>
      <c r="BL65" s="5"/>
      <c r="BM65">
        <f>BM64+9</f>
        <v>91</v>
      </c>
      <c r="BO65" s="5">
        <f>BM65-BM64</f>
        <v>9</v>
      </c>
      <c r="BR65">
        <f>BR64+15</f>
        <v>461</v>
      </c>
      <c r="BT65" s="5">
        <f>BR65-BR64</f>
        <v>15</v>
      </c>
      <c r="BU65">
        <f>BU64+0</f>
        <v>6</v>
      </c>
      <c r="BV65" s="5">
        <f>BU65-BU64</f>
        <v>0</v>
      </c>
      <c r="BW65" s="5"/>
      <c r="BX65">
        <f>BX64+1</f>
        <v>39</v>
      </c>
      <c r="BZ65" s="5">
        <f>BX65-BX64</f>
        <v>1</v>
      </c>
      <c r="CC65">
        <f>CC64+11</f>
        <v>211</v>
      </c>
      <c r="CE65" s="5">
        <f>CC65-CC64</f>
        <v>11</v>
      </c>
      <c r="CF65">
        <f>CF64+2</f>
        <v>5</v>
      </c>
      <c r="CG65" s="5">
        <f>CF65-CF64</f>
        <v>2</v>
      </c>
      <c r="CH65" s="5"/>
      <c r="CI65">
        <f>CI64+0</f>
        <v>2</v>
      </c>
      <c r="CK65" s="5">
        <f>CI65-CI64</f>
        <v>0</v>
      </c>
      <c r="CN65">
        <f>CN64+20</f>
        <v>623</v>
      </c>
      <c r="CP65" s="5">
        <f>CN65-CN64</f>
        <v>20</v>
      </c>
      <c r="CQ65">
        <f>CQ64+-5</f>
        <v>33</v>
      </c>
      <c r="CR65" s="5">
        <f>CQ65-CQ64</f>
        <v>-5</v>
      </c>
      <c r="CS65" s="5"/>
      <c r="CT65">
        <f>CT64+1</f>
        <v>43</v>
      </c>
      <c r="CV65" s="5">
        <f>CT65-CT64</f>
        <v>1</v>
      </c>
      <c r="CY65">
        <f>CY64+-59</f>
        <v>312</v>
      </c>
      <c r="DA65" s="5">
        <f>CY65-CY64</f>
        <v>-59</v>
      </c>
      <c r="DC65" s="5"/>
      <c r="DD65" s="5"/>
      <c r="DE65">
        <f>DE64+-1</f>
        <v>1</v>
      </c>
      <c r="DG65" s="5">
        <f>DE65-DE64</f>
        <v>-1</v>
      </c>
      <c r="DJ65">
        <f>O65+Z65+AK65+AV65+BG65+BR65+CC65+CN65+CY65</f>
        <v>29287</v>
      </c>
      <c r="DL65" s="5">
        <f>DJ65-DJ64</f>
        <v>523</v>
      </c>
      <c r="DM65">
        <f>R65+AC65+AN65+AY65+BJ65+BU65+CF65+CQ65+DB65</f>
        <v>1551</v>
      </c>
      <c r="DN65" s="3">
        <f>(DM65/DM64)-1</f>
        <v>-0.025753768844221092</v>
      </c>
      <c r="DO65" s="3"/>
      <c r="DP65">
        <f>U65+AF65+AQ65+BB65+BM65+BX65+CI65+CT65+DE65</f>
        <v>2436</v>
      </c>
      <c r="DR65" s="3">
        <f>(DP65/DP64)-1</f>
        <v>0.041470713980333418</v>
      </c>
      <c r="DS65" s="1"/>
      <c r="DT65">
        <f>DM65-DM64</f>
        <v>-41</v>
      </c>
      <c r="DV65">
        <v>4</v>
      </c>
      <c r="DW65" t="s">
        <v>36</v>
      </c>
      <c r="DX65" s="8">
        <v>43916</v>
      </c>
      <c r="DY65">
        <v>4</v>
      </c>
      <c r="EA65">
        <v>0</v>
      </c>
      <c r="FU65">
        <v>2</v>
      </c>
      <c r="FV65">
        <v>22</v>
      </c>
      <c r="FW65">
        <v>90</v>
      </c>
      <c r="GA65" s="10">
        <v>43905</v>
      </c>
      <c r="GB65">
        <v>3499</v>
      </c>
      <c r="GC65">
        <f>(GB65/GB64)-1</f>
        <v>0.28309497616428314</v>
      </c>
      <c r="GV65" s="8">
        <v>43969</v>
      </c>
      <c r="GW65">
        <v>1</v>
      </c>
      <c r="GX65" t="s">
        <v>31</v>
      </c>
      <c r="GY65">
        <v>9</v>
      </c>
      <c r="HB65">
        <v>279</v>
      </c>
      <c r="HC65">
        <v>0</v>
      </c>
      <c r="HF65">
        <v>52</v>
      </c>
    </row>
    <row r="66" spans="1:325" ht="20.25">
      <c r="C66">
        <f>H65*D66</f>
        <v>319.99999999997959</v>
      </c>
      <c r="D66">
        <f>0.010926349574899999</f>
        <v>0.010926349574899999</v>
      </c>
      <c r="E66" t="s">
        <v>30</v>
      </c>
      <c r="F66" s="10">
        <v>43954</v>
      </c>
      <c r="G66" s="2">
        <f>H66*15</f>
        <v>444104.99999983952</v>
      </c>
      <c r="H66">
        <f>H65+C66</f>
        <v>29606.999999989301</v>
      </c>
      <c r="I66">
        <v>29287</v>
      </c>
      <c r="J66">
        <v>1158040</v>
      </c>
      <c r="K66">
        <f>O66+Z66+AK66+AV66+BG66+BR66+CC66+CN66+CY66</f>
        <v>29607</v>
      </c>
      <c r="L66" s="3">
        <f>(K66/K65)-1</f>
        <v>0.010926349574896799</v>
      </c>
      <c r="O66">
        <f>O65+6</f>
        <v>1042</v>
      </c>
      <c r="Q66" s="5">
        <f>O66-O65</f>
        <v>6</v>
      </c>
      <c r="R66">
        <f>R65+-2</f>
        <v>20</v>
      </c>
      <c r="S66" s="5">
        <f>R66-R65</f>
        <v>-2</v>
      </c>
      <c r="T66" s="5"/>
      <c r="U66">
        <f>U65+3</f>
        <v>92</v>
      </c>
      <c r="W66" s="5">
        <f>U66-U65</f>
        <v>3</v>
      </c>
      <c r="Z66">
        <f>Z65+31</f>
        <v>6143</v>
      </c>
      <c r="AB66" s="5">
        <f>Z66-Z65</f>
        <v>31</v>
      </c>
      <c r="AC66">
        <f>AC65+-32</f>
        <v>368</v>
      </c>
      <c r="AD66" s="5">
        <f>AC66-AC65</f>
        <v>-32</v>
      </c>
      <c r="AE66" s="5"/>
      <c r="AF66">
        <f>AF65+15</f>
        <v>756</v>
      </c>
      <c r="AH66" s="5">
        <f>AF66-AF65</f>
        <v>15</v>
      </c>
      <c r="AK66">
        <f>AK65+43</f>
        <v>8067</v>
      </c>
      <c r="AM66" s="5">
        <f>AK66-AK65</f>
        <v>43</v>
      </c>
      <c r="AN66">
        <f>AN65+-18</f>
        <v>505</v>
      </c>
      <c r="AO66" s="5">
        <f>AN66-AN65</f>
        <v>-18</v>
      </c>
      <c r="AP66" s="5"/>
      <c r="AQ66">
        <f>AQ65+15</f>
        <v>580</v>
      </c>
      <c r="AS66" s="5">
        <f>AQ66-AQ65</f>
        <v>15</v>
      </c>
      <c r="AU66" s="4">
        <f>AV66</f>
        <v>12023</v>
      </c>
      <c r="AV66">
        <f>AV65+222</f>
        <v>12023</v>
      </c>
      <c r="AX66" s="5">
        <f>AV66-AV65</f>
        <v>222</v>
      </c>
      <c r="AY66">
        <f>AY65+-11</f>
        <v>514</v>
      </c>
      <c r="AZ66" s="5">
        <f>AY66-AY65</f>
        <v>-11</v>
      </c>
      <c r="BA66" s="5"/>
      <c r="BB66">
        <f>BB65+21</f>
        <v>886</v>
      </c>
      <c r="BD66" s="5">
        <f>BB66-BB65</f>
        <v>21</v>
      </c>
      <c r="BG66">
        <f>BG65+3</f>
        <v>710</v>
      </c>
      <c r="BI66" s="5">
        <f>BG66-BG65</f>
        <v>3</v>
      </c>
      <c r="BJ66">
        <f>BJ65+3</f>
        <v>40</v>
      </c>
      <c r="BK66" s="5">
        <f>BJ66-BJ65</f>
        <v>3</v>
      </c>
      <c r="BL66" s="5"/>
      <c r="BM66">
        <f>BM65+2</f>
        <v>93</v>
      </c>
      <c r="BO66" s="5">
        <f>BM66-BM65</f>
        <v>2</v>
      </c>
      <c r="BR66">
        <f>BR65+2</f>
        <v>463</v>
      </c>
      <c r="BT66" s="5">
        <f>BR66-BR65</f>
        <v>2</v>
      </c>
      <c r="BU66">
        <f>BU65+0</f>
        <v>6</v>
      </c>
      <c r="BV66" s="5">
        <f>BU66-BU65</f>
        <v>0</v>
      </c>
      <c r="BW66" s="5"/>
      <c r="BX66">
        <f>BX65+1</f>
        <v>40</v>
      </c>
      <c r="BZ66" s="5">
        <f>BX66-BX65</f>
        <v>1</v>
      </c>
      <c r="CC66">
        <f>CC65+3</f>
        <v>214</v>
      </c>
      <c r="CE66" s="5">
        <f>CC66-CC65</f>
        <v>3</v>
      </c>
      <c r="CF66">
        <f>CF65+-1</f>
        <v>4</v>
      </c>
      <c r="CG66" s="5">
        <f>CF66-CF65</f>
        <v>-1</v>
      </c>
      <c r="CH66" s="5"/>
      <c r="CI66">
        <f>CI65+1</f>
        <v>3</v>
      </c>
      <c r="CK66" s="5">
        <f>CI66-CI65</f>
        <v>1</v>
      </c>
      <c r="CN66">
        <f>CN65+10</f>
        <v>633</v>
      </c>
      <c r="CP66" s="5">
        <f>CN66-CN65</f>
        <v>10</v>
      </c>
      <c r="CQ66">
        <f>CQ65+-2</f>
        <v>31</v>
      </c>
      <c r="CR66" s="5">
        <f>CQ66-CQ65</f>
        <v>-2</v>
      </c>
      <c r="CS66" s="5"/>
      <c r="CT66">
        <f>CT65+0</f>
        <v>43</v>
      </c>
      <c r="CV66" s="5">
        <f>CT66-CT65</f>
        <v>0</v>
      </c>
      <c r="CY66">
        <f>CY65+0</f>
        <v>312</v>
      </c>
      <c r="DA66" s="5">
        <f>CY66-CY65</f>
        <v>0</v>
      </c>
      <c r="DC66" s="5"/>
      <c r="DD66" s="5"/>
      <c r="DE66">
        <f>DE65+1</f>
        <v>2</v>
      </c>
      <c r="DG66" s="5">
        <f>DE66-DE65</f>
        <v>1</v>
      </c>
      <c r="DJ66">
        <f>O66+Z66+AK66+AV66+BG66+BR66+CC66+CN66+CY66</f>
        <v>29607</v>
      </c>
      <c r="DL66" s="5">
        <f>DJ66-DJ65</f>
        <v>320</v>
      </c>
      <c r="DM66">
        <f>R66+AC66+AN66+AY66+BJ66+BU66+CF66+CQ66+DB66</f>
        <v>1488</v>
      </c>
      <c r="DN66" s="3">
        <f>(DM66/DM65)-1</f>
        <v>-0.040618955512572552</v>
      </c>
      <c r="DO66" s="3"/>
      <c r="DP66">
        <f>U66+AF66+AQ66+BB66+BM66+BX66+CI66+CT66+DE66</f>
        <v>2495</v>
      </c>
      <c r="DR66" s="3">
        <f>(DP66/DP65)-1</f>
        <v>0.024220032840722494</v>
      </c>
      <c r="DS66" s="1"/>
      <c r="DT66">
        <f>DM66-DM65</f>
        <v>-63</v>
      </c>
      <c r="DV66">
        <v>4</v>
      </c>
      <c r="DW66" t="s">
        <v>36</v>
      </c>
      <c r="DX66" s="8">
        <v>43917</v>
      </c>
      <c r="DY66">
        <v>6</v>
      </c>
      <c r="EA66">
        <v>0</v>
      </c>
      <c r="FU66">
        <v>3</v>
      </c>
      <c r="FV66">
        <v>33</v>
      </c>
      <c r="FW66">
        <v>490</v>
      </c>
      <c r="GA66" s="10">
        <v>43906</v>
      </c>
      <c r="GB66">
        <v>4632</v>
      </c>
      <c r="GC66">
        <f>(GB66/GB65)-1</f>
        <v>0.32380680194341238</v>
      </c>
      <c r="GV66" s="8">
        <v>43970</v>
      </c>
      <c r="GW66">
        <v>1</v>
      </c>
      <c r="GX66" t="s">
        <v>31</v>
      </c>
      <c r="GY66">
        <v>10</v>
      </c>
      <c r="HB66">
        <v>310</v>
      </c>
      <c r="HC66">
        <v>0</v>
      </c>
      <c r="HF66">
        <v>61</v>
      </c>
    </row>
    <row r="67" spans="1:325" ht="20.25">
      <c r="C67">
        <f>H66*D67</f>
        <v>366.00000000077733</v>
      </c>
      <c r="D67">
        <f>0.0123619414328</f>
        <v>0.0123619414328</v>
      </c>
      <c r="E67" t="s">
        <v>33</v>
      </c>
      <c r="F67" s="10">
        <v>43955</v>
      </c>
      <c r="G67" s="2">
        <f>H67*15</f>
        <v>449594.99999985116</v>
      </c>
      <c r="H67">
        <f>H66+C67</f>
        <v>29972.999999990079</v>
      </c>
      <c r="I67">
        <v>29973</v>
      </c>
      <c r="J67">
        <v>1180375</v>
      </c>
      <c r="K67">
        <f>O67+Z67+AK67+AV67+BG67+BR67+CC67+CN67+CY67</f>
        <v>29973</v>
      </c>
      <c r="L67" s="3">
        <f>(K67/K66)-1</f>
        <v>0.012361941432769363</v>
      </c>
      <c r="O67">
        <f>O66+5</f>
        <v>1047</v>
      </c>
      <c r="Q67" s="5">
        <f>O67-O66</f>
        <v>5</v>
      </c>
      <c r="R67">
        <f>R66+3</f>
        <v>23</v>
      </c>
      <c r="S67" s="5">
        <f>R67-R66</f>
        <v>3</v>
      </c>
      <c r="T67" s="5"/>
      <c r="U67">
        <f>U66+2</f>
        <v>94</v>
      </c>
      <c r="W67" s="5">
        <f>U67-U66</f>
        <v>2</v>
      </c>
      <c r="Z67">
        <f>Z66+30</f>
        <v>6173</v>
      </c>
      <c r="AB67" s="5">
        <f>Z67-Z66</f>
        <v>30</v>
      </c>
      <c r="AC67">
        <f>AC66+-6</f>
        <v>362</v>
      </c>
      <c r="AD67" s="5">
        <f>AC67-AC66</f>
        <v>-6</v>
      </c>
      <c r="AE67" s="5"/>
      <c r="AF67">
        <f>AF66+17</f>
        <v>773</v>
      </c>
      <c r="AH67" s="5">
        <f>AF67-AF66</f>
        <v>17</v>
      </c>
      <c r="AK67">
        <f>AK66+43</f>
        <v>8110</v>
      </c>
      <c r="AM67" s="5">
        <f>AK67-AK66</f>
        <v>43</v>
      </c>
      <c r="AN67">
        <f>AN66+-18</f>
        <v>487</v>
      </c>
      <c r="AO67" s="5">
        <f>AN67-AN66</f>
        <v>-18</v>
      </c>
      <c r="AP67" s="5"/>
      <c r="AQ67">
        <f>AQ66+15</f>
        <v>595</v>
      </c>
      <c r="AS67" s="5">
        <f>AQ67-AQ66</f>
        <v>15</v>
      </c>
      <c r="AU67" s="4">
        <f>AV67</f>
        <v>12245</v>
      </c>
      <c r="AV67">
        <f>AV66+222</f>
        <v>12245</v>
      </c>
      <c r="AX67" s="5">
        <f>AV67-AV66</f>
        <v>222</v>
      </c>
      <c r="AY67">
        <f>AY66+-7</f>
        <v>507</v>
      </c>
      <c r="AZ67" s="5">
        <f>AY67-AY66</f>
        <v>-7</v>
      </c>
      <c r="BA67" s="5"/>
      <c r="BB67">
        <f>BB66+24</f>
        <v>910</v>
      </c>
      <c r="BD67" s="5">
        <f>BB67-BB66</f>
        <v>24</v>
      </c>
      <c r="BG67">
        <f>BG66+3</f>
        <v>713</v>
      </c>
      <c r="BI67" s="5">
        <f>BG67-BG66</f>
        <v>3</v>
      </c>
      <c r="BJ67">
        <f>BJ66+1</f>
        <v>41</v>
      </c>
      <c r="BK67" s="5">
        <f>BJ67-BJ66</f>
        <v>1</v>
      </c>
      <c r="BL67" s="5"/>
      <c r="BM67">
        <f>BM66+0</f>
        <v>93</v>
      </c>
      <c r="BO67" s="5">
        <f>BM67-BM66</f>
        <v>0</v>
      </c>
      <c r="BR67">
        <f>BR66+1</f>
        <v>464</v>
      </c>
      <c r="BT67" s="5">
        <f>BR67-BR66</f>
        <v>1</v>
      </c>
      <c r="BU67">
        <f>BU66+0</f>
        <v>6</v>
      </c>
      <c r="BV67" s="5">
        <f>BU67-BU66</f>
        <v>0</v>
      </c>
      <c r="BW67" s="5"/>
      <c r="BX67">
        <f>BX66+0</f>
        <v>40</v>
      </c>
      <c r="BZ67" s="5">
        <f>BX67-BX66</f>
        <v>0</v>
      </c>
      <c r="CC67">
        <f>CC66+3</f>
        <v>217</v>
      </c>
      <c r="CE67" s="5">
        <f>CC67-CC66</f>
        <v>3</v>
      </c>
      <c r="CF67">
        <f>CF66+1</f>
        <v>5</v>
      </c>
      <c r="CG67" s="5">
        <f>CF67-CF66</f>
        <v>1</v>
      </c>
      <c r="CH67" s="5"/>
      <c r="CI67">
        <f>CI66+0</f>
        <v>3</v>
      </c>
      <c r="CK67" s="5">
        <f>CI67-CI66</f>
        <v>0</v>
      </c>
      <c r="CN67">
        <f>CN66+8</f>
        <v>641</v>
      </c>
      <c r="CP67" s="5">
        <f>CN67-CN66</f>
        <v>8</v>
      </c>
      <c r="CQ67">
        <f>CQ66+2</f>
        <v>33</v>
      </c>
      <c r="CR67" s="5">
        <f>CQ67-CQ66</f>
        <v>2</v>
      </c>
      <c r="CS67" s="5"/>
      <c r="CT67">
        <f>CT66+2</f>
        <v>45</v>
      </c>
      <c r="CV67" s="5">
        <f>CT67-CT66</f>
        <v>2</v>
      </c>
      <c r="CY67">
        <f>CY66+51</f>
        <v>363</v>
      </c>
      <c r="DA67" s="5">
        <f>CY67-CY66</f>
        <v>51</v>
      </c>
      <c r="DC67" s="5"/>
      <c r="DD67" s="5"/>
      <c r="DE67">
        <f>DE66+1</f>
        <v>3</v>
      </c>
      <c r="DG67" s="5">
        <f>DE67-DE66</f>
        <v>1</v>
      </c>
      <c r="DJ67">
        <f>O67+Z67+AK67+AV67+BG67+BR67+CC67+CN67+CY67</f>
        <v>29973</v>
      </c>
      <c r="DL67" s="5">
        <f>DJ67-DJ66</f>
        <v>366</v>
      </c>
      <c r="DM67">
        <f>R67+AC67+AN67+AY67+BJ67+BU67+CF67+CQ67+DB67</f>
        <v>1464</v>
      </c>
      <c r="DN67" s="3">
        <f>(DM67/DM66)-1</f>
        <v>-0.016129032258064502</v>
      </c>
      <c r="DO67" s="3"/>
      <c r="DP67">
        <f>U67+AF67+AQ67+BB67+BM67+BX67+CI67+CT67+DE67</f>
        <v>2556</v>
      </c>
      <c r="DR67" s="3">
        <f>(DP67/DP66)-1</f>
        <v>0.024448897795591229</v>
      </c>
      <c r="DS67" s="1"/>
      <c r="DT67">
        <f>DM67-DM66</f>
        <v>-24</v>
      </c>
      <c r="DV67">
        <v>4</v>
      </c>
      <c r="DW67" t="s">
        <v>36</v>
      </c>
      <c r="DX67" s="8">
        <v>43918</v>
      </c>
      <c r="DY67">
        <v>6</v>
      </c>
      <c r="EA67">
        <v>0</v>
      </c>
      <c r="FU67">
        <v>4</v>
      </c>
      <c r="FV67">
        <v>22</v>
      </c>
      <c r="FW67">
        <v>90</v>
      </c>
      <c r="GA67" s="10">
        <v>43907</v>
      </c>
      <c r="GB67">
        <v>6421</v>
      </c>
      <c r="GC67">
        <f>(GB67/GB66)-1</f>
        <v>0.38622625215889461</v>
      </c>
      <c r="GV67" s="8">
        <v>43971</v>
      </c>
      <c r="GW67">
        <v>1</v>
      </c>
      <c r="GX67" t="s">
        <v>31</v>
      </c>
      <c r="GY67">
        <v>10</v>
      </c>
      <c r="HB67">
        <v>310</v>
      </c>
      <c r="HC67">
        <v>0</v>
      </c>
      <c r="HF67">
        <v>62</v>
      </c>
      <c r="HG67">
        <v>1919</v>
      </c>
    </row>
    <row r="68" spans="1:325" ht="20.25">
      <c r="C68">
        <f>H67*D68</f>
        <v>648.00000000096691</v>
      </c>
      <c r="D68">
        <f>0.0216194575118</f>
        <v>0.0216194575118</v>
      </c>
      <c r="E68" t="s">
        <v>34</v>
      </c>
      <c r="F68" s="10">
        <v>43956</v>
      </c>
      <c r="G68" s="2">
        <f>H68*15</f>
        <v>459314.99999986571</v>
      </c>
      <c r="H68">
        <f>H67+C68</f>
        <v>30620.999999991047</v>
      </c>
      <c r="I68">
        <v>30621</v>
      </c>
      <c r="J68">
        <v>1204351</v>
      </c>
      <c r="K68">
        <f>O68+Z68+AK68+AV68+BG68+BR68+CC68+CN68+CY68</f>
        <v>30621</v>
      </c>
      <c r="L68" s="3">
        <f>(K68/K67)-1</f>
        <v>0.021619457511760531</v>
      </c>
      <c r="O68">
        <f>O67+18</f>
        <v>1065</v>
      </c>
      <c r="Q68" s="5">
        <f>O68-O67</f>
        <v>18</v>
      </c>
      <c r="R68">
        <f>R67+1</f>
        <v>24</v>
      </c>
      <c r="S68" s="5">
        <f>R68-R67</f>
        <v>1</v>
      </c>
      <c r="T68" s="5"/>
      <c r="U68">
        <f>U67+1</f>
        <v>95</v>
      </c>
      <c r="W68" s="5">
        <f>U68-U67</f>
        <v>1</v>
      </c>
      <c r="Z68">
        <f>Z67+178</f>
        <v>6351</v>
      </c>
      <c r="AB68" s="5">
        <f>Z68-Z67</f>
        <v>178</v>
      </c>
      <c r="AC68">
        <f>AC67+7</f>
        <v>369</v>
      </c>
      <c r="AD68" s="5">
        <f>AC68-AC67</f>
        <v>7</v>
      </c>
      <c r="AE68" s="5"/>
      <c r="AF68">
        <f>AF67+31</f>
        <v>804</v>
      </c>
      <c r="AH68" s="5">
        <f>AF68-AF67</f>
        <v>31</v>
      </c>
      <c r="AK68">
        <f>AK67+227</f>
        <v>8337</v>
      </c>
      <c r="AM68" s="5">
        <f>AK68-AK67</f>
        <v>227</v>
      </c>
      <c r="AN68">
        <f>AN67+17</f>
        <v>504</v>
      </c>
      <c r="AO68" s="5">
        <f>AN68-AN67</f>
        <v>17</v>
      </c>
      <c r="AP68" s="5"/>
      <c r="AQ68">
        <f>AQ67+15</f>
        <v>610</v>
      </c>
      <c r="AS68" s="5">
        <f>AQ68-AQ67</f>
        <v>15</v>
      </c>
      <c r="AU68" s="4">
        <f>AV68</f>
        <v>12360</v>
      </c>
      <c r="AV68">
        <f>AV67+115</f>
        <v>12360</v>
      </c>
      <c r="AX68" s="5">
        <f>AV68-AV67</f>
        <v>115</v>
      </c>
      <c r="AY68">
        <f>AY67+12</f>
        <v>519</v>
      </c>
      <c r="AZ68" s="5">
        <f>AY68-AY67</f>
        <v>12</v>
      </c>
      <c r="BA68" s="5"/>
      <c r="BB68">
        <f>BB67+25</f>
        <v>935</v>
      </c>
      <c r="BD68" s="5">
        <f>BB68-BB67</f>
        <v>25</v>
      </c>
      <c r="BG68">
        <f>BG67+21</f>
        <v>734</v>
      </c>
      <c r="BI68" s="5">
        <f>BG68-BG67</f>
        <v>21</v>
      </c>
      <c r="BJ68">
        <f>BJ67+1</f>
        <v>42</v>
      </c>
      <c r="BK68" s="5">
        <f>BJ68-BJ67</f>
        <v>1</v>
      </c>
      <c r="BL68" s="5"/>
      <c r="BM68">
        <f>BM67+2</f>
        <v>95</v>
      </c>
      <c r="BO68" s="5">
        <f>BM68-BM67</f>
        <v>2</v>
      </c>
      <c r="BR68">
        <f>BR67+38</f>
        <v>502</v>
      </c>
      <c r="BT68" s="5">
        <f>BR68-BR67</f>
        <v>38</v>
      </c>
      <c r="BU68">
        <f>BU67+1</f>
        <v>7</v>
      </c>
      <c r="BV68" s="5">
        <f>BU68-BU67</f>
        <v>1</v>
      </c>
      <c r="BW68" s="5"/>
      <c r="BX68">
        <f>BX67+3</f>
        <v>43</v>
      </c>
      <c r="BZ68" s="5">
        <f>BX68-BX67</f>
        <v>3</v>
      </c>
      <c r="CC68">
        <f>CC67+6</f>
        <v>223</v>
      </c>
      <c r="CE68" s="5">
        <f>CC68-CC67</f>
        <v>6</v>
      </c>
      <c r="CF68">
        <f>CF67+-4</f>
        <v>1</v>
      </c>
      <c r="CG68" s="5">
        <f>CF68-CF67</f>
        <v>-4</v>
      </c>
      <c r="CH68" s="5"/>
      <c r="CI68">
        <f>CI67+1</f>
        <v>4</v>
      </c>
      <c r="CK68" s="5">
        <f>CI68-CI67</f>
        <v>1</v>
      </c>
      <c r="CN68">
        <f>CN67+40</f>
        <v>681</v>
      </c>
      <c r="CP68" s="5">
        <f>CN68-CN67</f>
        <v>40</v>
      </c>
      <c r="CQ68">
        <f>CQ67+1</f>
        <v>34</v>
      </c>
      <c r="CR68" s="5">
        <f>CQ68-CQ67</f>
        <v>1</v>
      </c>
      <c r="CS68" s="5"/>
      <c r="CT68">
        <f>CT67+0</f>
        <v>45</v>
      </c>
      <c r="CV68" s="5">
        <f>CT68-CT67</f>
        <v>0</v>
      </c>
      <c r="CY68">
        <f>CY67+5</f>
        <v>368</v>
      </c>
      <c r="DA68" s="5">
        <f>CY68-CY67</f>
        <v>5</v>
      </c>
      <c r="DC68" s="5"/>
      <c r="DD68" s="5"/>
      <c r="DE68">
        <f>DE67+-1</f>
        <v>2</v>
      </c>
      <c r="DG68" s="5">
        <f>DE68-DE67</f>
        <v>-1</v>
      </c>
      <c r="DJ68">
        <f>O68+Z68+AK68+AV68+BG68+BR68+CC68+CN68+CY68</f>
        <v>30621</v>
      </c>
      <c r="DL68" s="5">
        <f>DJ68-DJ67</f>
        <v>648</v>
      </c>
      <c r="DM68">
        <f>R68+AC68+AN68+AY68+BJ68+BU68+CF68+CQ68+DB68</f>
        <v>1500</v>
      </c>
      <c r="DN68" s="3">
        <f>(DM68/DM67)-1</f>
        <v>0.024590163934426146</v>
      </c>
      <c r="DO68" s="3"/>
      <c r="DP68">
        <f>U68+AF68+AQ68+BB68+BM68+BX68+CI68+CT68+DE68</f>
        <v>2633</v>
      </c>
      <c r="DR68" s="3">
        <f>(DP68/DP67)-1</f>
        <v>0.030125195618153411</v>
      </c>
      <c r="DS68" s="1"/>
      <c r="DT68">
        <f>DM68-DM67</f>
        <v>36</v>
      </c>
      <c r="DV68">
        <v>4</v>
      </c>
      <c r="DW68" t="s">
        <v>36</v>
      </c>
      <c r="DX68" s="8">
        <v>43919</v>
      </c>
      <c r="DY68">
        <v>6</v>
      </c>
      <c r="EA68">
        <v>0</v>
      </c>
      <c r="FU68">
        <v>5</v>
      </c>
      <c r="FV68">
        <v>55</v>
      </c>
      <c r="FW68">
        <v>290</v>
      </c>
      <c r="GA68" s="10">
        <v>43908</v>
      </c>
      <c r="GB68">
        <v>7783</v>
      </c>
      <c r="GC68">
        <f>(GB68/GB67)-1</f>
        <v>0.21211649275813738</v>
      </c>
      <c r="GV68" s="8">
        <v>43972</v>
      </c>
      <c r="GW68">
        <v>1</v>
      </c>
      <c r="GX68" t="s">
        <v>31</v>
      </c>
      <c r="GY68">
        <v>10</v>
      </c>
      <c r="HB68">
        <v>310</v>
      </c>
      <c r="HC68">
        <v>0</v>
      </c>
      <c r="HF68">
        <v>66</v>
      </c>
      <c r="HG68">
        <v>2043</v>
      </c>
    </row>
    <row r="69" spans="1:325" ht="20.25">
      <c r="C69">
        <f>H68*D69</f>
        <v>373.99999999856567</v>
      </c>
      <c r="D69">
        <f>0.012213840175000001</f>
        <v>0.012213840175000001</v>
      </c>
      <c r="E69" t="s">
        <v>35</v>
      </c>
      <c r="F69" s="10">
        <v>43957</v>
      </c>
      <c r="G69" s="2">
        <f>H69*15</f>
        <v>464924.99999984418</v>
      </c>
      <c r="H69">
        <f>H68+C69</f>
        <v>30994.999999989614</v>
      </c>
      <c r="I69">
        <v>30995</v>
      </c>
      <c r="J69">
        <v>1229331</v>
      </c>
      <c r="K69">
        <f>O69+Z69+AK69+AV69+BG69+BR69+CC69+CN69+CY69</f>
        <v>30995</v>
      </c>
      <c r="L69" s="3">
        <f>(K69/K68)-1</f>
        <v>0.012213840175043345</v>
      </c>
      <c r="O69">
        <f>O68+20</f>
        <v>1085</v>
      </c>
      <c r="Q69" s="5">
        <f>O69-O68</f>
        <v>20</v>
      </c>
      <c r="R69">
        <f>R68+-3</f>
        <v>21</v>
      </c>
      <c r="S69" s="5">
        <f>R69-R68</f>
        <v>-3</v>
      </c>
      <c r="T69" s="5"/>
      <c r="U69">
        <f>U68+5</f>
        <v>100</v>
      </c>
      <c r="W69" s="5">
        <f>U69-U68</f>
        <v>5</v>
      </c>
      <c r="Z69">
        <f>Z68+179</f>
        <v>6530</v>
      </c>
      <c r="AB69" s="5">
        <f>Z69-Z68</f>
        <v>179</v>
      </c>
      <c r="AC69">
        <f>AC68+-8</f>
        <v>361</v>
      </c>
      <c r="AD69" s="5">
        <f>AC69-AC68</f>
        <v>-8</v>
      </c>
      <c r="AE69" s="5"/>
      <c r="AF69">
        <f>AF68+38</f>
        <v>842</v>
      </c>
      <c r="AH69" s="5">
        <f>AF69-AF68</f>
        <v>38</v>
      </c>
      <c r="AK69">
        <f>AK68+82</f>
        <v>8419</v>
      </c>
      <c r="AM69" s="5">
        <f>AK69-AK68</f>
        <v>82</v>
      </c>
      <c r="AN69">
        <f>AN68+-17</f>
        <v>487</v>
      </c>
      <c r="AO69" s="5">
        <f>AN69-AN68</f>
        <v>-17</v>
      </c>
      <c r="AP69" s="5"/>
      <c r="AQ69">
        <f>AQ68+19</f>
        <v>629</v>
      </c>
      <c r="AS69" s="5">
        <f>AQ69-AQ68</f>
        <v>19</v>
      </c>
      <c r="AU69" s="4">
        <f>AV69</f>
        <v>12455</v>
      </c>
      <c r="AV69">
        <f>AV68+95</f>
        <v>12455</v>
      </c>
      <c r="AX69" s="5">
        <f>AV69-AV68</f>
        <v>95</v>
      </c>
      <c r="AY69">
        <f>AY68+-30</f>
        <v>489</v>
      </c>
      <c r="AZ69" s="5">
        <f>AY69-AY68</f>
        <v>-30</v>
      </c>
      <c r="BA69" s="5"/>
      <c r="BB69">
        <f>BB68+17</f>
        <v>952</v>
      </c>
      <c r="BD69" s="5">
        <f>BB69-BB68</f>
        <v>17</v>
      </c>
      <c r="BG69">
        <f>BG68+8</f>
        <v>742</v>
      </c>
      <c r="BI69" s="5">
        <f>BG69-BG68</f>
        <v>8</v>
      </c>
      <c r="BJ69">
        <f>BJ68+0</f>
        <v>42</v>
      </c>
      <c r="BK69" s="5">
        <f>BJ69-BJ68</f>
        <v>0</v>
      </c>
      <c r="BL69" s="5"/>
      <c r="BM69">
        <f>BM68+3</f>
        <v>98</v>
      </c>
      <c r="BO69" s="5">
        <f>BM69-BM68</f>
        <v>3</v>
      </c>
      <c r="BR69">
        <f>BR68+11</f>
        <v>513</v>
      </c>
      <c r="BT69" s="5">
        <f>BR69-BR68</f>
        <v>11</v>
      </c>
      <c r="BU69">
        <f>BU68+-1</f>
        <v>6</v>
      </c>
      <c r="BV69" s="5">
        <f>BU69-BU68</f>
        <v>-1</v>
      </c>
      <c r="BW69" s="5"/>
      <c r="BX69">
        <f>BX68+1</f>
        <v>44</v>
      </c>
      <c r="BZ69" s="5">
        <f>BX69-BX68</f>
        <v>1</v>
      </c>
      <c r="CC69">
        <f>CC68+19</f>
        <v>242</v>
      </c>
      <c r="CE69" s="5">
        <f>CC69-CC68</f>
        <v>19</v>
      </c>
      <c r="CF69">
        <f>CF68+2</f>
        <v>3</v>
      </c>
      <c r="CG69" s="5">
        <f>CF69-CF68</f>
        <v>2</v>
      </c>
      <c r="CH69" s="5"/>
      <c r="CI69">
        <f>CI68+0</f>
        <v>4</v>
      </c>
      <c r="CK69" s="5">
        <f>CI69-CI68</f>
        <v>0</v>
      </c>
      <c r="CN69">
        <f>CN68+23</f>
        <v>704</v>
      </c>
      <c r="CP69" s="5">
        <f>CN69-CN68</f>
        <v>23</v>
      </c>
      <c r="CQ69">
        <f>CQ68+2</f>
        <v>36</v>
      </c>
      <c r="CR69" s="5">
        <f>CQ69-CQ68</f>
        <v>2</v>
      </c>
      <c r="CS69" s="5"/>
      <c r="CT69">
        <f>CT68+2</f>
        <v>47</v>
      </c>
      <c r="CV69" s="5">
        <f>CT69-CT68</f>
        <v>2</v>
      </c>
      <c r="CY69">
        <f>CY68+-63</f>
        <v>305</v>
      </c>
      <c r="DA69" s="5">
        <f>CY69-CY68</f>
        <v>-63</v>
      </c>
      <c r="DC69" s="5"/>
      <c r="DD69" s="5"/>
      <c r="DE69">
        <f>DE68+0</f>
        <v>2</v>
      </c>
      <c r="DG69" s="5">
        <f>DE69-DE68</f>
        <v>0</v>
      </c>
      <c r="DJ69">
        <f>O69+Z69+AK69+AV69+BG69+BR69+CC69+CN69+CY69</f>
        <v>30995</v>
      </c>
      <c r="DL69" s="5">
        <f>DJ69-DJ68</f>
        <v>374</v>
      </c>
      <c r="DM69">
        <f>R69+AC69+AN69+AY69+BJ69+BU69+CF69+CQ69+DB69</f>
        <v>1445</v>
      </c>
      <c r="DN69" s="3">
        <f>(DM69/DM68)-1</f>
        <v>-0.036666666666666625</v>
      </c>
      <c r="DO69" s="3"/>
      <c r="DP69">
        <f>U69+AF69+AQ69+BB69+BM69+BX69+CI69+CT69+DE69</f>
        <v>2718</v>
      </c>
      <c r="DR69" s="3">
        <f>(DP69/DP68)-1</f>
        <v>0.032282567413596697</v>
      </c>
      <c r="DS69" s="1"/>
      <c r="DT69">
        <f>DM69-DM68</f>
        <v>-55</v>
      </c>
      <c r="DV69">
        <v>4</v>
      </c>
      <c r="DW69" t="s">
        <v>36</v>
      </c>
      <c r="DX69" s="8">
        <v>43920</v>
      </c>
      <c r="DY69">
        <v>9</v>
      </c>
      <c r="EA69">
        <v>0</v>
      </c>
      <c r="FU69">
        <v>6</v>
      </c>
      <c r="FV69">
        <v>22</v>
      </c>
      <c r="FW69">
        <v>22</v>
      </c>
      <c r="GA69" s="10">
        <v>43909</v>
      </c>
      <c r="GB69">
        <v>13677</v>
      </c>
      <c r="GC69">
        <f>(GB69/GB68)-1</f>
        <v>0.75729153282795836</v>
      </c>
      <c r="GV69" s="8">
        <v>43973</v>
      </c>
      <c r="GW69">
        <v>1</v>
      </c>
      <c r="GX69" t="s">
        <v>31</v>
      </c>
      <c r="GY69">
        <v>10</v>
      </c>
      <c r="HB69">
        <v>310</v>
      </c>
      <c r="HC69">
        <v>0</v>
      </c>
      <c r="HF69">
        <v>69</v>
      </c>
      <c r="HG69">
        <v>2136</v>
      </c>
    </row>
    <row r="70" spans="1:325" ht="20.25">
      <c r="C70">
        <f>H69*D70</f>
        <v>788.99999999971408</v>
      </c>
      <c r="D70">
        <f>0.025455718664299999</f>
        <v>0.025455718664299999</v>
      </c>
      <c r="E70" t="s">
        <v>37</v>
      </c>
      <c r="F70" s="10">
        <v>43958</v>
      </c>
      <c r="G70" s="2">
        <f>H70*15</f>
        <v>476759.99999983987</v>
      </c>
      <c r="H70">
        <f>H69+C70</f>
        <v>31783.999999989326</v>
      </c>
      <c r="I70">
        <v>31784</v>
      </c>
      <c r="J70">
        <v>1257023</v>
      </c>
      <c r="K70">
        <f>O70+Z70+AK70+AV70+BG70+BR70+CC70+CN70+CY70</f>
        <v>31784</v>
      </c>
      <c r="L70" s="3">
        <f>(K70/K69)-1</f>
        <v>0.025455718664300742</v>
      </c>
      <c r="O70">
        <f>O69+29</f>
        <v>1114</v>
      </c>
      <c r="Q70" s="5">
        <f>O70-O69</f>
        <v>29</v>
      </c>
      <c r="R70">
        <f>R69+-1</f>
        <v>20</v>
      </c>
      <c r="S70" s="5">
        <f>R70-R69</f>
        <v>-1</v>
      </c>
      <c r="T70" s="5"/>
      <c r="U70">
        <f>U69+4</f>
        <v>104</v>
      </c>
      <c r="W70" s="5">
        <f>U70-U69</f>
        <v>4</v>
      </c>
      <c r="Z70">
        <f>Z69+220</f>
        <v>6750</v>
      </c>
      <c r="AB70" s="5">
        <f>Z70-Z69</f>
        <v>220</v>
      </c>
      <c r="AC70">
        <f>AC69+-21</f>
        <v>340</v>
      </c>
      <c r="AD70" s="5">
        <f>AC70-AC69</f>
        <v>-21</v>
      </c>
      <c r="AE70" s="5"/>
      <c r="AF70">
        <f>AF69+25</f>
        <v>867</v>
      </c>
      <c r="AH70" s="5">
        <f>AF70-AF69</f>
        <v>25</v>
      </c>
      <c r="AK70">
        <f>AK69+259</f>
        <v>8678</v>
      </c>
      <c r="AM70" s="5">
        <f>AK70-AK69</f>
        <v>259</v>
      </c>
      <c r="AN70">
        <f>AN69+-19</f>
        <v>468</v>
      </c>
      <c r="AO70" s="5">
        <f>AN70-AN69</f>
        <v>-19</v>
      </c>
      <c r="AP70" s="5"/>
      <c r="AQ70">
        <f>AQ69+14</f>
        <v>643</v>
      </c>
      <c r="AS70" s="5">
        <f>AQ70-AQ69</f>
        <v>14</v>
      </c>
      <c r="AU70" s="4">
        <f>AV70</f>
        <v>12679</v>
      </c>
      <c r="AV70">
        <f>AV69+224</f>
        <v>12679</v>
      </c>
      <c r="AX70" s="5">
        <f>AV70-AV69</f>
        <v>224</v>
      </c>
      <c r="AY70">
        <f>AY69+-20</f>
        <v>469</v>
      </c>
      <c r="AZ70" s="5">
        <f>AY70-AY69</f>
        <v>-20</v>
      </c>
      <c r="BA70" s="5"/>
      <c r="BB70">
        <f>BB69+25</f>
        <v>977</v>
      </c>
      <c r="BD70" s="5">
        <f>BB70-BB69</f>
        <v>25</v>
      </c>
      <c r="BG70">
        <f>BG69+22</f>
        <v>764</v>
      </c>
      <c r="BI70" s="5">
        <f>BG70-BG69</f>
        <v>22</v>
      </c>
      <c r="BJ70">
        <f>BJ69+3</f>
        <v>45</v>
      </c>
      <c r="BK70" s="5">
        <f>BJ70-BJ69</f>
        <v>3</v>
      </c>
      <c r="BL70" s="5"/>
      <c r="BM70">
        <f>BM69+6</f>
        <v>104</v>
      </c>
      <c r="BO70" s="5">
        <f>BM70-BM69</f>
        <v>6</v>
      </c>
      <c r="BR70">
        <f>BR69+9</f>
        <v>522</v>
      </c>
      <c r="BT70" s="5">
        <f>BR70-BR69</f>
        <v>9</v>
      </c>
      <c r="BU70">
        <f>BU69+-1</f>
        <v>5</v>
      </c>
      <c r="BV70" s="5">
        <f>BU70-BU69</f>
        <v>-1</v>
      </c>
      <c r="BW70" s="5"/>
      <c r="BX70">
        <f>BX69+2</f>
        <v>46</v>
      </c>
      <c r="BZ70" s="5">
        <f>BX70-BX69</f>
        <v>2</v>
      </c>
      <c r="CC70">
        <f>CC69+8</f>
        <v>250</v>
      </c>
      <c r="CE70" s="5">
        <f>CC70-CC69</f>
        <v>8</v>
      </c>
      <c r="CF70">
        <f>CF69+0</f>
        <v>3</v>
      </c>
      <c r="CG70" s="5">
        <f>CF70-CF69</f>
        <v>0</v>
      </c>
      <c r="CH70" s="5"/>
      <c r="CI70">
        <f>CI69+1</f>
        <v>5</v>
      </c>
      <c r="CK70" s="5">
        <f>CI70-CI69</f>
        <v>1</v>
      </c>
      <c r="CN70">
        <f>CN69+38</f>
        <v>742</v>
      </c>
      <c r="CP70" s="5">
        <f>CN70-CN69</f>
        <v>38</v>
      </c>
      <c r="CQ70">
        <f>CQ69+-1</f>
        <v>35</v>
      </c>
      <c r="CR70" s="5">
        <f>CQ70-CQ69</f>
        <v>-1</v>
      </c>
      <c r="CS70" s="5"/>
      <c r="CT70">
        <f>CT69+2</f>
        <v>49</v>
      </c>
      <c r="CV70" s="5">
        <f>CT70-CT69</f>
        <v>2</v>
      </c>
      <c r="CY70">
        <f>CY69+-20</f>
        <v>285</v>
      </c>
      <c r="DA70" s="5">
        <f>CY70-CY69</f>
        <v>-20</v>
      </c>
      <c r="DC70" s="5"/>
      <c r="DD70" s="5"/>
      <c r="DE70">
        <f>DE69+0</f>
        <v>2</v>
      </c>
      <c r="DG70" s="5">
        <f>DE70-DE69</f>
        <v>0</v>
      </c>
      <c r="DJ70">
        <f>O70+Z70+AK70+AV70+BG70+BR70+CC70+CN70+CY70</f>
        <v>31784</v>
      </c>
      <c r="DL70" s="5">
        <f>DJ70-DJ69</f>
        <v>789</v>
      </c>
      <c r="DM70">
        <f>R70+AC70+AN70+AY70+BJ70+BU70+CF70+CQ70+DB70</f>
        <v>1385</v>
      </c>
      <c r="DN70" s="3">
        <f>(DM70/DM69)-1</f>
        <v>-0.041522491349480939</v>
      </c>
      <c r="DO70" s="3"/>
      <c r="DP70">
        <f>U70+AF70+AQ70+BB70+BM70+BX70+CI70+CT70+DE70</f>
        <v>2797</v>
      </c>
      <c r="DR70" s="3">
        <f>(DP70/DP69)-1</f>
        <v>0.029065489330389882</v>
      </c>
      <c r="DS70" s="1"/>
      <c r="DT70">
        <f>DM70-DM69</f>
        <v>-60</v>
      </c>
      <c r="DV70">
        <v>4</v>
      </c>
      <c r="DW70" t="s">
        <v>36</v>
      </c>
      <c r="DX70" s="8">
        <v>43921</v>
      </c>
      <c r="DY70">
        <v>10</v>
      </c>
      <c r="EA70">
        <v>0</v>
      </c>
      <c r="FU70">
        <v>7</v>
      </c>
      <c r="FV70">
        <v>77</v>
      </c>
      <c r="FW70">
        <v>390</v>
      </c>
      <c r="GA70" s="10">
        <v>43910</v>
      </c>
      <c r="GB70">
        <v>19100</v>
      </c>
      <c r="GC70">
        <f>(GB70/GB69)-1</f>
        <v>0.39650508152372588</v>
      </c>
      <c r="GV70" s="8">
        <v>43974</v>
      </c>
      <c r="GW70">
        <v>1</v>
      </c>
      <c r="GX70" t="s">
        <v>31</v>
      </c>
      <c r="GY70">
        <v>10</v>
      </c>
      <c r="HB70">
        <v>310</v>
      </c>
      <c r="HC70">
        <v>0</v>
      </c>
      <c r="HF70">
        <v>71</v>
      </c>
      <c r="HG70">
        <v>2197</v>
      </c>
    </row>
    <row r="71" spans="1:325" ht="20.25">
      <c r="C71">
        <f>H70*D71</f>
        <v>627.0000000098695</v>
      </c>
      <c r="D71">
        <f>0.019726906620000002</f>
        <v>0.019726906620000002</v>
      </c>
      <c r="E71" t="s">
        <v>38</v>
      </c>
      <c r="F71" s="10">
        <v>43959</v>
      </c>
      <c r="G71" s="2">
        <f>H71*15</f>
        <v>486164.99999998795</v>
      </c>
      <c r="H71">
        <f>H70+C71</f>
        <v>32410.999999999196</v>
      </c>
      <c r="I71">
        <v>32411</v>
      </c>
      <c r="J71">
        <v>1283929</v>
      </c>
      <c r="K71">
        <f>O71+Z71+AK71+AV71+BG71+BR71+CC71+CN71+CY71</f>
        <v>32411</v>
      </c>
      <c r="L71" s="3">
        <f>(K71/K70)-1</f>
        <v>0.019726906619682794</v>
      </c>
      <c r="O71">
        <f>O70+16</f>
        <v>1130</v>
      </c>
      <c r="Q71" s="5">
        <f>O71-O70</f>
        <v>16</v>
      </c>
      <c r="R71">
        <f>R70+-3</f>
        <v>17</v>
      </c>
      <c r="S71" s="5">
        <f>R71-R70</f>
        <v>-3</v>
      </c>
      <c r="T71" s="5"/>
      <c r="U71">
        <f>U70+-1</f>
        <v>103</v>
      </c>
      <c r="W71" s="5">
        <f>U71-U70</f>
        <v>-1</v>
      </c>
      <c r="Z71">
        <f>Z70+154</f>
        <v>6904</v>
      </c>
      <c r="AB71" s="5">
        <f>Z71-Z70</f>
        <v>154</v>
      </c>
      <c r="AC71">
        <f>AC70+8</f>
        <v>348</v>
      </c>
      <c r="AD71" s="5">
        <f>AC71-AC70</f>
        <v>8</v>
      </c>
      <c r="AE71" s="5"/>
      <c r="AF71">
        <f>AF70+17</f>
        <v>884</v>
      </c>
      <c r="AH71" s="5">
        <f>AF71-AF70</f>
        <v>17</v>
      </c>
      <c r="AK71">
        <f>AK70+209</f>
        <v>8887</v>
      </c>
      <c r="AM71" s="5">
        <f>AK71-AK70</f>
        <v>209</v>
      </c>
      <c r="AN71">
        <f>AN70+-20</f>
        <v>448</v>
      </c>
      <c r="AO71" s="5">
        <f>AN71-AN70</f>
        <v>-20</v>
      </c>
      <c r="AP71" s="5"/>
      <c r="AQ71">
        <f>AQ70+26</f>
        <v>669</v>
      </c>
      <c r="AS71" s="5">
        <f>AQ71-AQ70</f>
        <v>26</v>
      </c>
      <c r="AU71" s="4">
        <f>AV71</f>
        <v>12879</v>
      </c>
      <c r="AV71">
        <f>AV70+200</f>
        <v>12879</v>
      </c>
      <c r="AX71" s="5">
        <f>AV71-AV70</f>
        <v>200</v>
      </c>
      <c r="AY71">
        <f>AY70+-30</f>
        <v>439</v>
      </c>
      <c r="AZ71" s="5">
        <f>AY71-AY70</f>
        <v>-30</v>
      </c>
      <c r="BA71" s="5"/>
      <c r="BB71">
        <f>BB70+29</f>
        <v>1006</v>
      </c>
      <c r="BD71" s="5">
        <f>BB71-BB70</f>
        <v>29</v>
      </c>
      <c r="BG71">
        <f>BG70+11</f>
        <v>775</v>
      </c>
      <c r="BI71" s="5">
        <f>BG71-BG70</f>
        <v>11</v>
      </c>
      <c r="BJ71">
        <f>BJ70+-4</f>
        <v>41</v>
      </c>
      <c r="BK71" s="5">
        <f>BJ71-BJ70</f>
        <v>-4</v>
      </c>
      <c r="BL71" s="5"/>
      <c r="BM71">
        <f>BM70+4</f>
        <v>108</v>
      </c>
      <c r="BO71" s="5">
        <f>BM71-BM70</f>
        <v>4</v>
      </c>
      <c r="BR71">
        <f>BR70+8</f>
        <v>530</v>
      </c>
      <c r="BT71" s="5">
        <f>BR71-BR70</f>
        <v>8</v>
      </c>
      <c r="BU71">
        <f>BU70+0</f>
        <v>5</v>
      </c>
      <c r="BV71" s="5">
        <f>BU71-BU70</f>
        <v>0</v>
      </c>
      <c r="BW71" s="5"/>
      <c r="BX71">
        <f>BX70+0</f>
        <v>46</v>
      </c>
      <c r="BZ71" s="5">
        <f>BX71-BX70</f>
        <v>0</v>
      </c>
      <c r="CC71">
        <f>CC70+-1</f>
        <v>249</v>
      </c>
      <c r="CE71" s="5">
        <f>CC71-CC70</f>
        <v>-1</v>
      </c>
      <c r="CF71">
        <f>CF70+-1</f>
        <v>2</v>
      </c>
      <c r="CG71" s="5">
        <f>CF71-CF70</f>
        <v>-1</v>
      </c>
      <c r="CH71" s="5"/>
      <c r="CI71">
        <f>CI70+0</f>
        <v>5</v>
      </c>
      <c r="CK71" s="5">
        <f>CI71-CI70</f>
        <v>0</v>
      </c>
      <c r="CN71">
        <f>CN70+13</f>
        <v>755</v>
      </c>
      <c r="CP71" s="5">
        <f>CN71-CN70</f>
        <v>13</v>
      </c>
      <c r="CQ71">
        <f>CQ70+1</f>
        <v>36</v>
      </c>
      <c r="CR71" s="5">
        <f>CQ71-CQ70</f>
        <v>1</v>
      </c>
      <c r="CS71" s="5"/>
      <c r="CT71">
        <f>CT70+1</f>
        <v>50</v>
      </c>
      <c r="CV71" s="5">
        <f>CT71-CT70</f>
        <v>1</v>
      </c>
      <c r="CY71">
        <f>CY70+17</f>
        <v>302</v>
      </c>
      <c r="DA71" s="5">
        <f>CY71-CY70</f>
        <v>17</v>
      </c>
      <c r="DC71" s="5"/>
      <c r="DD71" s="5"/>
      <c r="DE71">
        <f>DE70+1</f>
        <v>3</v>
      </c>
      <c r="DG71" s="5">
        <f>DE71-DE70</f>
        <v>1</v>
      </c>
      <c r="DJ71">
        <f>O71+Z71+AK71+AV71+BG71+BR71+CC71+CN71+CY71</f>
        <v>32411</v>
      </c>
      <c r="DL71" s="5">
        <f>DJ71-DJ70</f>
        <v>627</v>
      </c>
      <c r="DM71">
        <f>R71+AC71+AN71+AY71+BJ71+BU71+CF71+CQ71+DB71</f>
        <v>1336</v>
      </c>
      <c r="DN71" s="3">
        <f>(DM71/DM70)-1</f>
        <v>-0.035379061371841103</v>
      </c>
      <c r="DO71" s="3"/>
      <c r="DP71">
        <f>U71+AF71+AQ71+BB71+BM71+BX71+CI71+CT71+DE71</f>
        <v>2874</v>
      </c>
      <c r="DR71" s="3">
        <f>(DP71/DP70)-1</f>
        <v>0.027529495888451994</v>
      </c>
      <c r="DS71" s="1"/>
      <c r="DT71">
        <f>DM71-DM70</f>
        <v>-49</v>
      </c>
      <c r="DV71">
        <v>4</v>
      </c>
      <c r="DW71" t="s">
        <v>36</v>
      </c>
      <c r="DX71" s="8">
        <v>43922</v>
      </c>
      <c r="DY71">
        <v>10</v>
      </c>
      <c r="EA71">
        <v>0</v>
      </c>
      <c r="FU71">
        <v>8</v>
      </c>
      <c r="FW71">
        <v>22</v>
      </c>
      <c r="GA71" s="10">
        <v>43911</v>
      </c>
      <c r="GB71">
        <v>25489</v>
      </c>
      <c r="GC71">
        <f>(GB71/GB70)-1</f>
        <v>0.33450261780104706</v>
      </c>
      <c r="GV71" s="8">
        <v>43975</v>
      </c>
      <c r="GW71">
        <v>1</v>
      </c>
      <c r="GX71" t="s">
        <v>31</v>
      </c>
      <c r="GY71">
        <v>10</v>
      </c>
      <c r="HB71">
        <v>310</v>
      </c>
      <c r="HC71">
        <v>0</v>
      </c>
      <c r="HF71">
        <v>73</v>
      </c>
      <c r="HG71">
        <v>2259</v>
      </c>
    </row>
    <row r="72" spans="1:325" ht="20.25">
      <c r="C72">
        <f>H71*D72</f>
        <v>572.99999999907311</v>
      </c>
      <c r="D72">
        <f>0.017679182993399999</f>
        <v>0.017679182993399999</v>
      </c>
      <c r="E72" t="s">
        <v>40</v>
      </c>
      <c r="F72" s="10">
        <v>43960</v>
      </c>
      <c r="G72" s="2">
        <f>H72*15</f>
        <v>494759.99999997404</v>
      </c>
      <c r="H72">
        <f>H71+C72</f>
        <v>32983.999999998268</v>
      </c>
      <c r="I72">
        <v>32984</v>
      </c>
      <c r="J72">
        <v>1309550</v>
      </c>
      <c r="K72">
        <f>O72+Z72+AK72+AV72+BG72+BR72+CC72+CN72+CY72</f>
        <v>32984</v>
      </c>
      <c r="L72" s="3">
        <f>(K72/K71)-1</f>
        <v>0.017679182993428189</v>
      </c>
      <c r="O72">
        <f>O71+12</f>
        <v>1142</v>
      </c>
      <c r="Q72" s="5">
        <f>O72-O71</f>
        <v>12</v>
      </c>
      <c r="R72">
        <f>R71+-2</f>
        <v>15</v>
      </c>
      <c r="S72" s="5">
        <f>R72-R71</f>
        <v>-2</v>
      </c>
      <c r="T72" s="5"/>
      <c r="U72">
        <f>U71+2</f>
        <v>105</v>
      </c>
      <c r="W72" s="5">
        <f>U72-U71</f>
        <v>2</v>
      </c>
      <c r="Z72">
        <f>Z71+201</f>
        <v>7105</v>
      </c>
      <c r="AB72" s="5">
        <f>Z72-Z71</f>
        <v>201</v>
      </c>
      <c r="AC72">
        <f>AC71+-9</f>
        <v>339</v>
      </c>
      <c r="AD72" s="5">
        <f>AC72-AC71</f>
        <v>-9</v>
      </c>
      <c r="AE72" s="5"/>
      <c r="AF72">
        <f>AF71+17</f>
        <v>901</v>
      </c>
      <c r="AH72" s="5">
        <f>AF72-AF71</f>
        <v>17</v>
      </c>
      <c r="AK72">
        <f>AK71+204</f>
        <v>9091</v>
      </c>
      <c r="AM72" s="5">
        <f>AK72-AK71</f>
        <v>204</v>
      </c>
      <c r="AN72">
        <f>AN71+-11</f>
        <v>437</v>
      </c>
      <c r="AO72" s="5">
        <f>AN72-AN71</f>
        <v>-11</v>
      </c>
      <c r="AP72" s="5"/>
      <c r="AQ72">
        <f>AQ71+17</f>
        <v>686</v>
      </c>
      <c r="AS72" s="5">
        <f>AQ72-AQ71</f>
        <v>17</v>
      </c>
      <c r="AU72" s="4">
        <f>AV72</f>
        <v>13030</v>
      </c>
      <c r="AV72">
        <f>AV71+151</f>
        <v>13030</v>
      </c>
      <c r="AX72" s="5">
        <f>AV72-AV71</f>
        <v>151</v>
      </c>
      <c r="AY72">
        <f>AY71+-15</f>
        <v>424</v>
      </c>
      <c r="AZ72" s="5">
        <f>AY72-AY71</f>
        <v>-15</v>
      </c>
      <c r="BA72" s="5"/>
      <c r="BB72">
        <f>BB71+11</f>
        <v>1017</v>
      </c>
      <c r="BD72" s="5">
        <f>BB72-BB71</f>
        <v>11</v>
      </c>
      <c r="BG72">
        <f>BG71+14</f>
        <v>789</v>
      </c>
      <c r="BI72" s="5">
        <f>BG72-BG71</f>
        <v>14</v>
      </c>
      <c r="BJ72">
        <f>BJ71+3</f>
        <v>44</v>
      </c>
      <c r="BK72" s="5">
        <f>BJ72-BJ71</f>
        <v>3</v>
      </c>
      <c r="BL72" s="5"/>
      <c r="BM72">
        <f>BM71+6</f>
        <v>114</v>
      </c>
      <c r="BO72" s="5">
        <f>BM72-BM71</f>
        <v>6</v>
      </c>
      <c r="BR72">
        <f>BR71+10</f>
        <v>540</v>
      </c>
      <c r="BT72" s="5">
        <f>BR72-BR71</f>
        <v>10</v>
      </c>
      <c r="BU72">
        <f>BU71+0</f>
        <v>5</v>
      </c>
      <c r="BV72" s="5">
        <f>BU72-BU71</f>
        <v>0</v>
      </c>
      <c r="BW72" s="5"/>
      <c r="BX72">
        <f>BX71+0</f>
        <v>46</v>
      </c>
      <c r="BZ72" s="5">
        <f>BX72-BX71</f>
        <v>0</v>
      </c>
      <c r="CC72">
        <f>CC71+17</f>
        <v>266</v>
      </c>
      <c r="CE72" s="5">
        <f>CC72-CC71</f>
        <v>17</v>
      </c>
      <c r="CF72">
        <f>CF71+2</f>
        <v>4</v>
      </c>
      <c r="CG72" s="5">
        <f>CF72-CF71</f>
        <v>2</v>
      </c>
      <c r="CH72" s="5"/>
      <c r="CI72">
        <f>CI71+1</f>
        <v>6</v>
      </c>
      <c r="CK72" s="5">
        <f>CI72-CI71</f>
        <v>1</v>
      </c>
      <c r="CN72">
        <f>CN71+20</f>
        <v>775</v>
      </c>
      <c r="CP72" s="5">
        <f>CN72-CN71</f>
        <v>20</v>
      </c>
      <c r="CQ72">
        <f>CQ71+-3</f>
        <v>33</v>
      </c>
      <c r="CR72" s="5">
        <f>CQ72-CQ71</f>
        <v>-3</v>
      </c>
      <c r="CS72" s="5"/>
      <c r="CT72">
        <f>CT71+4</f>
        <v>54</v>
      </c>
      <c r="CV72" s="5">
        <f>CT72-CT71</f>
        <v>4</v>
      </c>
      <c r="CY72">
        <f>CY71+-56</f>
        <v>246</v>
      </c>
      <c r="DA72" s="5">
        <f>CY72-CY71</f>
        <v>-56</v>
      </c>
      <c r="DC72" s="5"/>
      <c r="DD72" s="5"/>
      <c r="DE72">
        <f>DE71+0</f>
        <v>3</v>
      </c>
      <c r="DG72" s="5">
        <f>DE72-DE71</f>
        <v>0</v>
      </c>
      <c r="DJ72">
        <f>O72+Z72+AK72+AV72+BG72+BR72+CC72+CN72+CY72</f>
        <v>32984</v>
      </c>
      <c r="DL72" s="5">
        <f>DJ72-DJ71</f>
        <v>573</v>
      </c>
      <c r="DM72">
        <f>R72+AC72+AN72+AY72+BJ72+BU72+CF72+CQ72+DB72</f>
        <v>1301</v>
      </c>
      <c r="DN72" s="3">
        <f>(DM72/DM71)-1</f>
        <v>-0.026197604790419216</v>
      </c>
      <c r="DO72" s="3"/>
      <c r="DP72">
        <f>U72+AF72+AQ72+BB72+BM72+BX72+CI72+CT72+DE72</f>
        <v>2932</v>
      </c>
      <c r="DR72" s="3">
        <f>(DP72/DP71)-1</f>
        <v>0.020180932498260251</v>
      </c>
      <c r="DS72" s="1"/>
      <c r="DT72">
        <f>DM72-DM71</f>
        <v>-35</v>
      </c>
      <c r="DV72">
        <v>4</v>
      </c>
      <c r="DW72" t="s">
        <v>36</v>
      </c>
      <c r="DX72" s="8">
        <v>43923</v>
      </c>
      <c r="DY72">
        <v>11</v>
      </c>
      <c r="EA72">
        <v>0</v>
      </c>
      <c r="FU72">
        <v>-20</v>
      </c>
      <c r="FW72">
        <v>490</v>
      </c>
      <c r="GA72" s="10">
        <v>43912</v>
      </c>
      <c r="GB72">
        <v>33276</v>
      </c>
      <c r="GC72">
        <f>(GB72/GB71)-1</f>
        <v>0.30550433520342102</v>
      </c>
      <c r="GV72" s="8">
        <v>43976</v>
      </c>
      <c r="GW72">
        <v>1</v>
      </c>
      <c r="GX72" t="s">
        <v>31</v>
      </c>
      <c r="GY72">
        <v>10</v>
      </c>
      <c r="HB72">
        <v>310</v>
      </c>
      <c r="HC72">
        <v>0</v>
      </c>
      <c r="HF72">
        <v>73</v>
      </c>
      <c r="HG72">
        <v>2259</v>
      </c>
    </row>
    <row r="73" spans="1:325" ht="20.25">
      <c r="C73">
        <f>H72*D73</f>
        <v>570.00000000051728</v>
      </c>
      <c r="D73">
        <f>0.017281105990799999</f>
        <v>0.017281105990799999</v>
      </c>
      <c r="E73" t="s">
        <v>30</v>
      </c>
      <c r="F73" s="10">
        <v>43961</v>
      </c>
      <c r="G73" s="2">
        <f>H73*15</f>
        <v>503309.99999998178</v>
      </c>
      <c r="H73">
        <f>H72+C73</f>
        <v>33553.999999998785</v>
      </c>
      <c r="I73">
        <v>33554</v>
      </c>
      <c r="J73">
        <v>1329260</v>
      </c>
      <c r="K73">
        <f>O73+Z73+AK73+AV73+BG73+BR73+CC73+CN73+CY73</f>
        <v>33554</v>
      </c>
      <c r="L73" s="3">
        <f>(K73/K72)-1</f>
        <v>0.017281105990783363</v>
      </c>
      <c r="O73">
        <f>O72+11</f>
        <v>1153</v>
      </c>
      <c r="Q73" s="5">
        <f>O73-O72</f>
        <v>11</v>
      </c>
      <c r="R73">
        <f>R72+4</f>
        <v>19</v>
      </c>
      <c r="S73" s="5">
        <f>R73-R72</f>
        <v>4</v>
      </c>
      <c r="T73" s="5"/>
      <c r="U73">
        <f>U72+2</f>
        <v>107</v>
      </c>
      <c r="W73" s="5">
        <f>U73-U72</f>
        <v>2</v>
      </c>
      <c r="Z73">
        <f>Z72+158</f>
        <v>7263</v>
      </c>
      <c r="AB73" s="5">
        <f>Z73-Z72</f>
        <v>158</v>
      </c>
      <c r="AC73">
        <f>AC72+-23</f>
        <v>316</v>
      </c>
      <c r="AD73" s="5">
        <f>AC73-AC72</f>
        <v>-23</v>
      </c>
      <c r="AE73" s="5"/>
      <c r="AF73">
        <f>AF72+8</f>
        <v>909</v>
      </c>
      <c r="AH73" s="5">
        <f>AF73-AF72</f>
        <v>8</v>
      </c>
      <c r="AK73">
        <f>AK72+118</f>
        <v>9209</v>
      </c>
      <c r="AM73" s="5">
        <f>AK73-AK72</f>
        <v>118</v>
      </c>
      <c r="AN73">
        <f>AN72+-16</f>
        <v>421</v>
      </c>
      <c r="AO73" s="5">
        <f>AN73-AN72</f>
        <v>-16</v>
      </c>
      <c r="AP73" s="5"/>
      <c r="AQ73">
        <f>AQ72+15</f>
        <v>701</v>
      </c>
      <c r="AS73" s="5">
        <f>AQ73-AQ72</f>
        <v>15</v>
      </c>
      <c r="AU73" s="4">
        <f>AV73</f>
        <v>13236</v>
      </c>
      <c r="AV73">
        <f>AV72+206</f>
        <v>13236</v>
      </c>
      <c r="AX73" s="5">
        <f>AV73-AV72</f>
        <v>206</v>
      </c>
      <c r="AY73">
        <f>AY72+-21</f>
        <v>403</v>
      </c>
      <c r="AZ73" s="5">
        <f>AY73-AY72</f>
        <v>-21</v>
      </c>
      <c r="BA73" s="5"/>
      <c r="BB73">
        <f>BB72+7</f>
        <v>1024</v>
      </c>
      <c r="BD73" s="5">
        <f>BB73-BB72</f>
        <v>7</v>
      </c>
      <c r="BG73">
        <f>BG72+9</f>
        <v>798</v>
      </c>
      <c r="BI73" s="5">
        <f>BG73-BG72</f>
        <v>9</v>
      </c>
      <c r="BJ73">
        <f>BJ72+3</f>
        <v>47</v>
      </c>
      <c r="BK73" s="5">
        <f>BJ73-BJ72</f>
        <v>3</v>
      </c>
      <c r="BL73" s="5"/>
      <c r="BM73">
        <f>BM72+1</f>
        <v>115</v>
      </c>
      <c r="BO73" s="5">
        <f>BM73-BM72</f>
        <v>1</v>
      </c>
      <c r="BR73">
        <f>BR72+3</f>
        <v>543</v>
      </c>
      <c r="BT73" s="5">
        <f>BR73-BR72</f>
        <v>3</v>
      </c>
      <c r="BU73">
        <f>BU72+0</f>
        <v>5</v>
      </c>
      <c r="BV73" s="5">
        <f>BU73-BU72</f>
        <v>0</v>
      </c>
      <c r="BW73" s="5"/>
      <c r="BX73">
        <f>BX72+1</f>
        <v>47</v>
      </c>
      <c r="BZ73" s="5">
        <f>BX73-BX72</f>
        <v>1</v>
      </c>
      <c r="CC73">
        <f>CC72+4</f>
        <v>270</v>
      </c>
      <c r="CE73" s="5">
        <f>CC73-CC72</f>
        <v>4</v>
      </c>
      <c r="CF73">
        <f>CF72+0</f>
        <v>4</v>
      </c>
      <c r="CG73" s="5">
        <f>CF73-CF72</f>
        <v>0</v>
      </c>
      <c r="CH73" s="5"/>
      <c r="CI73">
        <f>CI72+1</f>
        <v>7</v>
      </c>
      <c r="CK73" s="5">
        <f>CI73-CI72</f>
        <v>1</v>
      </c>
      <c r="CN73">
        <f>CN72+7</f>
        <v>782</v>
      </c>
      <c r="CP73" s="5">
        <f>CN73-CN72</f>
        <v>7</v>
      </c>
      <c r="CQ73">
        <f>CQ72+-6</f>
        <v>27</v>
      </c>
      <c r="CR73" s="5">
        <f>CQ73-CQ72</f>
        <v>-6</v>
      </c>
      <c r="CS73" s="5"/>
      <c r="CT73">
        <f>CT72+0</f>
        <v>54</v>
      </c>
      <c r="CV73" s="5">
        <f>CT73-CT72</f>
        <v>0</v>
      </c>
      <c r="CY73">
        <f>CY72+54</f>
        <v>300</v>
      </c>
      <c r="DA73" s="5">
        <f>CY73-CY72</f>
        <v>54</v>
      </c>
      <c r="DC73" s="5"/>
      <c r="DD73" s="5"/>
      <c r="DE73">
        <f>DE72+0</f>
        <v>3</v>
      </c>
      <c r="DG73" s="5">
        <f>DE73-DE72</f>
        <v>0</v>
      </c>
      <c r="DJ73">
        <f>O73+Z73+AK73+AV73+BG73+BR73+CC73+CN73+CY73</f>
        <v>33554</v>
      </c>
      <c r="DL73" s="5">
        <f>DJ73-DJ72</f>
        <v>570</v>
      </c>
      <c r="DM73">
        <f>R73+AC73+AN73+AY73+BJ73+BU73+CF73+CQ73+DB73</f>
        <v>1242</v>
      </c>
      <c r="DN73" s="3">
        <f>(DM73/DM72)-1</f>
        <v>-0.04534973097617212</v>
      </c>
      <c r="DO73" s="3"/>
      <c r="DP73">
        <f>U73+AF73+AQ73+BB73+BM73+BX73+CI73+CT73+DE73</f>
        <v>2967</v>
      </c>
      <c r="DR73" s="3">
        <f>(DP73/DP72)-1</f>
        <v>0.011937244201909891</v>
      </c>
      <c r="DS73" s="1"/>
      <c r="DT73">
        <f>DM73-DM72</f>
        <v>-59</v>
      </c>
      <c r="DV73">
        <v>4</v>
      </c>
      <c r="DW73" t="s">
        <v>36</v>
      </c>
      <c r="DX73" s="8">
        <v>43924</v>
      </c>
      <c r="DY73">
        <v>11</v>
      </c>
      <c r="EA73">
        <v>0</v>
      </c>
      <c r="FU73">
        <v>100</v>
      </c>
      <c r="FW73">
        <v>22</v>
      </c>
      <c r="GA73" s="10">
        <v>43913</v>
      </c>
      <c r="GB73">
        <v>43847</v>
      </c>
      <c r="GC73">
        <f>(GB73/GB72)-1</f>
        <v>0.31767640341387193</v>
      </c>
      <c r="GV73" s="8">
        <v>43977</v>
      </c>
      <c r="GW73">
        <v>1</v>
      </c>
      <c r="GX73" t="s">
        <v>31</v>
      </c>
      <c r="GY73">
        <v>10</v>
      </c>
      <c r="HB73">
        <v>310</v>
      </c>
      <c r="HC73">
        <v>0</v>
      </c>
      <c r="HF73">
        <v>76</v>
      </c>
      <c r="HG73">
        <v>2352</v>
      </c>
    </row>
    <row r="74" spans="1:325" ht="20.25">
      <c r="C74">
        <f>H73*D74</f>
        <v>211.00000000014822</v>
      </c>
      <c r="D74">
        <f>0.0062883709840900002</f>
        <v>0.0062883709840900002</v>
      </c>
      <c r="E74" t="s">
        <v>33</v>
      </c>
      <c r="F74" s="10">
        <v>43962</v>
      </c>
      <c r="G74" s="2">
        <f>H74*15</f>
        <v>506474.99999998393</v>
      </c>
      <c r="H74">
        <f>H73+C74</f>
        <v>33764.99999999893</v>
      </c>
      <c r="I74">
        <v>33765</v>
      </c>
      <c r="J74">
        <v>1347881</v>
      </c>
      <c r="K74">
        <f>O74+Z74+AK74+AV74+BG74+BR74+CC74+CN74+CY74</f>
        <v>33765</v>
      </c>
      <c r="L74" s="3">
        <f>(K74/K73)-1</f>
        <v>0.0062883709840853008</v>
      </c>
      <c r="O74">
        <f>O73+8</f>
        <v>1161</v>
      </c>
      <c r="Q74" s="5">
        <f>O74-O73</f>
        <v>8</v>
      </c>
      <c r="R74">
        <f>R73+-2</f>
        <v>17</v>
      </c>
      <c r="S74" s="5">
        <f>R74-R73</f>
        <v>-2</v>
      </c>
      <c r="T74" s="5"/>
      <c r="U74">
        <f>U73+2</f>
        <v>109</v>
      </c>
      <c r="W74" s="5">
        <f>U74-U73</f>
        <v>2</v>
      </c>
      <c r="Z74">
        <f>Z73+95</f>
        <v>7358</v>
      </c>
      <c r="AB74" s="5">
        <f>Z74-Z73</f>
        <v>95</v>
      </c>
      <c r="AC74">
        <f>AC73+12</f>
        <v>328</v>
      </c>
      <c r="AD74" s="5">
        <f>AC74-AC73</f>
        <v>12</v>
      </c>
      <c r="AE74" s="5"/>
      <c r="AF74">
        <f>AF73+12</f>
        <v>921</v>
      </c>
      <c r="AH74" s="5">
        <f>AF74-AF73</f>
        <v>12</v>
      </c>
      <c r="AK74">
        <f>AK73+51</f>
        <v>9260</v>
      </c>
      <c r="AM74" s="5">
        <f>AK74-AK73</f>
        <v>51</v>
      </c>
      <c r="AN74">
        <f>AN73+-16</f>
        <v>405</v>
      </c>
      <c r="AO74" s="5">
        <f>AN74-AN73</f>
        <v>-16</v>
      </c>
      <c r="AP74" s="5"/>
      <c r="AQ74">
        <f>AQ73+15</f>
        <v>716</v>
      </c>
      <c r="AS74" s="5">
        <f>AQ74-AQ73</f>
        <v>15</v>
      </c>
      <c r="AU74" s="4">
        <f>AV74</f>
        <v>13312</v>
      </c>
      <c r="AV74">
        <f>AV73+76</f>
        <v>13312</v>
      </c>
      <c r="AX74" s="5">
        <f>AV74-AV73</f>
        <v>76</v>
      </c>
      <c r="AY74">
        <f>AY73+-19</f>
        <v>384</v>
      </c>
      <c r="AZ74" s="5">
        <f>AY74-AY73</f>
        <v>-19</v>
      </c>
      <c r="BA74" s="5"/>
      <c r="BB74">
        <f>BB73+10</f>
        <v>1034</v>
      </c>
      <c r="BD74" s="5">
        <f>BB74-BB73</f>
        <v>10</v>
      </c>
      <c r="BG74">
        <f>BG73+3</f>
        <v>801</v>
      </c>
      <c r="BI74" s="5">
        <f>BG74-BG73</f>
        <v>3</v>
      </c>
      <c r="BJ74">
        <f>BJ73+-5</f>
        <v>42</v>
      </c>
      <c r="BK74" s="5">
        <f>BJ74-BJ73</f>
        <v>-5</v>
      </c>
      <c r="BL74" s="5"/>
      <c r="BM74">
        <f>BM73+0</f>
        <v>115</v>
      </c>
      <c r="BO74" s="5">
        <f>BM74-BM73</f>
        <v>0</v>
      </c>
      <c r="BR74">
        <f>BR73+2</f>
        <v>545</v>
      </c>
      <c r="BT74" s="5">
        <f>BR74-BR73</f>
        <v>2</v>
      </c>
      <c r="BU74">
        <f>BU73+-1</f>
        <v>4</v>
      </c>
      <c r="BV74" s="5">
        <f>BU74-BU73</f>
        <v>-1</v>
      </c>
      <c r="BW74" s="5"/>
      <c r="BX74">
        <f>BX73+0</f>
        <v>47</v>
      </c>
      <c r="BZ74" s="5">
        <f>BX74-BX73</f>
        <v>0</v>
      </c>
      <c r="CC74">
        <f>CC73+1</f>
        <v>271</v>
      </c>
      <c r="CE74" s="5">
        <f>CC74-CC73</f>
        <v>1</v>
      </c>
      <c r="CF74">
        <f>CF73+2</f>
        <v>6</v>
      </c>
      <c r="CG74" s="5">
        <f>CF74-CF73</f>
        <v>2</v>
      </c>
      <c r="CH74" s="5"/>
      <c r="CI74">
        <f>CI73+0</f>
        <v>7</v>
      </c>
      <c r="CK74" s="5">
        <f>CI74-CI73</f>
        <v>0</v>
      </c>
      <c r="CN74">
        <f>CN73+2</f>
        <v>784</v>
      </c>
      <c r="CP74" s="5">
        <f>CN74-CN73</f>
        <v>2</v>
      </c>
      <c r="CQ74">
        <f>CQ73+-1</f>
        <v>26</v>
      </c>
      <c r="CR74" s="5">
        <f>CQ74-CQ73</f>
        <v>-1</v>
      </c>
      <c r="CS74" s="5"/>
      <c r="CT74">
        <f>CT73+2</f>
        <v>56</v>
      </c>
      <c r="CV74" s="5">
        <f>CT74-CT73</f>
        <v>2</v>
      </c>
      <c r="CY74">
        <f>CY73+-27</f>
        <v>273</v>
      </c>
      <c r="DA74" s="5">
        <f>CY74-CY73</f>
        <v>-27</v>
      </c>
      <c r="DC74" s="5"/>
      <c r="DD74" s="5"/>
      <c r="DE74">
        <f>DE73+0</f>
        <v>3</v>
      </c>
      <c r="DG74" s="5">
        <f>DE74-DE73</f>
        <v>0</v>
      </c>
      <c r="DJ74">
        <f>O74+Z74+AK74+AV74+BG74+BR74+CC74+CN74+CY74</f>
        <v>33765</v>
      </c>
      <c r="DL74" s="5">
        <f>DJ74-DJ73</f>
        <v>211</v>
      </c>
      <c r="DM74">
        <f>R74+AC74+AN74+AY74+BJ74+BU74+CF74+CQ74+DB74</f>
        <v>1212</v>
      </c>
      <c r="DN74" s="3">
        <f>(DM74/DM73)-1</f>
        <v>-0.024154589371980673</v>
      </c>
      <c r="DO74" s="3"/>
      <c r="DP74">
        <f>U74+AF74+AQ74+BB74+BM74+BX74+CI74+CT74+DE74</f>
        <v>3008</v>
      </c>
      <c r="DR74" s="3">
        <f>(DP74/DP73)-1</f>
        <v>0.013818672059319193</v>
      </c>
      <c r="DS74" s="1"/>
      <c r="DT74">
        <f>DM74-DM73</f>
        <v>-30</v>
      </c>
      <c r="DV74">
        <v>4</v>
      </c>
      <c r="DW74" t="s">
        <v>36</v>
      </c>
      <c r="DX74" s="8">
        <v>43925</v>
      </c>
      <c r="DY74">
        <v>11</v>
      </c>
      <c r="EA74">
        <v>0</v>
      </c>
      <c r="FU74">
        <v>-20</v>
      </c>
      <c r="FW74">
        <v>290</v>
      </c>
      <c r="GA74" s="10">
        <v>43914</v>
      </c>
      <c r="GB74">
        <v>53740</v>
      </c>
      <c r="GC74">
        <f>(GB74/GB73)-1</f>
        <v>0.22562547038565928</v>
      </c>
      <c r="GV74" s="8">
        <v>43978</v>
      </c>
      <c r="GW74">
        <v>1</v>
      </c>
      <c r="GX74" t="s">
        <v>31</v>
      </c>
      <c r="GY74">
        <v>10</v>
      </c>
      <c r="HB74">
        <v>310</v>
      </c>
      <c r="HC74">
        <v>0</v>
      </c>
      <c r="HF74">
        <v>80</v>
      </c>
      <c r="HG74">
        <v>2476</v>
      </c>
    </row>
    <row r="75" spans="1:325" ht="20.25">
      <c r="C75">
        <f>H74*D75</f>
        <v>567.99999999886347</v>
      </c>
      <c r="D75">
        <f>0.016822153117099999</f>
        <v>0.016822153117099999</v>
      </c>
      <c r="E75" t="s">
        <v>34</v>
      </c>
      <c r="F75" s="10">
        <v>43963</v>
      </c>
      <c r="G75" s="2">
        <f>H75*15</f>
        <v>514994.99999996694</v>
      </c>
      <c r="H75">
        <f>H74+C75</f>
        <v>34332.999999997795</v>
      </c>
      <c r="I75">
        <v>34333</v>
      </c>
      <c r="J75">
        <v>1369376</v>
      </c>
      <c r="K75">
        <f>O75+Z75+AK75+AV75+BG75+BR75+CC75+CN75+CY75</f>
        <v>34333</v>
      </c>
      <c r="L75" s="3">
        <f>(K75/K74)-1</f>
        <v>0.016822153117133087</v>
      </c>
      <c r="O75">
        <f>O74+10</f>
        <v>1171</v>
      </c>
      <c r="Q75" s="5">
        <f>O75-O74</f>
        <v>10</v>
      </c>
      <c r="R75">
        <f>R74+4</f>
        <v>21</v>
      </c>
      <c r="S75" s="5">
        <f>R75-R74</f>
        <v>4</v>
      </c>
      <c r="T75" s="5"/>
      <c r="U75">
        <f>U74+1</f>
        <v>110</v>
      </c>
      <c r="W75" s="5">
        <f>U75-U74</f>
        <v>1</v>
      </c>
      <c r="Z75">
        <f>Z74+170</f>
        <v>7528</v>
      </c>
      <c r="AB75" s="5">
        <f>Z75-Z74</f>
        <v>170</v>
      </c>
      <c r="AC75">
        <f>AC74+-8</f>
        <v>320</v>
      </c>
      <c r="AD75" s="5">
        <f>AC75-AC74</f>
        <v>-8</v>
      </c>
      <c r="AE75" s="5"/>
      <c r="AF75">
        <f>AF74+10</f>
        <v>931</v>
      </c>
      <c r="AH75" s="5">
        <f>AF75-AF74</f>
        <v>10</v>
      </c>
      <c r="AK75">
        <f>AK74+170</f>
        <v>9430</v>
      </c>
      <c r="AM75" s="5">
        <f>AK75-AK74</f>
        <v>170</v>
      </c>
      <c r="AN75">
        <f>AN74+-6</f>
        <v>399</v>
      </c>
      <c r="AO75" s="5">
        <f>AN75-AN74</f>
        <v>-6</v>
      </c>
      <c r="AP75" s="5"/>
      <c r="AQ75">
        <f>AQ74+7</f>
        <v>723</v>
      </c>
      <c r="AS75" s="5">
        <f>AQ75-AQ74</f>
        <v>7</v>
      </c>
      <c r="AU75" s="4">
        <f>AV75</f>
        <v>13488</v>
      </c>
      <c r="AV75">
        <f>AV74+176</f>
        <v>13488</v>
      </c>
      <c r="AX75" s="5">
        <f>AV75-AV74</f>
        <v>176</v>
      </c>
      <c r="AY75">
        <f>AY74+-6</f>
        <v>378</v>
      </c>
      <c r="AZ75" s="5">
        <f>AY75-AY74</f>
        <v>-6</v>
      </c>
      <c r="BA75" s="5"/>
      <c r="BB75">
        <f>BB74+12</f>
        <v>1046</v>
      </c>
      <c r="BD75" s="5">
        <f>BB75-BB74</f>
        <v>12</v>
      </c>
      <c r="BG75">
        <f>BG74+22</f>
        <v>823</v>
      </c>
      <c r="BI75" s="5">
        <f>BG75-BG74</f>
        <v>22</v>
      </c>
      <c r="BJ75">
        <f>BJ74+-2</f>
        <v>40</v>
      </c>
      <c r="BK75" s="5">
        <f>BJ75-BJ74</f>
        <v>-2</v>
      </c>
      <c r="BL75" s="5"/>
      <c r="BM75">
        <f>BM74+1</f>
        <v>116</v>
      </c>
      <c r="BO75" s="5">
        <f>BM75-BM74</f>
        <v>1</v>
      </c>
      <c r="BR75">
        <f>BR74+11</f>
        <v>556</v>
      </c>
      <c r="BT75" s="5">
        <f>BR75-BR74</f>
        <v>11</v>
      </c>
      <c r="BU75">
        <f>BU74+-2</f>
        <v>2</v>
      </c>
      <c r="BV75" s="5">
        <f>BU75-BU74</f>
        <v>-2</v>
      </c>
      <c r="BW75" s="5"/>
      <c r="BX75">
        <f>BX74+0</f>
        <v>47</v>
      </c>
      <c r="BZ75" s="5">
        <f>BX75-BX74</f>
        <v>0</v>
      </c>
      <c r="CC75">
        <f>CC74+10</f>
        <v>281</v>
      </c>
      <c r="CE75" s="5">
        <f>CC75-CC74</f>
        <v>10</v>
      </c>
      <c r="CF75">
        <f>CF74+0</f>
        <v>6</v>
      </c>
      <c r="CG75" s="5">
        <f>CF75-CF74</f>
        <v>0</v>
      </c>
      <c r="CH75" s="5"/>
      <c r="CI75">
        <f>CI74+0</f>
        <v>7</v>
      </c>
      <c r="CK75" s="5">
        <f>CI75-CI74</f>
        <v>0</v>
      </c>
      <c r="CN75">
        <f>CN74+9</f>
        <v>793</v>
      </c>
      <c r="CP75" s="5">
        <f>CN75-CN74</f>
        <v>9</v>
      </c>
      <c r="CQ75">
        <f>CQ74+-3</f>
        <v>23</v>
      </c>
      <c r="CR75" s="5">
        <f>CQ75-CQ74</f>
        <v>-3</v>
      </c>
      <c r="CS75" s="5"/>
      <c r="CT75">
        <f>CT74+2</f>
        <v>58</v>
      </c>
      <c r="CV75" s="5">
        <f>CT75-CT74</f>
        <v>2</v>
      </c>
      <c r="CY75">
        <f>CY74+-10</f>
        <v>263</v>
      </c>
      <c r="DA75" s="5">
        <f>CY75-CY74</f>
        <v>-10</v>
      </c>
      <c r="DC75" s="5"/>
      <c r="DD75" s="5"/>
      <c r="DE75">
        <f>DE74+0</f>
        <v>3</v>
      </c>
      <c r="DG75" s="5">
        <f>DE75-DE74</f>
        <v>0</v>
      </c>
      <c r="DJ75">
        <f>O75+Z75+AK75+AV75+BG75+BR75+CC75+CN75+CY75</f>
        <v>34333</v>
      </c>
      <c r="DL75" s="5">
        <f>DJ75-DJ74</f>
        <v>568</v>
      </c>
      <c r="DM75">
        <f>R75+AC75+AN75+AY75+BJ75+BU75+CF75+CQ75+DB75</f>
        <v>1189</v>
      </c>
      <c r="DN75" s="3">
        <f>(DM75/DM74)-1</f>
        <v>-0.018976897689768957</v>
      </c>
      <c r="DO75" s="3"/>
      <c r="DP75">
        <f>U75+AF75+AQ75+BB75+BM75+BX75+CI75+CT75+DE75</f>
        <v>3041</v>
      </c>
      <c r="DR75" s="3">
        <f>(DP75/DP74)-1</f>
        <v>0.01097074468085113</v>
      </c>
      <c r="DS75" s="1"/>
      <c r="DT75">
        <f>DM75-DM74</f>
        <v>-23</v>
      </c>
      <c r="DV75">
        <v>4</v>
      </c>
      <c r="DW75" t="s">
        <v>36</v>
      </c>
      <c r="DX75" s="8">
        <v>43926</v>
      </c>
      <c r="DY75">
        <v>11</v>
      </c>
      <c r="EA75">
        <v>0</v>
      </c>
      <c r="FU75">
        <v>200</v>
      </c>
      <c r="FW75">
        <v>22</v>
      </c>
      <c r="GA75" s="10">
        <v>43915</v>
      </c>
      <c r="GB75">
        <v>65778</v>
      </c>
      <c r="GC75">
        <f>(GB75/GB74)-1</f>
        <v>0.22400446594715295</v>
      </c>
      <c r="GV75" s="8">
        <v>43979</v>
      </c>
      <c r="GW75">
        <v>1</v>
      </c>
      <c r="GX75" t="s">
        <v>31</v>
      </c>
      <c r="GY75">
        <v>10</v>
      </c>
      <c r="HB75">
        <v>310</v>
      </c>
      <c r="HC75">
        <v>0</v>
      </c>
      <c r="HF75">
        <v>80</v>
      </c>
      <c r="HG75">
        <v>2476</v>
      </c>
    </row>
    <row r="76" spans="1:325" ht="20.25">
      <c r="C76">
        <f>H75*D76</f>
        <v>521.99999975626645</v>
      </c>
      <c r="D76">
        <f>0.015204031099999999</f>
        <v>0.015204031099999999</v>
      </c>
      <c r="E76" t="s">
        <v>35</v>
      </c>
      <c r="F76" s="10">
        <v>43964</v>
      </c>
      <c r="G76" s="2">
        <f>H76*15</f>
        <v>522824.99999631097</v>
      </c>
      <c r="H76">
        <f>H75+C76</f>
        <v>34854.999999754065</v>
      </c>
      <c r="I76">
        <v>34855</v>
      </c>
      <c r="J76">
        <v>1390406</v>
      </c>
      <c r="K76">
        <f>O76+Z76+AK76+AV76+BG76+BR76+CC76+CN76+CY76</f>
        <v>34855</v>
      </c>
      <c r="L76" s="3">
        <f>(K76/K75)-1</f>
        <v>0.015204031107098226</v>
      </c>
      <c r="O76">
        <f>O75+8</f>
        <v>1179</v>
      </c>
      <c r="Q76" s="5">
        <f>O76-O75</f>
        <v>8</v>
      </c>
      <c r="R76">
        <f>R75+-3</f>
        <v>18</v>
      </c>
      <c r="S76" s="5">
        <f>R76-R75</f>
        <v>-3</v>
      </c>
      <c r="T76" s="5"/>
      <c r="U76">
        <f>U75+0</f>
        <v>110</v>
      </c>
      <c r="W76" s="5">
        <f>U76-U75</f>
        <v>0</v>
      </c>
      <c r="Z76">
        <f>Z75+204</f>
        <v>7732</v>
      </c>
      <c r="AB76" s="5">
        <f>Z76-Z75</f>
        <v>204</v>
      </c>
      <c r="AC76">
        <f>AC75+-24</f>
        <v>296</v>
      </c>
      <c r="AD76" s="5">
        <f>AC76-AC75</f>
        <v>-24</v>
      </c>
      <c r="AE76" s="5"/>
      <c r="AF76">
        <f>AF75+32</f>
        <v>963</v>
      </c>
      <c r="AH76" s="5">
        <f>AF76-AF75</f>
        <v>32</v>
      </c>
      <c r="AK76">
        <f>AK75+140</f>
        <v>9570</v>
      </c>
      <c r="AM76" s="5">
        <f>AK76-AK75</f>
        <v>140</v>
      </c>
      <c r="AN76">
        <f>AN75+5</f>
        <v>404</v>
      </c>
      <c r="AO76" s="5">
        <f>AN76-AN75</f>
        <v>5</v>
      </c>
      <c r="AP76" s="5"/>
      <c r="AQ76">
        <f>AQ75+22</f>
        <v>745</v>
      </c>
      <c r="AS76" s="5">
        <f>AQ76-AQ75</f>
        <v>22</v>
      </c>
      <c r="AU76" s="4">
        <f>AV76</f>
        <v>13636</v>
      </c>
      <c r="AV76">
        <f>AV75+148</f>
        <v>13636</v>
      </c>
      <c r="AX76" s="5">
        <f>AV76-AV75</f>
        <v>148</v>
      </c>
      <c r="AY76">
        <f>AY75+-6</f>
        <v>372</v>
      </c>
      <c r="AZ76" s="5">
        <f>AY76-AY75</f>
        <v>-6</v>
      </c>
      <c r="BA76" s="5"/>
      <c r="BB76">
        <f>BB75+22</f>
        <v>1068</v>
      </c>
      <c r="BD76" s="5">
        <f>BB76-BB75</f>
        <v>22</v>
      </c>
      <c r="BG76">
        <f>BG75+14</f>
        <v>837</v>
      </c>
      <c r="BI76" s="5">
        <f>BG76-BG75</f>
        <v>14</v>
      </c>
      <c r="BJ76">
        <f>BJ75+-4</f>
        <v>36</v>
      </c>
      <c r="BK76" s="5">
        <f>BJ76-BJ75</f>
        <v>-4</v>
      </c>
      <c r="BL76" s="5"/>
      <c r="BM76">
        <f>BM75+0</f>
        <v>116</v>
      </c>
      <c r="BO76" s="5">
        <f>BM76-BM75</f>
        <v>0</v>
      </c>
      <c r="BR76">
        <f>BR75+4</f>
        <v>560</v>
      </c>
      <c r="BT76" s="5">
        <f>BR76-BR75</f>
        <v>4</v>
      </c>
      <c r="BU76">
        <f>BU75+1</f>
        <v>3</v>
      </c>
      <c r="BV76" s="5">
        <f>BU76-BU75</f>
        <v>1</v>
      </c>
      <c r="BW76" s="5"/>
      <c r="BX76">
        <f>BX75+2</f>
        <v>49</v>
      </c>
      <c r="BZ76" s="5">
        <f>BX76-BX75</f>
        <v>2</v>
      </c>
      <c r="CC76">
        <f>CC75+6</f>
        <v>287</v>
      </c>
      <c r="CE76" s="5">
        <f>CC76-CC75</f>
        <v>6</v>
      </c>
      <c r="CF76">
        <f>CF75+-1</f>
        <v>5</v>
      </c>
      <c r="CG76" s="5">
        <f>CF76-CF75</f>
        <v>-1</v>
      </c>
      <c r="CH76" s="5"/>
      <c r="CI76">
        <f>CI75+2</f>
        <v>9</v>
      </c>
      <c r="CK76" s="5">
        <f>CI76-CI75</f>
        <v>2</v>
      </c>
      <c r="CN76">
        <f>CN75+11</f>
        <v>804</v>
      </c>
      <c r="CP76" s="5">
        <f>CN76-CN75</f>
        <v>11</v>
      </c>
      <c r="CQ76">
        <f>CQ75+1</f>
        <v>24</v>
      </c>
      <c r="CR76" s="5">
        <f>CQ76-CQ75</f>
        <v>1</v>
      </c>
      <c r="CS76" s="5"/>
      <c r="CT76">
        <f>CT75+2</f>
        <v>60</v>
      </c>
      <c r="CV76" s="5">
        <f>CT76-CT75</f>
        <v>2</v>
      </c>
      <c r="CY76">
        <f>CY75+-13</f>
        <v>250</v>
      </c>
      <c r="DA76" s="5">
        <f>CY76-CY75</f>
        <v>-13</v>
      </c>
      <c r="DC76" s="5"/>
      <c r="DD76" s="5"/>
      <c r="DE76">
        <f>DE75+2</f>
        <v>5</v>
      </c>
      <c r="DG76" s="5">
        <f>DE76-DE75</f>
        <v>2</v>
      </c>
      <c r="DJ76">
        <f>O76+Z76+AK76+AV76+BG76+BR76+CC76+CN76+CY76</f>
        <v>34855</v>
      </c>
      <c r="DL76" s="5">
        <f>DJ76-DJ75</f>
        <v>522</v>
      </c>
      <c r="DM76">
        <f>R76+AC76+AN76+AY76+BJ76+BU76+CF76+CQ76+DB76</f>
        <v>1158</v>
      </c>
      <c r="DN76" s="3">
        <f>(DM76/DM75)-1</f>
        <v>-0.026072329688814122</v>
      </c>
      <c r="DO76" s="3"/>
      <c r="DP76">
        <f>U76+AF76+AQ76+BB76+BM76+BX76+CI76+CT76+DE76</f>
        <v>3125</v>
      </c>
      <c r="DR76" s="3">
        <f>(DP76/DP75)-1</f>
        <v>0.027622492601118154</v>
      </c>
      <c r="DS76" s="1"/>
      <c r="DT76">
        <f>DM76-DM75</f>
        <v>-31</v>
      </c>
      <c r="DV76">
        <v>4</v>
      </c>
      <c r="DW76" t="s">
        <v>36</v>
      </c>
      <c r="DX76" s="8">
        <v>43927</v>
      </c>
      <c r="DY76">
        <v>11</v>
      </c>
      <c r="EA76">
        <v>0</v>
      </c>
      <c r="FU76">
        <v>-20</v>
      </c>
      <c r="FW76">
        <v>390</v>
      </c>
      <c r="GA76" s="10">
        <v>43916</v>
      </c>
      <c r="GB76">
        <v>83836</v>
      </c>
      <c r="GC76">
        <f>(GB76/GB75)-1</f>
        <v>0.27452947794095284</v>
      </c>
      <c r="GV76" s="8">
        <v>43980</v>
      </c>
      <c r="GW76">
        <v>1</v>
      </c>
      <c r="GX76" t="s">
        <v>31</v>
      </c>
      <c r="GY76">
        <v>10</v>
      </c>
      <c r="HB76">
        <v>310</v>
      </c>
      <c r="HC76">
        <v>0</v>
      </c>
      <c r="HF76">
        <v>82</v>
      </c>
      <c r="HG76">
        <v>2538</v>
      </c>
    </row>
    <row r="77" spans="1:325" ht="20.25">
      <c r="C77">
        <f>H76*D77</f>
        <v>608.99999999656552</v>
      </c>
      <c r="D77">
        <f>0.017472385597500001</f>
        <v>0.017472385597500001</v>
      </c>
      <c r="E77" t="s">
        <v>37</v>
      </c>
      <c r="F77" s="10">
        <v>43965</v>
      </c>
      <c r="G77" s="2">
        <f>H77*15</f>
        <v>531959.99999625946</v>
      </c>
      <c r="H77">
        <f>H76+C77</f>
        <v>35463.999999750631</v>
      </c>
      <c r="I77">
        <v>35464</v>
      </c>
      <c r="J77">
        <v>1417774</v>
      </c>
      <c r="K77">
        <f>O77+Z77+AK77+AV77+BG77+BR77+CC77+CN77+CY77</f>
        <v>35464</v>
      </c>
      <c r="L77" s="3">
        <f>(K77/K76)-1</f>
        <v>0.017472385597475215</v>
      </c>
      <c r="O77">
        <f>O76+24</f>
        <v>1203</v>
      </c>
      <c r="Q77" s="5">
        <f>O77-O76</f>
        <v>24</v>
      </c>
      <c r="R77">
        <f>R76+-4</f>
        <v>14</v>
      </c>
      <c r="S77" s="5">
        <f>R77-R76</f>
        <v>-4</v>
      </c>
      <c r="T77" s="5"/>
      <c r="U77">
        <f>U76+5</f>
        <v>115</v>
      </c>
      <c r="W77" s="5">
        <f>U77-U76</f>
        <v>5</v>
      </c>
      <c r="Z77">
        <f>Z76+203</f>
        <v>7935</v>
      </c>
      <c r="AB77" s="5">
        <f>Z77-Z76</f>
        <v>203</v>
      </c>
      <c r="AC77">
        <f>AC76+-27</f>
        <v>269</v>
      </c>
      <c r="AD77" s="5">
        <f>AC77-AC76</f>
        <v>-27</v>
      </c>
      <c r="AE77" s="5"/>
      <c r="AF77">
        <f>AF76+36</f>
        <v>999</v>
      </c>
      <c r="AH77" s="5">
        <f>AF77-AF76</f>
        <v>36</v>
      </c>
      <c r="AK77">
        <f>AK76+142</f>
        <v>9712</v>
      </c>
      <c r="AM77" s="5">
        <f>AK77-AK76</f>
        <v>142</v>
      </c>
      <c r="AN77">
        <f>AN76+-10</f>
        <v>394</v>
      </c>
      <c r="AO77" s="5">
        <f>AN77-AN76</f>
        <v>-10</v>
      </c>
      <c r="AP77" s="5"/>
      <c r="AQ77">
        <f>AQ76+22</f>
        <v>767</v>
      </c>
      <c r="AS77" s="5">
        <f>AQ77-AQ76</f>
        <v>22</v>
      </c>
      <c r="AU77" s="4">
        <f>AV77</f>
        <v>13836</v>
      </c>
      <c r="AV77">
        <f>AV76+200</f>
        <v>13836</v>
      </c>
      <c r="AX77" s="5">
        <f>AV77-AV76</f>
        <v>200</v>
      </c>
      <c r="AY77">
        <f>AY76+-10</f>
        <v>362</v>
      </c>
      <c r="AZ77" s="5">
        <f>AY77-AY76</f>
        <v>-10</v>
      </c>
      <c r="BA77" s="5"/>
      <c r="BB77">
        <f>BB76+25</f>
        <v>1093</v>
      </c>
      <c r="BD77" s="5">
        <f>BB77-BB76</f>
        <v>25</v>
      </c>
      <c r="BG77">
        <f>BG76+26</f>
        <v>863</v>
      </c>
      <c r="BI77" s="5">
        <f>BG77-BG76</f>
        <v>26</v>
      </c>
      <c r="BJ77">
        <f>BJ76+-5</f>
        <v>31</v>
      </c>
      <c r="BK77" s="5">
        <f>BJ77-BJ76</f>
        <v>-5</v>
      </c>
      <c r="BL77" s="5"/>
      <c r="BM77">
        <f>BM76+2</f>
        <v>118</v>
      </c>
      <c r="BO77" s="5">
        <f>BM77-BM76</f>
        <v>2</v>
      </c>
      <c r="BR77">
        <f>BR76+8</f>
        <v>568</v>
      </c>
      <c r="BT77" s="5">
        <f>BR77-BR76</f>
        <v>8</v>
      </c>
      <c r="BU77">
        <f>BU76+0</f>
        <v>3</v>
      </c>
      <c r="BV77" s="5">
        <f>BU77-BU76</f>
        <v>0</v>
      </c>
      <c r="BW77" s="5"/>
      <c r="BX77">
        <f>BX76+2</f>
        <v>51</v>
      </c>
      <c r="BZ77" s="5">
        <f>BX77-BX76</f>
        <v>2</v>
      </c>
      <c r="CC77">
        <f>CC76+4</f>
        <v>291</v>
      </c>
      <c r="CE77" s="5">
        <f>CC77-CC76</f>
        <v>4</v>
      </c>
      <c r="CF77">
        <f>CF76+1</f>
        <v>6</v>
      </c>
      <c r="CG77" s="5">
        <f>CF77-CF76</f>
        <v>1</v>
      </c>
      <c r="CH77" s="5"/>
      <c r="CI77">
        <f>CI76+2</f>
        <v>11</v>
      </c>
      <c r="CK77" s="5">
        <f>CI77-CI76</f>
        <v>2</v>
      </c>
      <c r="CN77">
        <f>CN76+17</f>
        <v>821</v>
      </c>
      <c r="CP77" s="5">
        <f>CN77-CN76</f>
        <v>17</v>
      </c>
      <c r="CQ77">
        <f>CQ76+0</f>
        <v>24</v>
      </c>
      <c r="CR77" s="5">
        <f>CQ77-CQ76</f>
        <v>0</v>
      </c>
      <c r="CS77" s="5"/>
      <c r="CT77">
        <f>CT76+2</f>
        <v>62</v>
      </c>
      <c r="CV77" s="5">
        <f>CT77-CT76</f>
        <v>2</v>
      </c>
      <c r="CY77">
        <f>CY76+-15</f>
        <v>235</v>
      </c>
      <c r="DA77" s="5">
        <f>CY77-CY76</f>
        <v>-15</v>
      </c>
      <c r="DC77" s="5"/>
      <c r="DD77" s="5"/>
      <c r="DE77">
        <f>DE76+-2</f>
        <v>3</v>
      </c>
      <c r="DG77" s="5">
        <f>DE77-DE76</f>
        <v>-2</v>
      </c>
      <c r="DJ77">
        <f>O77+Z77+AK77+AV77+BG77+BR77+CC77+CN77+CY77</f>
        <v>35464</v>
      </c>
      <c r="DL77" s="5">
        <f>DJ77-DJ76</f>
        <v>609</v>
      </c>
      <c r="DM77">
        <f>R77+AC77+AN77+AY77+BJ77+BU77+CF77+CQ77+DB77</f>
        <v>1103</v>
      </c>
      <c r="DN77" s="3">
        <f>(DM77/DM76)-1</f>
        <v>-0.047495682210708101</v>
      </c>
      <c r="DO77" s="3"/>
      <c r="DP77">
        <f>U77+AF77+AQ77+BB77+BM77+BX77+CI77+CT77+DE77</f>
        <v>3219</v>
      </c>
      <c r="DR77" s="3">
        <f>(DP77/DP76)-1</f>
        <v>0.030080000000000107</v>
      </c>
      <c r="DS77" s="1"/>
      <c r="DT77">
        <f>DM77-DM76</f>
        <v>-55</v>
      </c>
      <c r="DV77">
        <v>4</v>
      </c>
      <c r="DW77" t="s">
        <v>36</v>
      </c>
      <c r="DX77" s="8">
        <v>43928</v>
      </c>
      <c r="DY77">
        <v>12</v>
      </c>
      <c r="EA77">
        <v>0</v>
      </c>
      <c r="FU77">
        <v>100</v>
      </c>
      <c r="FW77">
        <v>22</v>
      </c>
      <c r="GA77" s="10">
        <v>43917</v>
      </c>
      <c r="GB77">
        <v>101657</v>
      </c>
      <c r="GC77">
        <f>(GB77/GB76)-1</f>
        <v>0.21256977909251407</v>
      </c>
      <c r="GV77" s="8">
        <v>43981</v>
      </c>
      <c r="GW77">
        <v>1</v>
      </c>
      <c r="GX77" t="s">
        <v>31</v>
      </c>
      <c r="GY77">
        <v>10</v>
      </c>
      <c r="HB77">
        <v>310</v>
      </c>
      <c r="HC77">
        <v>0</v>
      </c>
      <c r="HF77">
        <v>81</v>
      </c>
      <c r="HG77">
        <v>2507</v>
      </c>
    </row>
    <row r="78" spans="1:325" ht="20.25">
      <c r="C78">
        <f>H77*D78</f>
        <v>620.99999999704289</v>
      </c>
      <c r="D78">
        <f>0.017510715091399998</f>
        <v>0.017510715091399998</v>
      </c>
      <c r="E78" t="s">
        <v>38</v>
      </c>
      <c r="F78" s="10">
        <v>43966</v>
      </c>
      <c r="G78" s="2">
        <f>H78*15</f>
        <v>541274.99999621511</v>
      </c>
      <c r="H78">
        <f>H77+C78</f>
        <v>36084.999999747677</v>
      </c>
      <c r="I78">
        <v>36085</v>
      </c>
      <c r="J78">
        <v>1442824</v>
      </c>
      <c r="K78">
        <f>O78+Z78+AK78+AV78+BG78+BR78+CC78+CN78+CY78</f>
        <v>36085</v>
      </c>
      <c r="L78" s="3">
        <f>(K78/K77)-1</f>
        <v>0.017510715091360263</v>
      </c>
      <c r="O78">
        <f>O77+15</f>
        <v>1218</v>
      </c>
      <c r="Q78" s="5">
        <f>O78-O77</f>
        <v>15</v>
      </c>
      <c r="R78">
        <f>R77+0</f>
        <v>14</v>
      </c>
      <c r="S78" s="5">
        <f>R78-R77</f>
        <v>0</v>
      </c>
      <c r="T78" s="5"/>
      <c r="U78">
        <f>U77+0</f>
        <v>115</v>
      </c>
      <c r="W78" s="5">
        <f>U78-U77</f>
        <v>0</v>
      </c>
      <c r="Z78">
        <f>Z77+191</f>
        <v>8126</v>
      </c>
      <c r="AB78" s="5">
        <f>Z78-Z77</f>
        <v>191</v>
      </c>
      <c r="AC78">
        <f>AC77+-21</f>
        <v>248</v>
      </c>
      <c r="AD78" s="5">
        <f>AC78-AC77</f>
        <v>-21</v>
      </c>
      <c r="AE78" s="5"/>
      <c r="AF78">
        <f>AF77+26</f>
        <v>1025</v>
      </c>
      <c r="AH78" s="5">
        <f>AF78-AF77</f>
        <v>26</v>
      </c>
      <c r="AK78">
        <f>AK77+169</f>
        <v>9881</v>
      </c>
      <c r="AM78" s="5">
        <f>AK78-AK77</f>
        <v>169</v>
      </c>
      <c r="AN78">
        <f>AN77+-27</f>
        <v>367</v>
      </c>
      <c r="AO78" s="5">
        <f>AN78-AN77</f>
        <v>-27</v>
      </c>
      <c r="AP78" s="5"/>
      <c r="AQ78">
        <f>AQ77+16</f>
        <v>783</v>
      </c>
      <c r="AS78" s="5">
        <f>AQ78-AQ77</f>
        <v>16</v>
      </c>
      <c r="AU78" s="4">
        <f>AV78</f>
        <v>14009</v>
      </c>
      <c r="AV78">
        <f>AV77+173</f>
        <v>14009</v>
      </c>
      <c r="AX78" s="5">
        <f>AV78-AV77</f>
        <v>173</v>
      </c>
      <c r="AY78">
        <f>AY77+-20</f>
        <v>342</v>
      </c>
      <c r="AZ78" s="5">
        <f>AY78-AY77</f>
        <v>-20</v>
      </c>
      <c r="BA78" s="5"/>
      <c r="BB78">
        <f>BB77+16</f>
        <v>1109</v>
      </c>
      <c r="BD78" s="5">
        <f>BB78-BB77</f>
        <v>16</v>
      </c>
      <c r="BG78">
        <f>BG77+22</f>
        <v>885</v>
      </c>
      <c r="BI78" s="5">
        <f>BG78-BG77</f>
        <v>22</v>
      </c>
      <c r="BJ78">
        <f>BJ77+1</f>
        <v>32</v>
      </c>
      <c r="BK78" s="5">
        <f>BJ78-BJ77</f>
        <v>1</v>
      </c>
      <c r="BL78" s="5"/>
      <c r="BM78">
        <f>BM77+6</f>
        <v>124</v>
      </c>
      <c r="BO78" s="5">
        <f>BM78-BM77</f>
        <v>6</v>
      </c>
      <c r="BR78">
        <f>BR77+15</f>
        <v>583</v>
      </c>
      <c r="BT78" s="5">
        <f>BR78-BR77</f>
        <v>15</v>
      </c>
      <c r="BU78">
        <f>BU77+-2</f>
        <v>1</v>
      </c>
      <c r="BV78" s="5">
        <f>BU78-BU77</f>
        <v>-2</v>
      </c>
      <c r="BW78" s="5"/>
      <c r="BX78">
        <f>BX77+0</f>
        <v>51</v>
      </c>
      <c r="BZ78" s="5">
        <f>BX78-BX77</f>
        <v>0</v>
      </c>
      <c r="CC78">
        <f>CC77+10</f>
        <v>301</v>
      </c>
      <c r="CE78" s="5">
        <f>CC78-CC77</f>
        <v>10</v>
      </c>
      <c r="CF78">
        <f>CF77+-1</f>
        <v>5</v>
      </c>
      <c r="CG78" s="5">
        <f>CF78-CF77</f>
        <v>-1</v>
      </c>
      <c r="CH78" s="5"/>
      <c r="CI78">
        <f>CI77+1</f>
        <v>12</v>
      </c>
      <c r="CK78" s="5">
        <f>CI78-CI77</f>
        <v>1</v>
      </c>
      <c r="CN78">
        <f>CN77+23</f>
        <v>844</v>
      </c>
      <c r="CP78" s="5">
        <f>CN78-CN77</f>
        <v>23</v>
      </c>
      <c r="CQ78">
        <f>CQ77+0</f>
        <v>24</v>
      </c>
      <c r="CR78" s="5">
        <f>CQ78-CQ77</f>
        <v>0</v>
      </c>
      <c r="CS78" s="5"/>
      <c r="CT78">
        <f>CT77+1</f>
        <v>63</v>
      </c>
      <c r="CV78" s="5">
        <f>CT78-CT77</f>
        <v>1</v>
      </c>
      <c r="CY78">
        <f>CY77+3</f>
        <v>238</v>
      </c>
      <c r="DA78" s="5">
        <f>CY78-CY77</f>
        <v>3</v>
      </c>
      <c r="DC78" s="5"/>
      <c r="DD78" s="5"/>
      <c r="DE78">
        <f>DE77+0</f>
        <v>3</v>
      </c>
      <c r="DG78" s="5">
        <f>DE78-DE77</f>
        <v>0</v>
      </c>
      <c r="DJ78">
        <f>O78+Z78+AK78+AV78+BG78+BR78+CC78+CN78+CY78</f>
        <v>36085</v>
      </c>
      <c r="DL78" s="5">
        <f>DJ78-DJ77</f>
        <v>621</v>
      </c>
      <c r="DM78">
        <f>R78+AC78+AN78+AY78+BJ78+BU78+CF78+CQ78+DB78</f>
        <v>1033</v>
      </c>
      <c r="DN78" s="3">
        <f>(DM78/DM77)-1</f>
        <v>-0.063463281958295537</v>
      </c>
      <c r="DO78" s="3"/>
      <c r="DP78">
        <f>U78+AF78+AQ78+BB78+BM78+BX78+CI78+CT78+DE78</f>
        <v>3285</v>
      </c>
      <c r="DR78" s="3">
        <f>(DP78/DP77)-1</f>
        <v>0.020503261882572232</v>
      </c>
      <c r="DS78" s="1"/>
      <c r="DT78">
        <f>DM78-DM77</f>
        <v>-70</v>
      </c>
      <c r="DV78">
        <v>4</v>
      </c>
      <c r="DW78" t="s">
        <v>36</v>
      </c>
      <c r="DX78" s="8">
        <v>43929</v>
      </c>
      <c r="DY78">
        <v>13</v>
      </c>
      <c r="EA78">
        <v>0</v>
      </c>
      <c r="FU78">
        <v>-20</v>
      </c>
      <c r="GA78" s="10">
        <v>43918</v>
      </c>
      <c r="GB78">
        <v>121478</v>
      </c>
      <c r="GC78">
        <f>(GB78/GB77)-1</f>
        <v>0.19497919474310677</v>
      </c>
      <c r="GV78" s="8">
        <v>43982</v>
      </c>
      <c r="GW78">
        <v>1</v>
      </c>
      <c r="GX78" t="s">
        <v>31</v>
      </c>
      <c r="GY78">
        <v>10</v>
      </c>
      <c r="GZ78">
        <v>9</v>
      </c>
      <c r="HA78">
        <v>1</v>
      </c>
      <c r="HB78">
        <v>310</v>
      </c>
      <c r="HC78">
        <v>0</v>
      </c>
      <c r="HD78">
        <v>0</v>
      </c>
      <c r="HE78">
        <v>0</v>
      </c>
      <c r="HF78">
        <v>84</v>
      </c>
      <c r="HG78">
        <v>2600</v>
      </c>
      <c r="HH78">
        <v>94</v>
      </c>
      <c r="HI78">
        <v>9</v>
      </c>
      <c r="HJ78">
        <v>85</v>
      </c>
      <c r="HK78">
        <v>0</v>
      </c>
    </row>
    <row r="79" spans="1:325" ht="20.25">
      <c r="C79">
        <f>H78*D79</f>
        <v>617.99999999397926</v>
      </c>
      <c r="D79">
        <f>0.017126229735300001</f>
        <v>0.017126229735300001</v>
      </c>
      <c r="E79" t="s">
        <v>40</v>
      </c>
      <c r="F79" s="10">
        <v>43967</v>
      </c>
      <c r="G79" s="2">
        <f>H79*15</f>
        <v>550544.99999612488</v>
      </c>
      <c r="H79">
        <f>H78+C79</f>
        <v>36702.99999974166</v>
      </c>
      <c r="I79">
        <v>36703</v>
      </c>
      <c r="J79">
        <v>1467820</v>
      </c>
      <c r="K79">
        <f>O79+Z79+AK79+AV79+BG79+BR79+CC79+CN79+CY79</f>
        <v>36703</v>
      </c>
      <c r="L79" s="3">
        <f>(K79/K78)-1</f>
        <v>0.017126229735347165</v>
      </c>
      <c r="O79">
        <f>O78+16</f>
        <v>1234</v>
      </c>
      <c r="Q79" s="5">
        <f>O79-O78</f>
        <v>16</v>
      </c>
      <c r="R79">
        <f>R78+-4</f>
        <v>10</v>
      </c>
      <c r="S79" s="5">
        <f>R79-R78</f>
        <v>-4</v>
      </c>
      <c r="T79" s="5"/>
      <c r="U79">
        <f>U78+1</f>
        <v>116</v>
      </c>
      <c r="W79" s="5">
        <f>U79-U78</f>
        <v>1</v>
      </c>
      <c r="Z79">
        <f>Z78+173</f>
        <v>8299</v>
      </c>
      <c r="AB79" s="5">
        <f>Z79-Z78</f>
        <v>173</v>
      </c>
      <c r="AC79">
        <f>AC78+-5</f>
        <v>243</v>
      </c>
      <c r="AD79" s="5">
        <f>AC79-AC78</f>
        <v>-5</v>
      </c>
      <c r="AE79" s="5"/>
      <c r="AF79">
        <f>AF78+19</f>
        <v>1044</v>
      </c>
      <c r="AH79" s="5">
        <f>AF79-AF78</f>
        <v>19</v>
      </c>
      <c r="AK79">
        <f>AK78+194</f>
        <v>10075</v>
      </c>
      <c r="AM79" s="5">
        <f>AK79-AK78</f>
        <v>194</v>
      </c>
      <c r="AN79">
        <f>AN78+-15</f>
        <v>352</v>
      </c>
      <c r="AO79" s="5">
        <f>AN79-AN78</f>
        <v>-15</v>
      </c>
      <c r="AP79" s="5"/>
      <c r="AQ79">
        <f>AQ78+17</f>
        <v>800</v>
      </c>
      <c r="AS79" s="5">
        <f>AQ79-AQ78</f>
        <v>17</v>
      </c>
      <c r="AU79" s="4">
        <f>AV79</f>
        <v>14140</v>
      </c>
      <c r="AV79">
        <f>AV78+131</f>
        <v>14140</v>
      </c>
      <c r="AX79" s="5">
        <f>AV79-AV78</f>
        <v>131</v>
      </c>
      <c r="AY79">
        <f>AY78+-12</f>
        <v>330</v>
      </c>
      <c r="AZ79" s="5">
        <f>AY79-AY78</f>
        <v>-12</v>
      </c>
      <c r="BA79" s="5"/>
      <c r="BB79">
        <f>BB78+16</f>
        <v>1125</v>
      </c>
      <c r="BD79" s="5">
        <f>BB79-BB78</f>
        <v>16</v>
      </c>
      <c r="BG79">
        <f>BG78+13</f>
        <v>898</v>
      </c>
      <c r="BI79" s="5">
        <f>BG79-BG78</f>
        <v>13</v>
      </c>
      <c r="BJ79">
        <f>BJ78+-3</f>
        <v>29</v>
      </c>
      <c r="BK79" s="5">
        <f>BJ79-BJ78</f>
        <v>-3</v>
      </c>
      <c r="BL79" s="5"/>
      <c r="BM79">
        <f>BM78+0</f>
        <v>124</v>
      </c>
      <c r="BO79" s="5">
        <f>BM79-BM78</f>
        <v>0</v>
      </c>
      <c r="BR79">
        <f>BR78+53</f>
        <v>636</v>
      </c>
      <c r="BT79" s="5">
        <f>BR79-BR78</f>
        <v>53</v>
      </c>
      <c r="BU79">
        <f>BU78+0</f>
        <v>1</v>
      </c>
      <c r="BV79" s="5">
        <f>BU79-BU78</f>
        <v>0</v>
      </c>
      <c r="BW79" s="5"/>
      <c r="BX79">
        <f>BX78+0</f>
        <v>51</v>
      </c>
      <c r="BZ79" s="5">
        <f>BX79-BX78</f>
        <v>0</v>
      </c>
      <c r="CC79">
        <f>CC78+3</f>
        <v>304</v>
      </c>
      <c r="CE79" s="5">
        <f>CC79-CC78</f>
        <v>3</v>
      </c>
      <c r="CF79">
        <f>CF78+0</f>
        <v>5</v>
      </c>
      <c r="CG79" s="5">
        <f>CF79-CF78</f>
        <v>0</v>
      </c>
      <c r="CH79" s="5"/>
      <c r="CI79">
        <f>CI78+0</f>
        <v>12</v>
      </c>
      <c r="CK79" s="5">
        <f>CI79-CI78</f>
        <v>0</v>
      </c>
      <c r="CN79">
        <f>CN78+16</f>
        <v>860</v>
      </c>
      <c r="CP79" s="5">
        <f>CN79-CN78</f>
        <v>16</v>
      </c>
      <c r="CQ79">
        <f>CQ78+0</f>
        <v>24</v>
      </c>
      <c r="CR79" s="5">
        <f>CQ79-CQ78</f>
        <v>0</v>
      </c>
      <c r="CS79" s="5"/>
      <c r="CT79">
        <f>CT78+2</f>
        <v>65</v>
      </c>
      <c r="CV79" s="5">
        <f>CT79-CT78</f>
        <v>2</v>
      </c>
      <c r="CY79">
        <f>CY78+19</f>
        <v>257</v>
      </c>
      <c r="DA79" s="5">
        <f>CY79-CY78</f>
        <v>19</v>
      </c>
      <c r="DC79" s="5"/>
      <c r="DD79" s="5"/>
      <c r="DE79">
        <f>DE78+-1</f>
        <v>2</v>
      </c>
      <c r="DG79" s="5">
        <f>DE79-DE78</f>
        <v>-1</v>
      </c>
      <c r="DJ79">
        <f>O79+Z79+AK79+AV79+BG79+BR79+CC79+CN79+CY79</f>
        <v>36703</v>
      </c>
      <c r="DL79" s="5">
        <f>DJ79-DJ78</f>
        <v>618</v>
      </c>
      <c r="DM79">
        <f>R79+AC79+AN79+AY79+BJ79+BU79+CF79+CQ79+DB79</f>
        <v>994</v>
      </c>
      <c r="DN79" s="3">
        <f>(DM79/DM78)-1</f>
        <v>-0.037754114230396874</v>
      </c>
      <c r="DO79" s="3"/>
      <c r="DP79">
        <f>U79+AF79+AQ79+BB79+BM79+BX79+CI79+CT79+DE79</f>
        <v>3339</v>
      </c>
      <c r="DR79" s="3">
        <f>(DP79/DP78)-1</f>
        <v>0.016438356164383494</v>
      </c>
      <c r="DS79" s="1"/>
      <c r="DT79">
        <f>DM79-DM78</f>
        <v>-39</v>
      </c>
      <c r="DV79">
        <v>4</v>
      </c>
      <c r="DW79" t="s">
        <v>36</v>
      </c>
      <c r="DX79" s="8">
        <v>43930</v>
      </c>
      <c r="DY79">
        <v>14</v>
      </c>
      <c r="EA79">
        <v>0</v>
      </c>
      <c r="GA79" s="10">
        <v>43919</v>
      </c>
      <c r="GB79">
        <v>140886</v>
      </c>
      <c r="GC79">
        <f>(GB79/GB78)-1</f>
        <v>0.15976555425673777</v>
      </c>
      <c r="GV79" s="8">
        <v>43983</v>
      </c>
      <c r="GW79">
        <v>1</v>
      </c>
      <c r="GX79" t="s">
        <v>31</v>
      </c>
      <c r="GY79">
        <v>10</v>
      </c>
      <c r="GZ79">
        <v>9</v>
      </c>
      <c r="HA79">
        <v>1</v>
      </c>
      <c r="HB79">
        <v>310</v>
      </c>
      <c r="HC79">
        <v>0</v>
      </c>
      <c r="HD79">
        <v>0</v>
      </c>
      <c r="HE79">
        <v>0</v>
      </c>
      <c r="HF79">
        <v>89</v>
      </c>
      <c r="HG79">
        <v>2755</v>
      </c>
      <c r="HH79">
        <v>101</v>
      </c>
      <c r="HI79">
        <v>9</v>
      </c>
      <c r="HJ79">
        <v>92</v>
      </c>
      <c r="HK79">
        <v>0</v>
      </c>
    </row>
    <row r="80" spans="1:325" ht="20.25">
      <c r="C80">
        <f>H79*D80</f>
        <v>715.99999999235035</v>
      </c>
      <c r="D80">
        <f>0.019507942130000001</f>
        <v>0.019507942130000001</v>
      </c>
      <c r="E80" t="s">
        <v>30</v>
      </c>
      <c r="F80" s="10">
        <v>43968</v>
      </c>
      <c r="G80" s="2">
        <f>H80*15</f>
        <v>561284.99999601021</v>
      </c>
      <c r="H80">
        <f>H79+C80</f>
        <v>37418.999999734013</v>
      </c>
      <c r="I80">
        <v>37419</v>
      </c>
      <c r="J80">
        <v>1486757</v>
      </c>
      <c r="K80">
        <f>O80+Z80+AK80+AV80+BG80+BR80+CC80+CN80+CY80</f>
        <v>37419</v>
      </c>
      <c r="L80" s="3">
        <f>(K80/K79)-1</f>
        <v>0.01950794213007101</v>
      </c>
      <c r="O80">
        <f>O79+35</f>
        <v>1269</v>
      </c>
      <c r="Q80" s="5">
        <f>O80-O79</f>
        <v>35</v>
      </c>
      <c r="R80">
        <f>R79+0</f>
        <v>10</v>
      </c>
      <c r="S80" s="5">
        <f>R80-R79</f>
        <v>0</v>
      </c>
      <c r="T80" s="5"/>
      <c r="U80">
        <f>U79+0</f>
        <v>116</v>
      </c>
      <c r="W80" s="5">
        <f>U80-U79</f>
        <v>0</v>
      </c>
      <c r="Z80">
        <f>Z79+424</f>
        <v>8723</v>
      </c>
      <c r="AB80" s="5">
        <f>Z80-Z79</f>
        <v>424</v>
      </c>
      <c r="AC80">
        <f>AC79+-9</f>
        <v>234</v>
      </c>
      <c r="AD80" s="5">
        <f>AC80-AC79</f>
        <v>-9</v>
      </c>
      <c r="AE80" s="5"/>
      <c r="AF80">
        <f>AF79+25</f>
        <v>1069</v>
      </c>
      <c r="AH80" s="5">
        <f>AF80-AF79</f>
        <v>25</v>
      </c>
      <c r="AK80">
        <f>AK79+84</f>
        <v>10159</v>
      </c>
      <c r="AM80" s="5">
        <f>AK80-AK79</f>
        <v>84</v>
      </c>
      <c r="AN80">
        <f>AN79+-16</f>
        <v>336</v>
      </c>
      <c r="AO80" s="5">
        <f>AN80-AN79</f>
        <v>-16</v>
      </c>
      <c r="AP80" s="5"/>
      <c r="AQ80">
        <f>AQ79+17</f>
        <v>817</v>
      </c>
      <c r="AS80" s="5">
        <f>AQ80-AQ79</f>
        <v>17</v>
      </c>
      <c r="AU80" s="4">
        <f>AV80</f>
        <v>14248</v>
      </c>
      <c r="AV80">
        <f>AV79+108</f>
        <v>14248</v>
      </c>
      <c r="AX80" s="5">
        <f>AV80-AV79</f>
        <v>108</v>
      </c>
      <c r="AY80">
        <f>AY79+-31</f>
        <v>299</v>
      </c>
      <c r="AZ80" s="5">
        <f>AY80-AY79</f>
        <v>-31</v>
      </c>
      <c r="BA80" s="5"/>
      <c r="BB80">
        <f>BB79+21</f>
        <v>1146</v>
      </c>
      <c r="BD80" s="5">
        <f>BB80-BB79</f>
        <v>21</v>
      </c>
      <c r="BG80">
        <f>BG79+11</f>
        <v>909</v>
      </c>
      <c r="BI80" s="5">
        <f>BG80-BG79</f>
        <v>11</v>
      </c>
      <c r="BJ80">
        <f>BJ79+3</f>
        <v>32</v>
      </c>
      <c r="BK80" s="5">
        <f>BJ80-BJ79</f>
        <v>3</v>
      </c>
      <c r="BL80" s="5"/>
      <c r="BM80">
        <f>BM79+1</f>
        <v>125</v>
      </c>
      <c r="BO80" s="5">
        <f>BM80-BM79</f>
        <v>1</v>
      </c>
      <c r="BR80">
        <f>BR79+79</f>
        <v>715</v>
      </c>
      <c r="BT80" s="5">
        <f>BR80-BR79</f>
        <v>79</v>
      </c>
      <c r="BU80">
        <f>BU79+0</f>
        <v>1</v>
      </c>
      <c r="BV80" s="5">
        <f>BU80-BU79</f>
        <v>0</v>
      </c>
      <c r="BW80" s="5"/>
      <c r="BX80">
        <f>BX79+3</f>
        <v>54</v>
      </c>
      <c r="BZ80" s="5">
        <f>BX80-BX79</f>
        <v>3</v>
      </c>
      <c r="CC80">
        <f>CC79+9</f>
        <v>313</v>
      </c>
      <c r="CE80" s="5">
        <f>CC80-CC79</f>
        <v>9</v>
      </c>
      <c r="CF80">
        <f>CF79+-2</f>
        <v>3</v>
      </c>
      <c r="CG80" s="5">
        <f>CF80-CF79</f>
        <v>-2</v>
      </c>
      <c r="CH80" s="5"/>
      <c r="CI80">
        <f>CI79+2</f>
        <v>14</v>
      </c>
      <c r="CK80" s="5">
        <f>CI80-CI79</f>
        <v>2</v>
      </c>
      <c r="CN80">
        <f>CN79+13</f>
        <v>873</v>
      </c>
      <c r="CP80" s="5">
        <f>CN80-CN79</f>
        <v>13</v>
      </c>
      <c r="CQ80">
        <f>CQ79+-2</f>
        <v>22</v>
      </c>
      <c r="CR80" s="5">
        <f>CQ80-CQ79</f>
        <v>-2</v>
      </c>
      <c r="CS80" s="5"/>
      <c r="CT80">
        <f>CT79+1</f>
        <v>66</v>
      </c>
      <c r="CV80" s="5">
        <f>CT80-CT79</f>
        <v>1</v>
      </c>
      <c r="CY80">
        <f>CY79+-47</f>
        <v>210</v>
      </c>
      <c r="DA80" s="5">
        <f>CY80-CY79</f>
        <v>-47</v>
      </c>
      <c r="DC80" s="5"/>
      <c r="DD80" s="5"/>
      <c r="DE80">
        <f>DE79+-1</f>
        <v>1</v>
      </c>
      <c r="DG80" s="5">
        <f>DE80-DE79</f>
        <v>-1</v>
      </c>
      <c r="DJ80">
        <f>O80+Z80+AK80+AV80+BG80+BR80+CC80+CN80+CY80</f>
        <v>37419</v>
      </c>
      <c r="DL80" s="5">
        <f>DJ80-DJ79</f>
        <v>716</v>
      </c>
      <c r="DM80">
        <f>R80+AC80+AN80+AY80+BJ80+BU80+CF80+CQ80+DB80</f>
        <v>937</v>
      </c>
      <c r="DN80" s="3">
        <f>(DM80/DM79)-1</f>
        <v>-0.057344064386317894</v>
      </c>
      <c r="DO80" s="3"/>
      <c r="DP80">
        <f>U80+AF80+AQ80+BB80+BM80+BX80+CI80+CT80+DE80</f>
        <v>3408</v>
      </c>
      <c r="DR80" s="3">
        <f>(DP80/DP79)-1</f>
        <v>0.020664869721473522</v>
      </c>
      <c r="DS80" s="1"/>
      <c r="DT80">
        <f>DM80-DM79</f>
        <v>-57</v>
      </c>
      <c r="DV80">
        <v>4</v>
      </c>
      <c r="DW80" t="s">
        <v>36</v>
      </c>
      <c r="DX80" s="8">
        <v>43931</v>
      </c>
      <c r="DY80">
        <v>15</v>
      </c>
      <c r="EA80">
        <v>0</v>
      </c>
      <c r="GA80" s="10">
        <v>43920</v>
      </c>
      <c r="GB80">
        <v>161807</v>
      </c>
      <c r="GC80">
        <f>(GB80/GB79)-1</f>
        <v>0.14849594707777913</v>
      </c>
      <c r="GV80" s="8">
        <v>43984</v>
      </c>
      <c r="GW80">
        <v>1</v>
      </c>
      <c r="GX80" t="s">
        <v>31</v>
      </c>
      <c r="GY80">
        <v>9</v>
      </c>
      <c r="GZ80">
        <v>9</v>
      </c>
      <c r="HA80">
        <v>0</v>
      </c>
      <c r="HB80">
        <v>279</v>
      </c>
      <c r="HC80">
        <v>0</v>
      </c>
      <c r="HD80">
        <v>0</v>
      </c>
      <c r="HE80">
        <v>0</v>
      </c>
      <c r="HF80">
        <v>92</v>
      </c>
      <c r="HG80">
        <v>2847</v>
      </c>
      <c r="HH80">
        <v>105</v>
      </c>
      <c r="HI80">
        <v>9</v>
      </c>
      <c r="HJ80">
        <v>96</v>
      </c>
      <c r="HK80">
        <v>0</v>
      </c>
    </row>
    <row r="81" spans="1:325" ht="20.25">
      <c r="C81">
        <f>H80*D81</f>
        <v>696.99999999373915</v>
      </c>
      <c r="D81">
        <f>0.0186269007723</f>
        <v>0.0186269007723</v>
      </c>
      <c r="E81" t="s">
        <v>33</v>
      </c>
      <c r="F81" s="10">
        <v>43969</v>
      </c>
      <c r="G81" s="2">
        <f>H81*15</f>
        <v>571739.99999591638</v>
      </c>
      <c r="H81">
        <f>H80+C81</f>
        <v>38115.999999727755</v>
      </c>
      <c r="I81">
        <v>38116</v>
      </c>
      <c r="J81">
        <v>1508308</v>
      </c>
      <c r="K81">
        <f>O81+Z81+AK81+AV81+BG81+BR81+CC81+CN81+CY81</f>
        <v>38116</v>
      </c>
      <c r="L81" s="3">
        <f>(K81/K80)-1</f>
        <v>0.018626900772334976</v>
      </c>
      <c r="O81">
        <f>O80+11</f>
        <v>1280</v>
      </c>
      <c r="Q81" s="5">
        <f>O81-O80</f>
        <v>11</v>
      </c>
      <c r="R81">
        <f>R80+0</f>
        <v>10</v>
      </c>
      <c r="S81" s="5">
        <f>R81-R80</f>
        <v>0</v>
      </c>
      <c r="T81" s="5"/>
      <c r="U81">
        <f>U80+-1</f>
        <v>115</v>
      </c>
      <c r="W81" s="5">
        <f>U81-U80</f>
        <v>-1</v>
      </c>
      <c r="Z81">
        <f>Z80+234</f>
        <v>8957</v>
      </c>
      <c r="AB81" s="5">
        <f>Z81-Z80</f>
        <v>234</v>
      </c>
      <c r="AC81">
        <f>AC80+1</f>
        <v>235</v>
      </c>
      <c r="AD81" s="5">
        <f>AC81-AC80</f>
        <v>1</v>
      </c>
      <c r="AE81" s="5"/>
      <c r="AF81">
        <f>AF80+15</f>
        <v>1084</v>
      </c>
      <c r="AH81" s="5">
        <f>AF81-AF80</f>
        <v>15</v>
      </c>
      <c r="AK81">
        <f>AK80+179</f>
        <v>10338</v>
      </c>
      <c r="AM81" s="5">
        <f>AK81-AK80</f>
        <v>179</v>
      </c>
      <c r="AN81">
        <f>AN80+-5</f>
        <v>331</v>
      </c>
      <c r="AO81" s="5">
        <f>AN81-AN80</f>
        <v>-5</v>
      </c>
      <c r="AP81" s="5"/>
      <c r="AQ81">
        <f>AQ80+13</f>
        <v>830</v>
      </c>
      <c r="AS81" s="5">
        <f>AQ81-AQ80</f>
        <v>13</v>
      </c>
      <c r="AU81" s="4">
        <f>AV81</f>
        <v>14436</v>
      </c>
      <c r="AV81">
        <f>AV80+188</f>
        <v>14436</v>
      </c>
      <c r="AX81" s="5">
        <f>AV81-AV80</f>
        <v>188</v>
      </c>
      <c r="AY81">
        <f>AY80+-12</f>
        <v>287</v>
      </c>
      <c r="AZ81" s="5">
        <f>AY81-AY80</f>
        <v>-12</v>
      </c>
      <c r="BA81" s="5"/>
      <c r="BB81">
        <f>BB80+7</f>
        <v>1153</v>
      </c>
      <c r="BD81" s="5">
        <f>BB81-BB80</f>
        <v>7</v>
      </c>
      <c r="BG81">
        <f>BG80+27</f>
        <v>936</v>
      </c>
      <c r="BI81" s="5">
        <f>BG81-BG80</f>
        <v>27</v>
      </c>
      <c r="BJ81">
        <f>BJ80+0</f>
        <v>32</v>
      </c>
      <c r="BK81" s="5">
        <f>BJ81-BJ80</f>
        <v>0</v>
      </c>
      <c r="BL81" s="5"/>
      <c r="BM81">
        <f>BM80+6</f>
        <v>131</v>
      </c>
      <c r="BO81" s="5">
        <f>BM81-BM80</f>
        <v>6</v>
      </c>
      <c r="BR81">
        <f>BR80+20</f>
        <v>735</v>
      </c>
      <c r="BT81" s="5">
        <f>BR81-BR80</f>
        <v>20</v>
      </c>
      <c r="BU81">
        <f>BU80+0</f>
        <v>1</v>
      </c>
      <c r="BV81" s="5">
        <f>BU81-BU80</f>
        <v>0</v>
      </c>
      <c r="BW81" s="5"/>
      <c r="BX81">
        <f>BX80+0</f>
        <v>54</v>
      </c>
      <c r="BZ81" s="5">
        <f>BX81-BX80</f>
        <v>0</v>
      </c>
      <c r="CC81">
        <f>CC80+9</f>
        <v>322</v>
      </c>
      <c r="CE81" s="5">
        <f>CC81-CC80</f>
        <v>9</v>
      </c>
      <c r="CF81">
        <f>CF80+0</f>
        <v>3</v>
      </c>
      <c r="CG81" s="5">
        <f>CF81-CF80</f>
        <v>0</v>
      </c>
      <c r="CH81" s="5"/>
      <c r="CI81">
        <f>CI80+0</f>
        <v>14</v>
      </c>
      <c r="CK81" s="5">
        <f>CI81-CI80</f>
        <v>0</v>
      </c>
      <c r="CN81">
        <f>CN80+3</f>
        <v>876</v>
      </c>
      <c r="CP81" s="5">
        <f>CN81-CN80</f>
        <v>3</v>
      </c>
      <c r="CQ81">
        <f>CQ80+-1</f>
        <v>21</v>
      </c>
      <c r="CR81" s="5">
        <f>CQ81-CQ80</f>
        <v>-1</v>
      </c>
      <c r="CS81" s="5"/>
      <c r="CT81">
        <f>CT80+0</f>
        <v>66</v>
      </c>
      <c r="CV81" s="5">
        <f>CT81-CT80</f>
        <v>0</v>
      </c>
      <c r="CY81">
        <f>CY80+26</f>
        <v>236</v>
      </c>
      <c r="DA81" s="5">
        <f>CY81-CY80</f>
        <v>26</v>
      </c>
      <c r="DC81" s="5"/>
      <c r="DD81" s="5"/>
      <c r="DE81">
        <f>DE80+1</f>
        <v>2</v>
      </c>
      <c r="DG81" s="5">
        <f>DE81-DE80</f>
        <v>1</v>
      </c>
      <c r="DJ81">
        <f>O81+Z81+AK81+AV81+BG81+BR81+CC81+CN81+CY81</f>
        <v>38116</v>
      </c>
      <c r="DL81" s="5">
        <f>DJ81-DJ80</f>
        <v>697</v>
      </c>
      <c r="DM81">
        <f>R81+AC81+AN81+AY81+BJ81+BU81+CF81+CQ81+DB81</f>
        <v>920</v>
      </c>
      <c r="DN81" s="3">
        <f>(DM81/DM80)-1</f>
        <v>-0.018143009605122717</v>
      </c>
      <c r="DO81" s="3"/>
      <c r="DP81">
        <f>U81+AF81+AQ81+BB81+BM81+BX81+CI81+CT81+DE81</f>
        <v>3449</v>
      </c>
      <c r="DR81" s="3">
        <f>(DP81/DP80)-1</f>
        <v>0.012030516431924987</v>
      </c>
      <c r="DS81" s="1"/>
      <c r="DT81">
        <f>DM81-DM80</f>
        <v>-17</v>
      </c>
      <c r="DV81">
        <v>4</v>
      </c>
      <c r="DW81" t="s">
        <v>36</v>
      </c>
      <c r="DX81" s="8">
        <v>43932</v>
      </c>
      <c r="DY81">
        <v>16</v>
      </c>
      <c r="EA81">
        <v>0</v>
      </c>
      <c r="GA81" s="10">
        <v>43921</v>
      </c>
      <c r="GB81">
        <v>188172</v>
      </c>
      <c r="GC81">
        <f>(GB81/GB80)-1</f>
        <v>0.16294103468947574</v>
      </c>
      <c r="GV81" s="8">
        <v>43914</v>
      </c>
      <c r="GW81">
        <v>12</v>
      </c>
      <c r="GX81" t="s">
        <v>41</v>
      </c>
      <c r="GY81">
        <v>1</v>
      </c>
      <c r="HC81">
        <v>0</v>
      </c>
    </row>
    <row r="82" spans="1:325" ht="20.25">
      <c r="C82">
        <f>H81*D82</f>
        <v>313.99999999794767</v>
      </c>
      <c r="D82">
        <f>0.0082380102844000005</f>
        <v>0.0082380102844000005</v>
      </c>
      <c r="E82" t="s">
        <v>34</v>
      </c>
      <c r="F82" s="10">
        <v>43970</v>
      </c>
      <c r="G82" s="2">
        <f>H82*15</f>
        <v>576449.99999588553</v>
      </c>
      <c r="H82">
        <f>H81+C82</f>
        <v>38429.999999725704</v>
      </c>
      <c r="I82">
        <v>38430</v>
      </c>
      <c r="J82">
        <v>1528568</v>
      </c>
      <c r="K82">
        <f>O82+Z82+AK82+AV82+BG82+BR82+CC82+CN82+CY82</f>
        <v>38430</v>
      </c>
      <c r="L82" s="3">
        <f>(K82/K81)-1</f>
        <v>0.0082380102843950809</v>
      </c>
      <c r="O82">
        <f>O81+10</f>
        <v>1290</v>
      </c>
      <c r="Q82" s="5">
        <f>O82-O81</f>
        <v>10</v>
      </c>
      <c r="R82">
        <f>R81+1</f>
        <v>11</v>
      </c>
      <c r="S82" s="5">
        <f>R82-R81</f>
        <v>1</v>
      </c>
      <c r="T82" s="5"/>
      <c r="U82">
        <f>U81+2</f>
        <v>117</v>
      </c>
      <c r="W82" s="5">
        <f>U82-U81</f>
        <v>2</v>
      </c>
      <c r="Z82">
        <f>Z81+93</f>
        <v>9050</v>
      </c>
      <c r="AB82" s="5">
        <f>Z82-Z81</f>
        <v>93</v>
      </c>
      <c r="AC82">
        <f>AC81+-9</f>
        <v>226</v>
      </c>
      <c r="AD82" s="5">
        <f>AC82-AC81</f>
        <v>-9</v>
      </c>
      <c r="AE82" s="5"/>
      <c r="AF82">
        <f>AF81+6</f>
        <v>1090</v>
      </c>
      <c r="AH82" s="5">
        <f>AF82-AF81</f>
        <v>6</v>
      </c>
      <c r="AK82">
        <f>AK81+89</f>
        <v>10427</v>
      </c>
      <c r="AM82" s="5">
        <f>AK82-AK81</f>
        <v>89</v>
      </c>
      <c r="AN82">
        <f>AN81+-4</f>
        <v>327</v>
      </c>
      <c r="AO82" s="5">
        <f>AN82-AN81</f>
        <v>-4</v>
      </c>
      <c r="AP82" s="5"/>
      <c r="AQ82">
        <f>AQ81+8</f>
        <v>838</v>
      </c>
      <c r="AS82" s="5">
        <f>AQ82-AQ81</f>
        <v>8</v>
      </c>
      <c r="AU82" s="4">
        <f>AV82</f>
        <v>14522</v>
      </c>
      <c r="AV82">
        <f>AV81+86</f>
        <v>14522</v>
      </c>
      <c r="AX82" s="5">
        <f>AV82-AV81</f>
        <v>86</v>
      </c>
      <c r="AY82">
        <f>AY81+0</f>
        <v>287</v>
      </c>
      <c r="AZ82" s="5">
        <f>AY82-AY81</f>
        <v>0</v>
      </c>
      <c r="BA82" s="5"/>
      <c r="BB82">
        <f>BB81+7</f>
        <v>1160</v>
      </c>
      <c r="BD82" s="5">
        <f>BB82-BB81</f>
        <v>7</v>
      </c>
      <c r="BG82">
        <f>BG81+11</f>
        <v>947</v>
      </c>
      <c r="BI82" s="5">
        <f>BG82-BG81</f>
        <v>11</v>
      </c>
      <c r="BJ82">
        <f>BJ81+3</f>
        <v>35</v>
      </c>
      <c r="BK82" s="5">
        <f>BJ82-BJ81</f>
        <v>3</v>
      </c>
      <c r="BL82" s="5"/>
      <c r="BM82">
        <f>BM81+0</f>
        <v>131</v>
      </c>
      <c r="BO82" s="5">
        <f>BM82-BM81</f>
        <v>0</v>
      </c>
      <c r="BR82">
        <f>BR81+35</f>
        <v>770</v>
      </c>
      <c r="BT82" s="5">
        <f>BR82-BR81</f>
        <v>35</v>
      </c>
      <c r="BU82">
        <f>BU81+0</f>
        <v>1</v>
      </c>
      <c r="BV82" s="5">
        <f>BU82-BU81</f>
        <v>0</v>
      </c>
      <c r="BW82" s="5"/>
      <c r="BX82">
        <f>BX81+0</f>
        <v>54</v>
      </c>
      <c r="BZ82" s="5">
        <f>BX82-BX81</f>
        <v>0</v>
      </c>
      <c r="CC82">
        <f>CC81+4</f>
        <v>326</v>
      </c>
      <c r="CE82" s="5">
        <f>CC82-CC81</f>
        <v>4</v>
      </c>
      <c r="CF82">
        <f>CF81+0</f>
        <v>3</v>
      </c>
      <c r="CG82" s="5">
        <f>CF82-CF81</f>
        <v>0</v>
      </c>
      <c r="CH82" s="5"/>
      <c r="CI82">
        <f>CI81+0</f>
        <v>14</v>
      </c>
      <c r="CK82" s="5">
        <f>CI82-CI81</f>
        <v>0</v>
      </c>
      <c r="CN82">
        <f>CN81+4</f>
        <v>880</v>
      </c>
      <c r="CP82" s="5">
        <f>CN82-CN81</f>
        <v>4</v>
      </c>
      <c r="CQ82">
        <f>CQ81+3</f>
        <v>24</v>
      </c>
      <c r="CR82" s="5">
        <f>CQ82-CQ81</f>
        <v>3</v>
      </c>
      <c r="CS82" s="5"/>
      <c r="CT82">
        <f>CT81+0</f>
        <v>66</v>
      </c>
      <c r="CV82" s="5">
        <f>CT82-CT81</f>
        <v>0</v>
      </c>
      <c r="CY82">
        <f>CY81+-18</f>
        <v>218</v>
      </c>
      <c r="DA82" s="5">
        <f>CY82-CY81</f>
        <v>-18</v>
      </c>
      <c r="DC82" s="5"/>
      <c r="DD82" s="5"/>
      <c r="DE82">
        <f>DE81+0</f>
        <v>2</v>
      </c>
      <c r="DG82" s="5">
        <f>DE82-DE81</f>
        <v>0</v>
      </c>
      <c r="DJ82">
        <f>O82+Z82+AK82+AV82+BG82+BR82+CC82+CN82+CY82</f>
        <v>38430</v>
      </c>
      <c r="DL82" s="5">
        <f>DJ82-DJ81</f>
        <v>314</v>
      </c>
      <c r="DM82">
        <f>R82+AC82+AN82+AY82+BJ82+BU82+CF82+CQ82+DB82</f>
        <v>914</v>
      </c>
      <c r="DN82" s="3">
        <f>(DM82/DM81)-1</f>
        <v>-0.006521739130434745</v>
      </c>
      <c r="DO82" s="3"/>
      <c r="DP82">
        <f>U82+AF82+AQ82+BB82+BM82+BX82+CI82+CT82+DE82</f>
        <v>3472</v>
      </c>
      <c r="DR82" s="3">
        <f>(DP82/DP81)-1</f>
        <v>0.0066685995940851672</v>
      </c>
      <c r="DS82" s="1"/>
      <c r="DT82">
        <f>DM82-DM81</f>
        <v>-6</v>
      </c>
      <c r="DV82">
        <v>4</v>
      </c>
      <c r="DW82" t="s">
        <v>36</v>
      </c>
      <c r="DX82" s="8">
        <v>43933</v>
      </c>
      <c r="DY82">
        <v>17</v>
      </c>
      <c r="EA82">
        <v>0</v>
      </c>
      <c r="GA82" s="10">
        <v>43922</v>
      </c>
      <c r="GB82">
        <v>213372</v>
      </c>
      <c r="GC82">
        <f>(GB82/GB81)-1</f>
        <v>0.13392003061029278</v>
      </c>
      <c r="GV82" s="8">
        <v>43915</v>
      </c>
      <c r="GW82">
        <v>12</v>
      </c>
      <c r="GX82" t="s">
        <v>41</v>
      </c>
      <c r="GY82">
        <v>2</v>
      </c>
      <c r="HC82">
        <v>0</v>
      </c>
    </row>
    <row r="83" spans="1:325" ht="20.25">
      <c r="C83">
        <f>H82*D83</f>
        <v>586.9999999961683</v>
      </c>
      <c r="D83">
        <f>0.0152745251106</f>
        <v>0.0152745251106</v>
      </c>
      <c r="E83" t="s">
        <v>35</v>
      </c>
      <c r="F83" s="10">
        <v>43971</v>
      </c>
      <c r="G83" s="2">
        <f>H83*15</f>
        <v>585254.99999582802</v>
      </c>
      <c r="H83">
        <f>H82+C83</f>
        <v>39016.999999721869</v>
      </c>
      <c r="I83">
        <v>39017</v>
      </c>
      <c r="J83">
        <v>1551853</v>
      </c>
      <c r="K83">
        <f>O83+Z83+AK83+AV83+BG83+BR83+CC83+CN83+CY83</f>
        <v>39017</v>
      </c>
      <c r="L83" s="3">
        <f>(K83/K82)-1</f>
        <v>0.015274525110590575</v>
      </c>
      <c r="O83">
        <f>O82+9</f>
        <v>1299</v>
      </c>
      <c r="Q83" s="5">
        <f>O83-O82</f>
        <v>9</v>
      </c>
      <c r="R83">
        <f>R82+-4</f>
        <v>7</v>
      </c>
      <c r="S83" s="5">
        <f>R83-R82</f>
        <v>-4</v>
      </c>
      <c r="T83" s="5"/>
      <c r="U83">
        <f>U82+4</f>
        <v>121</v>
      </c>
      <c r="W83" s="5">
        <f>U83-U82</f>
        <v>4</v>
      </c>
      <c r="Z83">
        <f>Z82+184</f>
        <v>9234</v>
      </c>
      <c r="AB83" s="5">
        <f>Z83-Z82</f>
        <v>184</v>
      </c>
      <c r="AC83">
        <f>AC82+-4</f>
        <v>222</v>
      </c>
      <c r="AD83" s="5">
        <f>AC83-AC82</f>
        <v>-4</v>
      </c>
      <c r="AE83" s="5"/>
      <c r="AF83">
        <f>AF82+26</f>
        <v>1116</v>
      </c>
      <c r="AH83" s="5">
        <f>AF83-AF82</f>
        <v>26</v>
      </c>
      <c r="AK83">
        <f>AK82+160</f>
        <v>10587</v>
      </c>
      <c r="AM83" s="5">
        <f>AK83-AK82</f>
        <v>160</v>
      </c>
      <c r="AN83">
        <f>AN82+-1</f>
        <v>326</v>
      </c>
      <c r="AO83" s="5">
        <f>AN83-AN82</f>
        <v>-1</v>
      </c>
      <c r="AP83" s="5"/>
      <c r="AQ83">
        <f>AQ82+17</f>
        <v>855</v>
      </c>
      <c r="AS83" s="5">
        <f>AQ83-AQ82</f>
        <v>17</v>
      </c>
      <c r="AU83" s="4">
        <f>AV83</f>
        <v>14719</v>
      </c>
      <c r="AV83">
        <f>AV82+197</f>
        <v>14719</v>
      </c>
      <c r="AX83" s="5">
        <f>AV83-AV82</f>
        <v>197</v>
      </c>
      <c r="AY83">
        <f>AY82+-15</f>
        <v>272</v>
      </c>
      <c r="AZ83" s="5">
        <f>AY83-AY82</f>
        <v>-15</v>
      </c>
      <c r="BA83" s="5"/>
      <c r="BB83">
        <f>BB82+7</f>
        <v>1167</v>
      </c>
      <c r="BD83" s="5">
        <f>BB83-BB82</f>
        <v>7</v>
      </c>
      <c r="BG83">
        <f>BG82+18</f>
        <v>965</v>
      </c>
      <c r="BI83" s="5">
        <f>BG83-BG82</f>
        <v>18</v>
      </c>
      <c r="BJ83">
        <f>BJ82+-2</f>
        <v>33</v>
      </c>
      <c r="BK83" s="5">
        <f>BJ83-BJ82</f>
        <v>-2</v>
      </c>
      <c r="BL83" s="5"/>
      <c r="BM83">
        <f>BM82+0</f>
        <v>131</v>
      </c>
      <c r="BO83" s="5">
        <f>BM83-BM82</f>
        <v>0</v>
      </c>
      <c r="BR83">
        <f>BR82+16</f>
        <v>786</v>
      </c>
      <c r="BT83" s="5">
        <f>BR83-BR82</f>
        <v>16</v>
      </c>
      <c r="BU83">
        <f>BU82+-1</f>
        <v>0</v>
      </c>
      <c r="BV83" s="5">
        <f>BU83-BU82</f>
        <v>-1</v>
      </c>
      <c r="BW83" s="5"/>
      <c r="BX83">
        <f>BX82+1</f>
        <v>55</v>
      </c>
      <c r="BZ83" s="5">
        <f>BX83-BX82</f>
        <v>1</v>
      </c>
      <c r="CC83">
        <f>CC82+3</f>
        <v>329</v>
      </c>
      <c r="CE83" s="5">
        <f>CC83-CC82</f>
        <v>3</v>
      </c>
      <c r="CF83">
        <f>CF82+0</f>
        <v>3</v>
      </c>
      <c r="CG83" s="5">
        <f>CF83-CF82</f>
        <v>0</v>
      </c>
      <c r="CH83" s="5"/>
      <c r="CI83">
        <f>CI82+0</f>
        <v>14</v>
      </c>
      <c r="CK83" s="5">
        <f>CI83-CI82</f>
        <v>0</v>
      </c>
      <c r="CN83">
        <f>CN82+16</f>
        <v>896</v>
      </c>
      <c r="CP83" s="5">
        <f>CN83-CN82</f>
        <v>16</v>
      </c>
      <c r="CQ83">
        <f>CQ82+0</f>
        <v>24</v>
      </c>
      <c r="CR83" s="5">
        <f>CQ83-CQ82</f>
        <v>0</v>
      </c>
      <c r="CS83" s="5"/>
      <c r="CT83">
        <f>CT82+2</f>
        <v>68</v>
      </c>
      <c r="CV83" s="5">
        <f>CT83-CT82</f>
        <v>2</v>
      </c>
      <c r="CY83">
        <f>CY82+-16</f>
        <v>202</v>
      </c>
      <c r="DA83" s="5">
        <f>CY83-CY82</f>
        <v>-16</v>
      </c>
      <c r="DC83" s="5"/>
      <c r="DD83" s="5"/>
      <c r="DE83">
        <f>DE82+0</f>
        <v>2</v>
      </c>
      <c r="DG83" s="5">
        <f>DE83-DE82</f>
        <v>0</v>
      </c>
      <c r="DJ83">
        <f>O83+Z83+AK83+AV83+BG83+BR83+CC83+CN83+CY83</f>
        <v>39017</v>
      </c>
      <c r="DL83" s="5">
        <f>DJ83-DJ82</f>
        <v>587</v>
      </c>
      <c r="DM83">
        <f>R83+AC83+AN83+AY83+BJ83+BU83+CF83+CQ83+DB83</f>
        <v>887</v>
      </c>
      <c r="DN83" s="3">
        <f>(DM83/DM82)-1</f>
        <v>-0.029540481400437635</v>
      </c>
      <c r="DO83" s="3"/>
      <c r="DP83">
        <f>U83+AF83+AQ83+BB83+BM83+BX83+CI83+CT83+DE83</f>
        <v>3529</v>
      </c>
      <c r="DR83" s="3">
        <f>(DP83/DP82)-1</f>
        <v>0.016417050691244217</v>
      </c>
      <c r="DS83" s="1"/>
      <c r="DT83">
        <f>DM83-DM82</f>
        <v>-27</v>
      </c>
      <c r="DV83">
        <v>4</v>
      </c>
      <c r="DW83" t="s">
        <v>36</v>
      </c>
      <c r="DX83" s="8">
        <v>43934</v>
      </c>
      <c r="DY83">
        <v>19</v>
      </c>
      <c r="EA83">
        <v>0</v>
      </c>
      <c r="GA83" s="10">
        <v>43923</v>
      </c>
      <c r="GB83">
        <v>243453</v>
      </c>
      <c r="GC83">
        <f>(GB83/GB82)-1</f>
        <v>0.1409791350317755</v>
      </c>
      <c r="GV83" s="8">
        <v>43916</v>
      </c>
      <c r="GW83">
        <v>12</v>
      </c>
      <c r="GX83" t="s">
        <v>41</v>
      </c>
      <c r="GY83">
        <v>2</v>
      </c>
      <c r="HC83">
        <v>0</v>
      </c>
    </row>
    <row r="84" spans="1:325" ht="20.25">
      <c r="C84">
        <f>H83*D84</f>
        <v>190.99999999882158</v>
      </c>
      <c r="D84">
        <f>0.0048953020478300002</f>
        <v>0.0048953020478300002</v>
      </c>
      <c r="E84" t="s">
        <v>37</v>
      </c>
      <c r="F84" s="10">
        <v>43972</v>
      </c>
      <c r="G84" s="2">
        <f>H84*15</f>
        <v>588119.99999581033</v>
      </c>
      <c r="H84">
        <f>H83+C84</f>
        <v>39207.999999720691</v>
      </c>
      <c r="I84">
        <v>39208</v>
      </c>
      <c r="J84">
        <v>1577147</v>
      </c>
      <c r="K84">
        <f>O84+Z84+AK84+AV84+BG84+BR84+CC84+CN84+CY84</f>
        <v>39208</v>
      </c>
      <c r="L84" s="3">
        <f>(K84/K83)-1</f>
        <v>0.0048953020478252895</v>
      </c>
      <c r="O84">
        <f>O83+4</f>
        <v>1303</v>
      </c>
      <c r="Q84" s="5">
        <f>O84-O83</f>
        <v>4</v>
      </c>
      <c r="R84">
        <f>R83+0</f>
        <v>7</v>
      </c>
      <c r="S84" s="5">
        <f>R84-R83</f>
        <v>0</v>
      </c>
      <c r="T84" s="5"/>
      <c r="U84">
        <f>U83+0</f>
        <v>121</v>
      </c>
      <c r="W84" s="5">
        <f>U84-U83</f>
        <v>0</v>
      </c>
      <c r="Z84">
        <f>Z83+65</f>
        <v>9299</v>
      </c>
      <c r="AB84" s="5">
        <f>Z84-Z83</f>
        <v>65</v>
      </c>
      <c r="AC84">
        <f>AC83+-8</f>
        <v>214</v>
      </c>
      <c r="AD84" s="5">
        <f>AC84-AC83</f>
        <v>-8</v>
      </c>
      <c r="AE84" s="5"/>
      <c r="AF84">
        <f>AF83+17</f>
        <v>1133</v>
      </c>
      <c r="AH84" s="5">
        <f>AF84-AF83</f>
        <v>17</v>
      </c>
      <c r="AK84">
        <f>AK83+76</f>
        <v>10663</v>
      </c>
      <c r="AM84" s="5">
        <f>AK84-AK83</f>
        <v>76</v>
      </c>
      <c r="AN84">
        <f>AN83+-25</f>
        <v>301</v>
      </c>
      <c r="AO84" s="5">
        <f>AN84-AN83</f>
        <v>-25</v>
      </c>
      <c r="AP84" s="5"/>
      <c r="AQ84">
        <f>AQ83+19</f>
        <v>874</v>
      </c>
      <c r="AS84" s="5">
        <f>AQ84-AQ83</f>
        <v>19</v>
      </c>
      <c r="AU84" s="4">
        <f>AV84</f>
        <v>14751</v>
      </c>
      <c r="AV84">
        <f>AV83+32</f>
        <v>14751</v>
      </c>
      <c r="AX84" s="5">
        <f>AV84-AV83</f>
        <v>32</v>
      </c>
      <c r="AY84">
        <f>AY83+-31</f>
        <v>241</v>
      </c>
      <c r="AZ84" s="5">
        <f>AY84-AY83</f>
        <v>-31</v>
      </c>
      <c r="BA84" s="5"/>
      <c r="BB84">
        <f>BB83+13</f>
        <v>1180</v>
      </c>
      <c r="BD84" s="5">
        <f>BB84-BB83</f>
        <v>13</v>
      </c>
      <c r="BG84">
        <f>BG83+7</f>
        <v>972</v>
      </c>
      <c r="BI84" s="5">
        <f>BG84-BG83</f>
        <v>7</v>
      </c>
      <c r="BJ84">
        <f>BJ83+-5</f>
        <v>28</v>
      </c>
      <c r="BK84" s="5">
        <f>BJ84-BJ83</f>
        <v>-5</v>
      </c>
      <c r="BL84" s="5"/>
      <c r="BM84">
        <f>BM83+-1</f>
        <v>130</v>
      </c>
      <c r="BO84" s="5">
        <f>BM84-BM83</f>
        <v>-1</v>
      </c>
      <c r="BR84">
        <f>BR83+1</f>
        <v>787</v>
      </c>
      <c r="BT84" s="5">
        <f>BR84-BR83</f>
        <v>1</v>
      </c>
      <c r="BU84">
        <f>BU83+0</f>
        <v>0</v>
      </c>
      <c r="BV84" s="5">
        <f>BU84-BU83</f>
        <v>0</v>
      </c>
      <c r="BW84" s="5"/>
      <c r="BX84">
        <f>BX83+0</f>
        <v>55</v>
      </c>
      <c r="BZ84" s="5">
        <f>BX84-BX83</f>
        <v>0</v>
      </c>
      <c r="CC84">
        <f>CC83+7</f>
        <v>336</v>
      </c>
      <c r="CE84" s="5">
        <f>CC84-CC83</f>
        <v>7</v>
      </c>
      <c r="CF84">
        <f>CF83+0</f>
        <v>3</v>
      </c>
      <c r="CG84" s="5">
        <f>CF84-CF83</f>
        <v>0</v>
      </c>
      <c r="CH84" s="5"/>
      <c r="CI84">
        <f>CI83+0</f>
        <v>14</v>
      </c>
      <c r="CK84" s="5">
        <f>CI84-CI83</f>
        <v>0</v>
      </c>
      <c r="CN84">
        <f>CN83+7</f>
        <v>903</v>
      </c>
      <c r="CP84" s="5">
        <f>CN84-CN83</f>
        <v>7</v>
      </c>
      <c r="CQ84">
        <f>CQ83+-2</f>
        <v>22</v>
      </c>
      <c r="CR84" s="5">
        <f>CQ84-CQ83</f>
        <v>-2</v>
      </c>
      <c r="CS84" s="5"/>
      <c r="CT84">
        <f>CT83+5</f>
        <v>73</v>
      </c>
      <c r="CV84" s="5">
        <f>CT84-CT83</f>
        <v>5</v>
      </c>
      <c r="CY84">
        <f>CY83+-8</f>
        <v>194</v>
      </c>
      <c r="DA84" s="5">
        <f>CY84-CY83</f>
        <v>-8</v>
      </c>
      <c r="DC84" s="5"/>
      <c r="DD84" s="5"/>
      <c r="DE84">
        <f>DE83+0</f>
        <v>2</v>
      </c>
      <c r="DG84" s="5">
        <f>DE84-DE83</f>
        <v>0</v>
      </c>
      <c r="DI84" s="4">
        <f>DJ84+DK84</f>
        <v>39208</v>
      </c>
      <c r="DJ84">
        <f>O84+Z84+AK84+AV84+BG84+BR84+CC84+CN84+CY84</f>
        <v>39208</v>
      </c>
      <c r="DL84" s="5">
        <f>DJ84-DJ83</f>
        <v>191</v>
      </c>
      <c r="DM84">
        <f>R84+AC84+AN84+AY84+BJ84+BU84+CF84+CQ84+DB84</f>
        <v>816</v>
      </c>
      <c r="DN84" s="3">
        <f>(DM84/DM83)-1</f>
        <v>-0.080045095828635837</v>
      </c>
      <c r="DO84" s="3"/>
      <c r="DP84">
        <f>U84+AF84+AQ84+BB84+BM84+BX84+CI84+CT84+DE84</f>
        <v>3582</v>
      </c>
      <c r="DR84" s="3">
        <f>(DP84/DP83)-1</f>
        <v>0.015018418815528456</v>
      </c>
      <c r="DS84" s="1"/>
      <c r="DT84">
        <f>DM84-DM83</f>
        <v>-71</v>
      </c>
      <c r="DV84">
        <v>4</v>
      </c>
      <c r="DW84" t="s">
        <v>36</v>
      </c>
      <c r="DX84" s="8">
        <v>43935</v>
      </c>
      <c r="DY84">
        <v>20</v>
      </c>
      <c r="EA84">
        <v>0</v>
      </c>
      <c r="GA84" s="10">
        <v>43924</v>
      </c>
      <c r="GB84">
        <v>275586</v>
      </c>
      <c r="GC84">
        <f>(GB84/GB83)-1</f>
        <v>0.13198851523702726</v>
      </c>
      <c r="GV84" s="8">
        <v>43917</v>
      </c>
      <c r="GW84">
        <v>12</v>
      </c>
      <c r="GX84" t="s">
        <v>41</v>
      </c>
      <c r="GY84">
        <v>2</v>
      </c>
      <c r="HC84">
        <v>0</v>
      </c>
    </row>
    <row r="85" spans="1:325" ht="20.25">
      <c r="C85">
        <f>H84*D85</f>
        <v>431.99999999795693</v>
      </c>
      <c r="D85">
        <f>0.0110181595593</f>
        <v>0.0110181595593</v>
      </c>
      <c r="E85" t="s">
        <v>38</v>
      </c>
      <c r="F85" s="10">
        <v>43973</v>
      </c>
      <c r="G85" s="2">
        <f>H85*15</f>
        <v>594599.99999577971</v>
      </c>
      <c r="H85">
        <f>H84+C85</f>
        <v>39639.999999718646</v>
      </c>
      <c r="I85">
        <v>39640</v>
      </c>
      <c r="J85">
        <v>1600937</v>
      </c>
      <c r="K85">
        <f>O85+Z85+AK85+AV85+BG85+BR85+CC85+CN85+CY85</f>
        <v>39640</v>
      </c>
      <c r="L85" s="3">
        <f>(K85/K84)-1</f>
        <v>0.011018159559273544</v>
      </c>
      <c r="O85">
        <f>O84+-5</f>
        <v>1298</v>
      </c>
      <c r="Q85" s="5">
        <f>O85-O84</f>
        <v>-5</v>
      </c>
      <c r="R85">
        <f>R84+-1</f>
        <v>6</v>
      </c>
      <c r="S85" s="5">
        <f>R85-R84</f>
        <v>-1</v>
      </c>
      <c r="T85" s="5"/>
      <c r="U85">
        <f>U84+0</f>
        <v>121</v>
      </c>
      <c r="W85" s="5">
        <f>U85-U84</f>
        <v>0</v>
      </c>
      <c r="Z85">
        <f>Z84+164</f>
        <v>9463</v>
      </c>
      <c r="AB85" s="5">
        <f>Z85-Z84</f>
        <v>164</v>
      </c>
      <c r="AC85">
        <f>AC84+-30</f>
        <v>184</v>
      </c>
      <c r="AD85" s="5">
        <f>AC85-AC84</f>
        <v>-30</v>
      </c>
      <c r="AE85" s="5"/>
      <c r="AF85">
        <f>AF84+22</f>
        <v>1155</v>
      </c>
      <c r="AH85" s="5">
        <f>AF85-AF84</f>
        <v>22</v>
      </c>
      <c r="AK85">
        <f>AK84+93</f>
        <v>10756</v>
      </c>
      <c r="AM85" s="5">
        <f>AK85-AK84</f>
        <v>93</v>
      </c>
      <c r="AN85">
        <f>AN84+-29</f>
        <v>272</v>
      </c>
      <c r="AO85" s="5">
        <f>AN85-AN84</f>
        <v>-29</v>
      </c>
      <c r="AP85" s="5"/>
      <c r="AQ85">
        <f>AQ84+14</f>
        <v>888</v>
      </c>
      <c r="AS85" s="5">
        <f>AQ85-AQ84</f>
        <v>14</v>
      </c>
      <c r="AU85" s="4">
        <f>AV85</f>
        <v>14889</v>
      </c>
      <c r="AV85">
        <f>AV84+138</f>
        <v>14889</v>
      </c>
      <c r="AX85" s="5">
        <f>AV85-AV84</f>
        <v>138</v>
      </c>
      <c r="AY85">
        <f>AY84+-15</f>
        <v>226</v>
      </c>
      <c r="AZ85" s="5">
        <f>AY85-AY84</f>
        <v>-15</v>
      </c>
      <c r="BA85" s="5"/>
      <c r="BB85">
        <f>BB84+15</f>
        <v>1195</v>
      </c>
      <c r="BD85" s="5">
        <f>BB85-BB84</f>
        <v>15</v>
      </c>
      <c r="BG85">
        <f>BG84+20</f>
        <v>992</v>
      </c>
      <c r="BI85" s="5">
        <f>BG85-BG84</f>
        <v>20</v>
      </c>
      <c r="BJ85">
        <f>BJ84+0</f>
        <v>28</v>
      </c>
      <c r="BK85" s="5">
        <f>BJ85-BJ84</f>
        <v>0</v>
      </c>
      <c r="BL85" s="5"/>
      <c r="BM85">
        <f>BM84+5</f>
        <v>135</v>
      </c>
      <c r="BO85" s="5">
        <f>BM85-BM84</f>
        <v>5</v>
      </c>
      <c r="BR85">
        <f>BR84+9</f>
        <v>796</v>
      </c>
      <c r="BT85" s="5">
        <f>BR85-BR84</f>
        <v>9</v>
      </c>
      <c r="BU85">
        <f>BU84+0</f>
        <v>0</v>
      </c>
      <c r="BV85" s="5">
        <f>BU85-BU84</f>
        <v>0</v>
      </c>
      <c r="BW85" s="5"/>
      <c r="BX85">
        <f>BX84+0</f>
        <v>55</v>
      </c>
      <c r="BZ85" s="5">
        <f>BX85-BX84</f>
        <v>0</v>
      </c>
      <c r="CC85">
        <f>CC84+12</f>
        <v>348</v>
      </c>
      <c r="CE85" s="5">
        <f>CC85-CC84</f>
        <v>12</v>
      </c>
      <c r="CF85">
        <f>CF84+0</f>
        <v>3</v>
      </c>
      <c r="CG85" s="5">
        <f>CF85-CF84</f>
        <v>0</v>
      </c>
      <c r="CH85" s="5"/>
      <c r="CI85">
        <f>CI84+0</f>
        <v>14</v>
      </c>
      <c r="CK85" s="5">
        <f>CI85-CI84</f>
        <v>0</v>
      </c>
      <c r="CN85">
        <f>CN84+7</f>
        <v>910</v>
      </c>
      <c r="CP85" s="5">
        <f>CN85-CN84</f>
        <v>7</v>
      </c>
      <c r="CQ85">
        <f>CQ84+-1</f>
        <v>21</v>
      </c>
      <c r="CR85" s="5">
        <f>CQ85-CQ84</f>
        <v>-1</v>
      </c>
      <c r="CS85" s="5"/>
      <c r="CT85">
        <f>CT84+-1</f>
        <v>72</v>
      </c>
      <c r="CV85" s="5">
        <f>CT85-CT84</f>
        <v>-1</v>
      </c>
      <c r="CY85">
        <f>CY84+-6</f>
        <v>188</v>
      </c>
      <c r="DA85" s="5">
        <f>CY85-CY84</f>
        <v>-6</v>
      </c>
      <c r="DC85" s="5"/>
      <c r="DD85" s="5"/>
      <c r="DE85">
        <f>DE84+0</f>
        <v>2</v>
      </c>
      <c r="DG85" s="5">
        <f>DE85-DE84</f>
        <v>0</v>
      </c>
      <c r="DI85" s="4">
        <f>DJ85+DK85</f>
        <v>39640</v>
      </c>
      <c r="DJ85">
        <f>O85+Z85+AK85+AV85+BG85+BR85+CC85+CN85+CY85</f>
        <v>39640</v>
      </c>
      <c r="DL85" s="5">
        <f>DJ85-DJ84</f>
        <v>432</v>
      </c>
      <c r="DM85">
        <f>R85+AC85+AN85+AY85+BJ85+BU85+CF85+CQ85+DB85</f>
        <v>740</v>
      </c>
      <c r="DN85" s="3">
        <f>(DM85/DM84)-1</f>
        <v>-0.093137254901960786</v>
      </c>
      <c r="DO85" s="3"/>
      <c r="DP85">
        <f>U85+AF85+AQ85+BB85+BM85+BX85+CI85+CT85+DE85</f>
        <v>3637</v>
      </c>
      <c r="DR85" s="3">
        <f>(DP85/DP84)-1</f>
        <v>0.01535455053043</v>
      </c>
      <c r="DS85" s="1"/>
      <c r="DT85">
        <f>DM85-DM84</f>
        <v>-76</v>
      </c>
      <c r="DV85">
        <v>4</v>
      </c>
      <c r="DW85" t="s">
        <v>36</v>
      </c>
      <c r="DX85" s="8">
        <v>43936</v>
      </c>
      <c r="DY85">
        <v>23</v>
      </c>
      <c r="EA85">
        <v>2</v>
      </c>
      <c r="GA85" s="10">
        <v>43925</v>
      </c>
      <c r="GB85">
        <v>308850</v>
      </c>
      <c r="GC85">
        <f>(GB85/GB84)-1</f>
        <v>0.12070279332041545</v>
      </c>
      <c r="GV85" s="8">
        <v>43918</v>
      </c>
      <c r="GW85">
        <v>12</v>
      </c>
      <c r="GX85" t="s">
        <v>41</v>
      </c>
      <c r="GY85">
        <v>2</v>
      </c>
      <c r="HC85">
        <v>0</v>
      </c>
    </row>
    <row r="86" spans="1:325" ht="20.25">
      <c r="C86">
        <f>H85*D86</f>
        <v>381.99999999742391</v>
      </c>
      <c r="D86">
        <f>0.0096367305751800005</f>
        <v>0.0096367305751800005</v>
      </c>
      <c r="E86" t="s">
        <v>40</v>
      </c>
      <c r="F86" s="10">
        <v>43974</v>
      </c>
      <c r="G86" s="2">
        <f>H86*15</f>
        <v>600329.99999574106</v>
      </c>
      <c r="H86">
        <f>H85+C86</f>
        <v>40021.99999971607</v>
      </c>
      <c r="I86">
        <v>40022</v>
      </c>
      <c r="J86">
        <v>1622612</v>
      </c>
      <c r="K86">
        <f>O86+Z86+AK86+AV86+BG86+BR86+CC86+CN86+CY86</f>
        <v>40022</v>
      </c>
      <c r="L86" s="3">
        <f>(K86/K85)-1</f>
        <v>0.0096367305751765553</v>
      </c>
      <c r="O86">
        <f>O85+6</f>
        <v>1304</v>
      </c>
      <c r="Q86" s="5">
        <f>O86-O85</f>
        <v>6</v>
      </c>
      <c r="R86">
        <f>R85+-1</f>
        <v>5</v>
      </c>
      <c r="S86" s="5">
        <f>R86-R85</f>
        <v>-1</v>
      </c>
      <c r="T86" s="5"/>
      <c r="U86">
        <f>U85+1</f>
        <v>122</v>
      </c>
      <c r="W86" s="5">
        <f>U86-U85</f>
        <v>1</v>
      </c>
      <c r="Z86">
        <f>Z85+82</f>
        <v>9545</v>
      </c>
      <c r="AB86" s="5">
        <f>Z86-Z85</f>
        <v>82</v>
      </c>
      <c r="AC86">
        <f>AC85+-5</f>
        <v>179</v>
      </c>
      <c r="AD86" s="5">
        <f>AC86-AC85</f>
        <v>-5</v>
      </c>
      <c r="AE86" s="5"/>
      <c r="AF86">
        <f>AF85+14</f>
        <v>1169</v>
      </c>
      <c r="AH86" s="5">
        <f>AF86-AF85</f>
        <v>14</v>
      </c>
      <c r="AK86">
        <f>AK85+91</f>
        <v>10847</v>
      </c>
      <c r="AM86" s="5">
        <f>AK86-AK85</f>
        <v>91</v>
      </c>
      <c r="AN86">
        <f>AN85+-7</f>
        <v>265</v>
      </c>
      <c r="AO86" s="5">
        <f>AN86-AN85</f>
        <v>-7</v>
      </c>
      <c r="AP86" s="5"/>
      <c r="AQ86">
        <f>AQ85+9</f>
        <v>897</v>
      </c>
      <c r="AS86" s="5">
        <f>AQ86-AQ85</f>
        <v>9</v>
      </c>
      <c r="AU86" s="4">
        <f>AV86</f>
        <v>14989</v>
      </c>
      <c r="AV86">
        <f>AV85+100</f>
        <v>14989</v>
      </c>
      <c r="AX86" s="5">
        <f>AV86-AV85</f>
        <v>100</v>
      </c>
      <c r="AY86">
        <f>AY85+1</f>
        <v>227</v>
      </c>
      <c r="AZ86" s="5">
        <f>AY86-AY85</f>
        <v>1</v>
      </c>
      <c r="BA86" s="5"/>
      <c r="BB86">
        <f>BB85+13</f>
        <v>1208</v>
      </c>
      <c r="BD86" s="5">
        <f>BB86-BB85</f>
        <v>13</v>
      </c>
      <c r="BG86">
        <f>BG85+7</f>
        <v>999</v>
      </c>
      <c r="BI86" s="5">
        <f>BG86-BG85</f>
        <v>7</v>
      </c>
      <c r="BJ86">
        <f>BJ85+-3</f>
        <v>25</v>
      </c>
      <c r="BK86" s="5">
        <f>BJ86-BJ85</f>
        <v>-3</v>
      </c>
      <c r="BL86" s="5"/>
      <c r="BM86">
        <f>BM85+1</f>
        <v>136</v>
      </c>
      <c r="BO86" s="5">
        <f>BM86-BM85</f>
        <v>1</v>
      </c>
      <c r="BR86">
        <f>BR85+3</f>
        <v>799</v>
      </c>
      <c r="BT86" s="5">
        <f>BR86-BR85</f>
        <v>3</v>
      </c>
      <c r="BU86">
        <f>BU85+0</f>
        <v>0</v>
      </c>
      <c r="BV86" s="5">
        <f>BU86-BU85</f>
        <v>0</v>
      </c>
      <c r="BW86" s="5"/>
      <c r="BX86">
        <f>BX85+0</f>
        <v>55</v>
      </c>
      <c r="BZ86" s="5">
        <f>BX86-BX85</f>
        <v>0</v>
      </c>
      <c r="CC86">
        <f>CC85+6</f>
        <v>354</v>
      </c>
      <c r="CE86" s="5">
        <f>CC86-CC85</f>
        <v>6</v>
      </c>
      <c r="CF86">
        <f>CF85+0</f>
        <v>3</v>
      </c>
      <c r="CG86" s="5">
        <f>CF86-CF85</f>
        <v>0</v>
      </c>
      <c r="CH86" s="5"/>
      <c r="CI86">
        <f>CI85+0</f>
        <v>14</v>
      </c>
      <c r="CK86" s="5">
        <f>CI86-CI85</f>
        <v>0</v>
      </c>
      <c r="CN86">
        <f>CN85+60</f>
        <v>970</v>
      </c>
      <c r="CP86" s="5">
        <f>CN86-CN85</f>
        <v>60</v>
      </c>
      <c r="CQ86">
        <f>CQ85+-1</f>
        <v>20</v>
      </c>
      <c r="CR86" s="5">
        <f>CQ86-CQ85</f>
        <v>-1</v>
      </c>
      <c r="CS86" s="5"/>
      <c r="CT86">
        <f>CT85+0</f>
        <v>72</v>
      </c>
      <c r="CV86" s="5">
        <f>CT86-CT85</f>
        <v>0</v>
      </c>
      <c r="CY86">
        <f>CY85+27</f>
        <v>215</v>
      </c>
      <c r="DA86" s="5">
        <f>CY86-CY85</f>
        <v>27</v>
      </c>
      <c r="DC86" s="5"/>
      <c r="DD86" s="5"/>
      <c r="DE86">
        <f>DE85+0</f>
        <v>2</v>
      </c>
      <c r="DG86" s="5">
        <f>DE86-DE85</f>
        <v>0</v>
      </c>
      <c r="DI86" s="4">
        <f>DJ86+DK86</f>
        <v>40022</v>
      </c>
      <c r="DJ86">
        <f>O86+Z86+AK86+AV86+BG86+BR86+CC86+CN86+CY86</f>
        <v>40022</v>
      </c>
      <c r="DL86" s="5">
        <f>DJ86-DJ85</f>
        <v>382</v>
      </c>
      <c r="DM86">
        <f>R86+AC86+AN86+AY86+BJ86+BU86+CF86+CQ86+DB86</f>
        <v>724</v>
      </c>
      <c r="DN86" s="3">
        <f>(DM86/DM85)-1</f>
        <v>-0.021621621621621623</v>
      </c>
      <c r="DO86" s="3"/>
      <c r="DP86">
        <f>U86+AF86+AQ86+BB86+BM86+BX86+CI86+CT86+DE86</f>
        <v>3675</v>
      </c>
      <c r="DR86" s="3">
        <f>(DP86/DP85)-1</f>
        <v>0.010448171569975351</v>
      </c>
      <c r="DS86" s="1"/>
      <c r="DT86">
        <f>DM86-DM85</f>
        <v>-16</v>
      </c>
      <c r="DV86">
        <v>4</v>
      </c>
      <c r="DW86" t="s">
        <v>36</v>
      </c>
      <c r="DX86" s="8">
        <v>43937</v>
      </c>
      <c r="DY86">
        <v>26</v>
      </c>
      <c r="DZ86">
        <v>142</v>
      </c>
      <c r="EA86">
        <v>2</v>
      </c>
      <c r="GA86" s="10">
        <v>43926</v>
      </c>
      <c r="GB86">
        <v>337072</v>
      </c>
      <c r="GC86" s="12">
        <f>(GB86/GB85)-1</f>
        <v>0.091377691435972075</v>
      </c>
      <c r="GE86" t="inlineStr">
        <is>
          <t>Under ten percent - add one more digit of precision for context</t>
        </is>
      </c>
      <c r="GV86" s="8">
        <v>43919</v>
      </c>
      <c r="GW86">
        <v>12</v>
      </c>
      <c r="GX86" t="s">
        <v>41</v>
      </c>
      <c r="GY86">
        <v>2</v>
      </c>
      <c r="HC86">
        <v>0</v>
      </c>
    </row>
    <row r="87" spans="1:325" ht="20.25">
      <c r="C87">
        <f>H86*D87</f>
        <v>445.99999999599794</v>
      </c>
      <c r="D87">
        <f>0.011143870871</f>
        <v>0.011143870871</v>
      </c>
      <c r="E87" t="s">
        <v>30</v>
      </c>
      <c r="F87" s="10">
        <v>43975</v>
      </c>
      <c r="G87" s="2">
        <f>H87*15</f>
        <v>607019.99999568099</v>
      </c>
      <c r="H87">
        <f>H86+C87</f>
        <v>40467.999999712069</v>
      </c>
      <c r="I87">
        <v>40468</v>
      </c>
      <c r="J87">
        <v>1643246</v>
      </c>
      <c r="K87">
        <f>O87+Z87+AK87+AV87+BG87+BR87+CC87+CN87+CY87</f>
        <v>40468</v>
      </c>
      <c r="L87" s="3">
        <f>(K87/K86)-1</f>
        <v>0.011143870871020978</v>
      </c>
      <c r="O87">
        <f>O86+27</f>
        <v>1331</v>
      </c>
      <c r="Q87" s="5">
        <f>O87-O86</f>
        <v>27</v>
      </c>
      <c r="R87">
        <f>R86+0</f>
        <v>5</v>
      </c>
      <c r="S87" s="5">
        <f>R87-R86</f>
        <v>0</v>
      </c>
      <c r="T87" s="5"/>
      <c r="U87">
        <f>U86+-1</f>
        <v>121</v>
      </c>
      <c r="W87" s="5">
        <f>U87-U86</f>
        <v>-1</v>
      </c>
      <c r="Z87">
        <f>Z86+141</f>
        <v>9686</v>
      </c>
      <c r="AB87" s="5">
        <f>Z87-Z86</f>
        <v>141</v>
      </c>
      <c r="AC87">
        <f>AC86+-15</f>
        <v>164</v>
      </c>
      <c r="AD87" s="5">
        <f>AC87-AC86</f>
        <v>-15</v>
      </c>
      <c r="AE87" s="5"/>
      <c r="AF87">
        <f>AF86+6</f>
        <v>1175</v>
      </c>
      <c r="AH87" s="5">
        <f>AF87-AF86</f>
        <v>6</v>
      </c>
      <c r="AK87">
        <f>AK86+58</f>
        <v>10905</v>
      </c>
      <c r="AM87" s="5">
        <f>AK87-AK86</f>
        <v>58</v>
      </c>
      <c r="AN87">
        <f>AN86+-11</f>
        <v>254</v>
      </c>
      <c r="AO87" s="5">
        <f>AN87-AN86</f>
        <v>-11</v>
      </c>
      <c r="AP87" s="5"/>
      <c r="AQ87">
        <f>AQ86+6</f>
        <v>903</v>
      </c>
      <c r="AS87" s="5">
        <f>AQ87-AQ86</f>
        <v>6</v>
      </c>
      <c r="AU87" s="4">
        <f>AV87</f>
        <v>15114</v>
      </c>
      <c r="AV87">
        <f>AV86+125</f>
        <v>15114</v>
      </c>
      <c r="AX87" s="5">
        <f>AV87-AV86</f>
        <v>125</v>
      </c>
      <c r="AY87">
        <f>AY86+5</f>
        <v>232</v>
      </c>
      <c r="AZ87" s="5">
        <f>AY87-AY86</f>
        <v>5</v>
      </c>
      <c r="BA87" s="5"/>
      <c r="BB87">
        <f>BB86+7</f>
        <v>1215</v>
      </c>
      <c r="BD87" s="5">
        <f>BB87-BB86</f>
        <v>7</v>
      </c>
      <c r="BG87">
        <f>BG86+11</f>
        <v>1010</v>
      </c>
      <c r="BI87" s="5">
        <f>BG87-BG86</f>
        <v>11</v>
      </c>
      <c r="BJ87">
        <f>BJ86+1</f>
        <v>26</v>
      </c>
      <c r="BK87" s="5">
        <f>BJ87-BJ86</f>
        <v>1</v>
      </c>
      <c r="BL87" s="5"/>
      <c r="BM87">
        <f>BM86+0</f>
        <v>136</v>
      </c>
      <c r="BO87" s="5">
        <f>BM87-BM86</f>
        <v>0</v>
      </c>
      <c r="BR87">
        <f>BR86+8</f>
        <v>807</v>
      </c>
      <c r="BT87" s="5">
        <f>BR87-BR86</f>
        <v>8</v>
      </c>
      <c r="BU87">
        <f>BU86+0</f>
        <v>0</v>
      </c>
      <c r="BV87" s="5">
        <f>BU87-BU86</f>
        <v>0</v>
      </c>
      <c r="BW87" s="5"/>
      <c r="BX87">
        <f>BX86+0</f>
        <v>55</v>
      </c>
      <c r="BZ87" s="5">
        <f>BX87-BX86</f>
        <v>0</v>
      </c>
      <c r="CC87">
        <f>CC86+5</f>
        <v>359</v>
      </c>
      <c r="CE87" s="5">
        <f>CC87-CC86</f>
        <v>5</v>
      </c>
      <c r="CF87">
        <f>CF86+0</f>
        <v>3</v>
      </c>
      <c r="CG87" s="5">
        <f>CF87-CF86</f>
        <v>0</v>
      </c>
      <c r="CH87" s="5"/>
      <c r="CI87">
        <f>CI86+0</f>
        <v>14</v>
      </c>
      <c r="CK87" s="5">
        <f>CI87-CI86</f>
        <v>0</v>
      </c>
      <c r="CN87">
        <f>CN86+76</f>
        <v>1046</v>
      </c>
      <c r="CP87" s="5">
        <f>CN87-CN86</f>
        <v>76</v>
      </c>
      <c r="CQ87">
        <f>CQ86+-3</f>
        <v>17</v>
      </c>
      <c r="CR87" s="5">
        <f>CQ87-CQ86</f>
        <v>-3</v>
      </c>
      <c r="CS87" s="5"/>
      <c r="CT87">
        <f>CT86+2</f>
        <v>74</v>
      </c>
      <c r="CV87" s="5">
        <f>CT87-CT86</f>
        <v>2</v>
      </c>
      <c r="CY87">
        <f>CY86+-5</f>
        <v>210</v>
      </c>
      <c r="DA87" s="5">
        <f>CY87-CY86</f>
        <v>-5</v>
      </c>
      <c r="DC87" s="5"/>
      <c r="DD87" s="5"/>
      <c r="DE87">
        <f>DE86+-2</f>
        <v>0</v>
      </c>
      <c r="DG87" s="5">
        <f>DE87-DE86</f>
        <v>-2</v>
      </c>
      <c r="DI87" s="4">
        <f>DJ87+DK87</f>
        <v>40468</v>
      </c>
      <c r="DJ87">
        <f>O87+Z87+AK87+AV87+BG87+BR87+CC87+CN87+CY87</f>
        <v>40468</v>
      </c>
      <c r="DL87" s="5">
        <f>DJ87-DJ86</f>
        <v>446</v>
      </c>
      <c r="DM87">
        <f>R87+AC87+AN87+AY87+BJ87+BU87+CF87+CQ87+DB87</f>
        <v>701</v>
      </c>
      <c r="DN87" s="3">
        <f>(DM87/DM86)-1</f>
        <v>-0.031767955801104919</v>
      </c>
      <c r="DO87" s="3"/>
      <c r="DP87">
        <f>U87+AF87+AQ87+BB87+BM87+BX87+CI87+CT87+DE87</f>
        <v>3693</v>
      </c>
      <c r="DR87" s="3">
        <f>(DP87/DP86)-1</f>
        <v>0.0048979591836735281</v>
      </c>
      <c r="DS87" s="1"/>
      <c r="DT87">
        <f>DM87-DM86</f>
        <v>-23</v>
      </c>
      <c r="DV87">
        <v>4</v>
      </c>
      <c r="DW87" t="s">
        <v>36</v>
      </c>
      <c r="DX87" s="8">
        <v>43938</v>
      </c>
      <c r="DY87">
        <v>28</v>
      </c>
      <c r="DZ87">
        <v>153</v>
      </c>
      <c r="EA87">
        <v>2</v>
      </c>
      <c r="GA87" s="10">
        <v>43927</v>
      </c>
      <c r="GB87">
        <v>366667</v>
      </c>
      <c r="GC87" s="12">
        <f>(GB87/GB86)-1</f>
        <v>0.087800232591256577</v>
      </c>
      <c r="GV87" s="8">
        <v>43920</v>
      </c>
      <c r="GW87">
        <v>12</v>
      </c>
      <c r="GX87" t="s">
        <v>41</v>
      </c>
      <c r="GY87">
        <v>2</v>
      </c>
      <c r="HC87">
        <v>0</v>
      </c>
    </row>
    <row r="88" spans="1:325" ht="20.25">
      <c r="C88">
        <f>H87*D88</f>
        <v>404.99999999892839</v>
      </c>
      <c r="D88">
        <f>0.0100079074825</f>
        <v>0.0100079074825</v>
      </c>
      <c r="E88" t="s">
        <v>33</v>
      </c>
      <c r="F88" s="10">
        <v>43976</v>
      </c>
      <c r="G88" s="2">
        <f>H88*15</f>
        <v>613094.99999566493</v>
      </c>
      <c r="H88">
        <f>H87+C88</f>
        <v>40872.999999710999</v>
      </c>
      <c r="I88">
        <v>40873</v>
      </c>
      <c r="J88">
        <v>1662302</v>
      </c>
      <c r="K88">
        <f>O88+Z88+AK88+AV88+BG88+BR88+CC88+CN88+CY88</f>
        <v>40873</v>
      </c>
      <c r="L88" s="3">
        <f>(K88/K87)-1</f>
        <v>0.010007907482455281</v>
      </c>
      <c r="O88">
        <f>O87+15</f>
        <v>1346</v>
      </c>
      <c r="Q88" s="5">
        <f>O88-O87</f>
        <v>15</v>
      </c>
      <c r="R88">
        <f>R87+1</f>
        <v>6</v>
      </c>
      <c r="S88" s="5">
        <f>R88-R87</f>
        <v>1</v>
      </c>
      <c r="T88" s="5"/>
      <c r="U88">
        <f>U87+5</f>
        <v>126</v>
      </c>
      <c r="W88" s="5">
        <f>U88-U87</f>
        <v>5</v>
      </c>
      <c r="Z88">
        <f>Z87+155</f>
        <v>9841</v>
      </c>
      <c r="AB88" s="5">
        <f>Z88-Z87</f>
        <v>155</v>
      </c>
      <c r="AC88">
        <f>AC87+2</f>
        <v>166</v>
      </c>
      <c r="AD88" s="5">
        <f>AC88-AC87</f>
        <v>2</v>
      </c>
      <c r="AE88" s="5"/>
      <c r="AF88">
        <f>AF87+12</f>
        <v>1187</v>
      </c>
      <c r="AH88" s="5">
        <f>AF88-AF87</f>
        <v>12</v>
      </c>
      <c r="AK88">
        <f>AK87+112</f>
        <v>11017</v>
      </c>
      <c r="AM88" s="5">
        <f>AK88-AK87</f>
        <v>112</v>
      </c>
      <c r="AN88">
        <f>AN87+-1</f>
        <v>253</v>
      </c>
      <c r="AO88" s="5">
        <f>AN88-AN87</f>
        <v>-1</v>
      </c>
      <c r="AP88" s="5"/>
      <c r="AQ88">
        <f>AQ87+19</f>
        <v>922</v>
      </c>
      <c r="AS88" s="5">
        <f>AQ88-AQ87</f>
        <v>19</v>
      </c>
      <c r="AU88" s="4">
        <f>AV88+AW88</f>
        <v>15213</v>
      </c>
      <c r="AV88">
        <f>AV87+99</f>
        <v>15213</v>
      </c>
      <c r="AX88" s="5">
        <f>AV88-AV87</f>
        <v>99</v>
      </c>
      <c r="AY88">
        <f>AY87+1</f>
        <v>233</v>
      </c>
      <c r="AZ88" s="5">
        <f>AY88-AY87</f>
        <v>1</v>
      </c>
      <c r="BA88" s="5"/>
      <c r="BB88">
        <f>BB87+6</f>
        <v>1221</v>
      </c>
      <c r="BD88" s="5">
        <f>BB88-BB87</f>
        <v>6</v>
      </c>
      <c r="BG88">
        <f>BG87+2</f>
        <v>1012</v>
      </c>
      <c r="BI88" s="5">
        <f>BG88-BG87</f>
        <v>2</v>
      </c>
      <c r="BJ88">
        <f>BJ87+3</f>
        <v>29</v>
      </c>
      <c r="BK88" s="5">
        <f>BJ88-BJ87</f>
        <v>3</v>
      </c>
      <c r="BL88" s="5"/>
      <c r="BM88">
        <f>BM87+2</f>
        <v>138</v>
      </c>
      <c r="BO88" s="5">
        <f>BM88-BM87</f>
        <v>2</v>
      </c>
      <c r="BR88">
        <f>BR87+5</f>
        <v>812</v>
      </c>
      <c r="BT88" s="5">
        <f>BR88-BR87</f>
        <v>5</v>
      </c>
      <c r="BU88">
        <f>BU87+0</f>
        <v>0</v>
      </c>
      <c r="BV88" s="5">
        <f>BU88-BU87</f>
        <v>0</v>
      </c>
      <c r="BW88" s="5"/>
      <c r="BX88">
        <f>BX87+1</f>
        <v>56</v>
      </c>
      <c r="BZ88" s="5">
        <f>BX88-BX87</f>
        <v>1</v>
      </c>
      <c r="CC88">
        <f>CC87+6</f>
        <v>365</v>
      </c>
      <c r="CE88" s="5">
        <f>CC88-CC87</f>
        <v>6</v>
      </c>
      <c r="CF88">
        <f>CF87+0</f>
        <v>3</v>
      </c>
      <c r="CG88" s="5">
        <f>CF88-CF87</f>
        <v>0</v>
      </c>
      <c r="CH88" s="5"/>
      <c r="CI88">
        <f>CI87+0</f>
        <v>14</v>
      </c>
      <c r="CK88" s="5">
        <f>CI88-CI87</f>
        <v>0</v>
      </c>
      <c r="CN88">
        <f>CN87+-3</f>
        <v>1043</v>
      </c>
      <c r="CP88" s="5">
        <f>CN88-CN87</f>
        <v>-3</v>
      </c>
      <c r="CQ88">
        <f>CQ87+-1</f>
        <v>16</v>
      </c>
      <c r="CR88" s="5">
        <f>CQ88-CQ87</f>
        <v>-1</v>
      </c>
      <c r="CS88" s="5"/>
      <c r="CT88">
        <f>CT87+4</f>
        <v>78</v>
      </c>
      <c r="CV88" s="5">
        <f>CT88-CT87</f>
        <v>4</v>
      </c>
      <c r="CY88">
        <f>CY87+14</f>
        <v>224</v>
      </c>
      <c r="DA88" s="5">
        <f>CY88-CY87</f>
        <v>14</v>
      </c>
      <c r="DC88" s="5"/>
      <c r="DD88" s="5"/>
      <c r="DE88">
        <f>DE87+0</f>
        <v>0</v>
      </c>
      <c r="DG88" s="5">
        <f>DE88-DE87</f>
        <v>0</v>
      </c>
      <c r="DI88" s="4">
        <f>DJ88+DK88</f>
        <v>40873</v>
      </c>
      <c r="DJ88">
        <f>O88+Z88+AK88+AV88+BG88+BR88+CC88+CN88+CY88</f>
        <v>40873</v>
      </c>
      <c r="DL88" s="5">
        <f>DJ88-DJ87</f>
        <v>405</v>
      </c>
      <c r="DM88">
        <f>R88+AC88+AN88+AY88+BJ88+BU88+CF88+CQ88+DB88</f>
        <v>706</v>
      </c>
      <c r="DN88" s="3">
        <f>(DM88/DM87)-1</f>
        <v>0.007132667617689048</v>
      </c>
      <c r="DO88" s="3"/>
      <c r="DP88">
        <f>U88+AF88+AQ88+BB88+BM88+BX88+CI88+CT88+DE88</f>
        <v>3742</v>
      </c>
      <c r="DR88" s="3">
        <f>(DP88/DP87)-1</f>
        <v>0.013268345518548497</v>
      </c>
      <c r="DS88" s="1"/>
      <c r="DT88">
        <f>DM88-DM87</f>
        <v>5</v>
      </c>
      <c r="DV88">
        <v>4</v>
      </c>
      <c r="DW88" t="s">
        <v>36</v>
      </c>
      <c r="DX88" s="8">
        <v>43939</v>
      </c>
      <c r="DY88">
        <v>29</v>
      </c>
      <c r="DZ88">
        <v>158</v>
      </c>
      <c r="EA88">
        <v>2</v>
      </c>
      <c r="GA88" s="10">
        <v>43928</v>
      </c>
      <c r="GB88">
        <v>396223</v>
      </c>
      <c r="GC88" s="12">
        <f>(GB88/GB87)-1</f>
        <v>0.080607199448000433</v>
      </c>
      <c r="GV88" s="8">
        <v>43921</v>
      </c>
      <c r="GW88">
        <v>12</v>
      </c>
      <c r="GX88" t="s">
        <v>41</v>
      </c>
      <c r="GY88">
        <v>2</v>
      </c>
      <c r="HC88">
        <v>2</v>
      </c>
    </row>
    <row r="89" spans="1:325" ht="20.25">
      <c r="C89">
        <f>H88*D89</f>
        <v>429.99999999680188</v>
      </c>
      <c r="D89">
        <f>0.010520392435099999</f>
        <v>0.010520392435099999</v>
      </c>
      <c r="E89" t="s">
        <v>34</v>
      </c>
      <c r="F89" s="10">
        <v>43977</v>
      </c>
      <c r="G89" s="2">
        <f>H89*15</f>
        <v>619544.99999561696</v>
      </c>
      <c r="H89">
        <f>H88+C89</f>
        <v>41302.999999707798</v>
      </c>
      <c r="I89">
        <v>41303</v>
      </c>
      <c r="J89">
        <v>1680913</v>
      </c>
      <c r="K89">
        <f>O89+Z89+AK89+AV89+BG89+BR89+CC89+CN89+CY89</f>
        <v>41303</v>
      </c>
      <c r="L89" s="3">
        <f>(K89/K88)-1</f>
        <v>0.010520392435103831</v>
      </c>
      <c r="O89">
        <f>O88+14</f>
        <v>1360</v>
      </c>
      <c r="Q89" s="5">
        <f>O89-O88</f>
        <v>14</v>
      </c>
      <c r="R89">
        <f>R88+-2</f>
        <v>4</v>
      </c>
      <c r="S89" s="5">
        <f>R89-R88</f>
        <v>-2</v>
      </c>
      <c r="T89" s="5"/>
      <c r="U89">
        <f>U88+3</f>
        <v>129</v>
      </c>
      <c r="W89" s="5">
        <f>U89-U88</f>
        <v>3</v>
      </c>
      <c r="Z89">
        <f>Z88+76</f>
        <v>9917</v>
      </c>
      <c r="AB89" s="5">
        <f>Z89-Z88</f>
        <v>76</v>
      </c>
      <c r="AC89">
        <f>AC88+7</f>
        <v>173</v>
      </c>
      <c r="AD89" s="5">
        <f>AC89-AC88</f>
        <v>7</v>
      </c>
      <c r="AE89" s="5"/>
      <c r="AF89">
        <f>AF88+6</f>
        <v>1193</v>
      </c>
      <c r="AH89" s="5">
        <f>AF89-AF88</f>
        <v>6</v>
      </c>
      <c r="AK89">
        <f>AK88+104</f>
        <v>11121</v>
      </c>
      <c r="AM89" s="5">
        <f>AK89-AK88</f>
        <v>104</v>
      </c>
      <c r="AN89">
        <f>AN88+-5</f>
        <v>248</v>
      </c>
      <c r="AO89" s="5">
        <f>AN89-AN88</f>
        <v>-5</v>
      </c>
      <c r="AP89" s="5"/>
      <c r="AQ89">
        <f>AQ88+3</f>
        <v>925</v>
      </c>
      <c r="AS89" s="5">
        <f>AQ89-AQ88</f>
        <v>3</v>
      </c>
      <c r="AU89" s="4">
        <f>AV89+AW89</f>
        <v>15355</v>
      </c>
      <c r="AV89">
        <f>AV88+142</f>
        <v>15355</v>
      </c>
      <c r="AX89" s="5">
        <f>AV89-AV88</f>
        <v>142</v>
      </c>
      <c r="AY89">
        <f>AY88+-8</f>
        <v>225</v>
      </c>
      <c r="AZ89" s="5">
        <f>AY89-AY88</f>
        <v>-8</v>
      </c>
      <c r="BA89" s="5"/>
      <c r="BB89">
        <f>BB88+10</f>
        <v>1231</v>
      </c>
      <c r="BD89" s="5">
        <f>BB89-BB88</f>
        <v>10</v>
      </c>
      <c r="BG89">
        <f>BG88+14</f>
        <v>1026</v>
      </c>
      <c r="BI89" s="5">
        <f>BG89-BG88</f>
        <v>14</v>
      </c>
      <c r="BJ89">
        <f>BJ88+-1</f>
        <v>28</v>
      </c>
      <c r="BK89" s="5">
        <f>BJ89-BJ88</f>
        <v>-1</v>
      </c>
      <c r="BL89" s="5"/>
      <c r="BM89">
        <f>BM88+4</f>
        <v>142</v>
      </c>
      <c r="BO89" s="5">
        <f>BM89-BM88</f>
        <v>4</v>
      </c>
      <c r="BR89">
        <f>BR88+9</f>
        <v>821</v>
      </c>
      <c r="BT89" s="5">
        <f>BR89-BR88</f>
        <v>9</v>
      </c>
      <c r="BU89">
        <f>BU88+0</f>
        <v>0</v>
      </c>
      <c r="BV89" s="5">
        <f>BU89-BU88</f>
        <v>0</v>
      </c>
      <c r="BW89" s="5"/>
      <c r="BX89">
        <f>BX88+0</f>
        <v>56</v>
      </c>
      <c r="BZ89" s="5">
        <f>BX89-BX88</f>
        <v>0</v>
      </c>
      <c r="CC89">
        <f>CC88+6</f>
        <v>371</v>
      </c>
      <c r="CE89" s="5">
        <f>CC89-CC88</f>
        <v>6</v>
      </c>
      <c r="CF89">
        <f>CF88+-1</f>
        <v>2</v>
      </c>
      <c r="CG89" s="5">
        <f>CF89-CF88</f>
        <v>-1</v>
      </c>
      <c r="CH89" s="5"/>
      <c r="CI89">
        <f>CI88+0</f>
        <v>14</v>
      </c>
      <c r="CK89" s="5">
        <f>CI89-CI88</f>
        <v>0</v>
      </c>
      <c r="CN89">
        <f>CN88+32</f>
        <v>1075</v>
      </c>
      <c r="CP89" s="5">
        <f>CN89-CN88</f>
        <v>32</v>
      </c>
      <c r="CQ89">
        <f>CQ88+-2</f>
        <v>14</v>
      </c>
      <c r="CR89" s="5">
        <f>CQ89-CQ88</f>
        <v>-2</v>
      </c>
      <c r="CS89" s="5"/>
      <c r="CT89">
        <f>CT88+0</f>
        <v>78</v>
      </c>
      <c r="CV89" s="5">
        <f>CT89-CT88</f>
        <v>0</v>
      </c>
      <c r="CY89">
        <f>CY88+33</f>
        <v>257</v>
      </c>
      <c r="DA89" s="5">
        <f>CY89-CY88</f>
        <v>33</v>
      </c>
      <c r="DC89" s="5"/>
      <c r="DD89" s="5"/>
      <c r="DE89">
        <f>DE88+1</f>
        <v>1</v>
      </c>
      <c r="DG89" s="5">
        <f>DE89-DE88</f>
        <v>1</v>
      </c>
      <c r="DI89" s="4">
        <f>DJ89+DK89</f>
        <v>41303</v>
      </c>
      <c r="DJ89">
        <f>O89+Z89+AK89+AV89+BG89+BR89+CC89+CN89+CY89</f>
        <v>41303</v>
      </c>
      <c r="DL89" s="5">
        <f>DJ89-DJ88</f>
        <v>430</v>
      </c>
      <c r="DM89">
        <f>R89+AC89+AN89+AY89+BJ89+BU89+CF89+CQ89+DB89</f>
        <v>694</v>
      </c>
      <c r="DN89" s="3">
        <f>(DM89/DM88)-1</f>
        <v>-0.016997167138810165</v>
      </c>
      <c r="DO89" s="3"/>
      <c r="DP89">
        <f>U89+AF89+AQ89+BB89+BM89+BX89+CI89+CT89+DE89</f>
        <v>3769</v>
      </c>
      <c r="DR89" s="3">
        <f>(DP89/DP88)-1</f>
        <v>0.0072153928380545018</v>
      </c>
      <c r="DS89" s="1"/>
      <c r="DT89">
        <f>DM89-DM88</f>
        <v>-12</v>
      </c>
      <c r="DV89">
        <v>4</v>
      </c>
      <c r="DW89" t="s">
        <v>36</v>
      </c>
      <c r="DX89" s="8">
        <v>43940</v>
      </c>
      <c r="DY89">
        <v>30</v>
      </c>
      <c r="DZ89">
        <v>164</v>
      </c>
      <c r="EA89">
        <v>2</v>
      </c>
      <c r="GA89" s="10">
        <v>43929</v>
      </c>
      <c r="GB89">
        <v>429052</v>
      </c>
      <c r="GC89" s="12">
        <f>(GB89/GB88)-1</f>
        <v>0.0828548569871006</v>
      </c>
      <c r="GV89" s="8">
        <v>43922</v>
      </c>
      <c r="GW89">
        <v>12</v>
      </c>
      <c r="GX89" t="s">
        <v>41</v>
      </c>
      <c r="GY89">
        <v>2</v>
      </c>
      <c r="HC89">
        <v>2</v>
      </c>
    </row>
    <row r="90" spans="1:325" ht="20.25">
      <c r="C90">
        <f>H89*D90</f>
        <v>-14.999999999891198</v>
      </c>
      <c r="D90">
        <f>-0.00036316974553899999</f>
        <v>-0.00036316974553899999</v>
      </c>
      <c r="E90" t="s">
        <v>35</v>
      </c>
      <c r="F90" s="10">
        <v>43978</v>
      </c>
      <c r="G90" s="2">
        <f>H90*15</f>
        <v>619319.99999561859</v>
      </c>
      <c r="H90">
        <f>H89+C90</f>
        <v>41287.999999707907</v>
      </c>
      <c r="I90">
        <v>41288</v>
      </c>
      <c r="J90">
        <v>1699176</v>
      </c>
      <c r="K90">
        <f>O90+Z90+AK90+AV90+BG90+BR90+CC90+CN90+CY90</f>
        <v>41288</v>
      </c>
      <c r="L90" s="3">
        <f>(K90/K89)-1</f>
        <v>-0.00036316974553907144</v>
      </c>
      <c r="O90">
        <f>O89+0</f>
        <v>1360</v>
      </c>
      <c r="Q90" s="5">
        <f>O90-O89</f>
        <v>0</v>
      </c>
      <c r="R90">
        <f>R89+1</f>
        <v>5</v>
      </c>
      <c r="S90" s="5">
        <f>R90-R89</f>
        <v>1</v>
      </c>
      <c r="T90" s="5"/>
      <c r="U90">
        <f>U89+1</f>
        <v>130</v>
      </c>
      <c r="W90" s="5">
        <f>U90-U89</f>
        <v>1</v>
      </c>
      <c r="Z90">
        <f>Z89+45</f>
        <v>9962</v>
      </c>
      <c r="AB90" s="5">
        <f>Z90-Z89</f>
        <v>45</v>
      </c>
      <c r="AC90">
        <f>AC89+-8</f>
        <v>165</v>
      </c>
      <c r="AD90" s="5">
        <f>AC90-AC89</f>
        <v>-8</v>
      </c>
      <c r="AE90" s="5"/>
      <c r="AF90">
        <f>AF89+10</f>
        <v>1203</v>
      </c>
      <c r="AH90" s="5">
        <f>AF90-AF89</f>
        <v>10</v>
      </c>
      <c r="AK90">
        <f>AK89+3</f>
        <v>11124</v>
      </c>
      <c r="AM90" s="5">
        <f>AK90-AK89</f>
        <v>3</v>
      </c>
      <c r="AN90">
        <f>AN89+0</f>
        <v>248</v>
      </c>
      <c r="AO90" s="5">
        <f>AN90-AN89</f>
        <v>0</v>
      </c>
      <c r="AP90" s="5"/>
      <c r="AQ90">
        <f>AQ89+9</f>
        <v>934</v>
      </c>
      <c r="AS90" s="5">
        <f>AQ90-AQ89</f>
        <v>9</v>
      </c>
      <c r="AU90" s="4">
        <f>AV90+AW90</f>
        <v>15314</v>
      </c>
      <c r="AV90">
        <f>AV89+-41</f>
        <v>15314</v>
      </c>
      <c r="AX90" s="5">
        <f>AV90-AV89</f>
        <v>-41</v>
      </c>
      <c r="AY90">
        <f>AY89+-5</f>
        <v>220</v>
      </c>
      <c r="AZ90" s="5">
        <f>AY90-AY89</f>
        <v>-5</v>
      </c>
      <c r="BA90" s="5"/>
      <c r="BB90">
        <f>BB89+11</f>
        <v>1242</v>
      </c>
      <c r="BD90" s="5">
        <f>BB90-BB89</f>
        <v>11</v>
      </c>
      <c r="BG90">
        <f>BG89+35</f>
        <v>1061</v>
      </c>
      <c r="BI90" s="5">
        <f>BG90-BG89</f>
        <v>35</v>
      </c>
      <c r="BJ90">
        <f>BJ89+2</f>
        <v>30</v>
      </c>
      <c r="BK90" s="5">
        <f>BJ90-BJ89</f>
        <v>2</v>
      </c>
      <c r="BL90" s="5"/>
      <c r="BM90">
        <f>BM89+1</f>
        <v>143</v>
      </c>
      <c r="BO90" s="5">
        <f>BM90-BM89</f>
        <v>1</v>
      </c>
      <c r="BR90">
        <f>BR89+-6</f>
        <v>815</v>
      </c>
      <c r="BT90" s="5">
        <f>BR90-BR89</f>
        <v>-6</v>
      </c>
      <c r="BU90">
        <f>BU89+0</f>
        <v>0</v>
      </c>
      <c r="BV90" s="5">
        <f>BU90-BU89</f>
        <v>0</v>
      </c>
      <c r="BW90" s="5"/>
      <c r="BX90">
        <f>BX89+1</f>
        <v>57</v>
      </c>
      <c r="BZ90" s="5">
        <f>BX90-BX89</f>
        <v>1</v>
      </c>
      <c r="CC90">
        <f>CC89+0</f>
        <v>371</v>
      </c>
      <c r="CE90" s="5">
        <f>CC90-CC89</f>
        <v>0</v>
      </c>
      <c r="CF90">
        <f>CF89+-1</f>
        <v>1</v>
      </c>
      <c r="CG90" s="5">
        <f>CF90-CF89</f>
        <v>-1</v>
      </c>
      <c r="CH90" s="5"/>
      <c r="CI90">
        <f>CI89+0</f>
        <v>14</v>
      </c>
      <c r="CK90" s="5">
        <f>CI90-CI89</f>
        <v>0</v>
      </c>
      <c r="CN90">
        <f>CN89+-22</f>
        <v>1053</v>
      </c>
      <c r="CP90" s="5">
        <f>CN90-CN89</f>
        <v>-22</v>
      </c>
      <c r="CQ90">
        <f>CQ89+1</f>
        <v>15</v>
      </c>
      <c r="CR90" s="5">
        <f>CQ90-CQ89</f>
        <v>1</v>
      </c>
      <c r="CS90" s="5"/>
      <c r="CT90">
        <f>CT89+1</f>
        <v>79</v>
      </c>
      <c r="CV90" s="5">
        <f>CT90-CT89</f>
        <v>1</v>
      </c>
      <c r="CY90">
        <f>CY89+-29</f>
        <v>228</v>
      </c>
      <c r="DA90" s="5">
        <f>CY90-CY89</f>
        <v>-29</v>
      </c>
      <c r="DC90" s="5"/>
      <c r="DD90" s="5"/>
      <c r="DE90">
        <f>DE89+0</f>
        <v>1</v>
      </c>
      <c r="DG90" s="5">
        <f>DE90-DE89</f>
        <v>0</v>
      </c>
      <c r="DI90" s="4">
        <f>DJ90+DK90</f>
        <v>41288</v>
      </c>
      <c r="DJ90">
        <f>O90+Z90+AK90+AV90+BG90+BR90+CC90+CN90+CY90</f>
        <v>41288</v>
      </c>
      <c r="DL90" s="5">
        <f>DJ90-DJ89</f>
        <v>-15</v>
      </c>
      <c r="DM90">
        <f>R90+AC90+AN90+AY90+BJ90+BU90+CF90+CQ90+DB90</f>
        <v>684</v>
      </c>
      <c r="DN90" s="3">
        <f>(DM90/DM89)-1</f>
        <v>-0.014409221902017322</v>
      </c>
      <c r="DO90" s="3"/>
      <c r="DP90">
        <f>U90+AF90+AQ90+BB90+BM90+BX90+CI90+CT90+DE90</f>
        <v>3803</v>
      </c>
      <c r="DR90" s="3">
        <f>(DP90/DP89)-1</f>
        <v>0.0090209604669673205</v>
      </c>
      <c r="DS90" s="1"/>
      <c r="DT90">
        <f>DM90-DM89</f>
        <v>-10</v>
      </c>
      <c r="DV90">
        <v>4</v>
      </c>
      <c r="DW90" t="s">
        <v>36</v>
      </c>
      <c r="DX90" s="8">
        <v>43941</v>
      </c>
      <c r="DY90">
        <v>35</v>
      </c>
      <c r="DZ90">
        <v>191</v>
      </c>
      <c r="EA90">
        <v>2</v>
      </c>
      <c r="GA90" s="10">
        <v>43930</v>
      </c>
      <c r="GB90">
        <v>461437</v>
      </c>
      <c r="GC90" s="12">
        <f>(GB90/GB89)-1</f>
        <v>0.07548036135480074</v>
      </c>
      <c r="GV90" s="8">
        <v>43923</v>
      </c>
      <c r="GW90">
        <v>12</v>
      </c>
      <c r="GX90" t="s">
        <v>41</v>
      </c>
      <c r="GY90">
        <v>3</v>
      </c>
      <c r="HC90">
        <v>2</v>
      </c>
    </row>
    <row r="91" spans="1:325" ht="20.25">
      <c r="C91">
        <f>H90*D91</f>
        <v>270.99999999816072</v>
      </c>
      <c r="D91">
        <f>0.0065636504553399999</f>
        <v>0.0065636504553399999</v>
      </c>
      <c r="E91" t="s">
        <v>37</v>
      </c>
      <c r="F91" s="10">
        <v>43979</v>
      </c>
      <c r="G91" s="2">
        <f>H91*15</f>
        <v>623384.999995591</v>
      </c>
      <c r="H91">
        <f>H90+C91</f>
        <v>41558.999999706066</v>
      </c>
      <c r="I91">
        <v>41559</v>
      </c>
      <c r="J91">
        <v>1721753</v>
      </c>
      <c r="K91">
        <f>O91+Z91+AK91+AV91+BG91+BR91+CC91+CN91+CY91</f>
        <v>41559</v>
      </c>
      <c r="L91" s="3">
        <f>(K91/K90)-1</f>
        <v>0.0065636504553381325</v>
      </c>
      <c r="O91">
        <f>O90+6</f>
        <v>1366</v>
      </c>
      <c r="Q91" s="5">
        <f>O91-O90</f>
        <v>6</v>
      </c>
      <c r="R91">
        <f>R90+3</f>
        <v>8</v>
      </c>
      <c r="S91" s="5">
        <f>R91-R90</f>
        <v>3</v>
      </c>
      <c r="T91" s="5"/>
      <c r="U91">
        <f>U90+-2</f>
        <v>128</v>
      </c>
      <c r="W91" s="5">
        <f>U91-U90</f>
        <v>-2</v>
      </c>
      <c r="Z91">
        <f>Z90+116</f>
        <v>10078</v>
      </c>
      <c r="AB91" s="5">
        <f>Z91-Z90</f>
        <v>116</v>
      </c>
      <c r="AC91">
        <f>AC90+-7</f>
        <v>158</v>
      </c>
      <c r="AD91" s="5">
        <f>AC91-AC90</f>
        <v>-7</v>
      </c>
      <c r="AE91" s="5"/>
      <c r="AF91">
        <f>AF90+5</f>
        <v>1208</v>
      </c>
      <c r="AH91" s="5">
        <f>AF91-AF90</f>
        <v>5</v>
      </c>
      <c r="AK91">
        <f>AK90+74</f>
        <v>11198</v>
      </c>
      <c r="AM91" s="5">
        <f>AK91-AK90</f>
        <v>74</v>
      </c>
      <c r="AN91">
        <f>AN90+-16</f>
        <v>232</v>
      </c>
      <c r="AO91" s="5">
        <f>AN91-AN90</f>
        <v>-16</v>
      </c>
      <c r="AP91" s="5"/>
      <c r="AQ91">
        <f>AQ90+12</f>
        <v>946</v>
      </c>
      <c r="AS91" s="5">
        <f>AQ91-AQ90</f>
        <v>12</v>
      </c>
      <c r="AU91" s="4">
        <f>AV91+AW91</f>
        <v>15353</v>
      </c>
      <c r="AV91">
        <f>AV90+39</f>
        <v>15353</v>
      </c>
      <c r="AX91" s="5">
        <f>AV91-AV90</f>
        <v>39</v>
      </c>
      <c r="AY91">
        <f>AY90+-9</f>
        <v>211</v>
      </c>
      <c r="AZ91" s="5">
        <f>AY91-AY90</f>
        <v>-9</v>
      </c>
      <c r="BA91" s="5"/>
      <c r="BB91">
        <f>BB90+4</f>
        <v>1246</v>
      </c>
      <c r="BD91" s="5">
        <f>BB91-BB90</f>
        <v>4</v>
      </c>
      <c r="BG91">
        <f>BG90+21</f>
        <v>1082</v>
      </c>
      <c r="BI91" s="5">
        <f>BG91-BG90</f>
        <v>21</v>
      </c>
      <c r="BJ91">
        <f>BJ90+-6</f>
        <v>24</v>
      </c>
      <c r="BK91" s="5">
        <f>BJ91-BJ90</f>
        <v>-6</v>
      </c>
      <c r="BL91" s="5"/>
      <c r="BM91">
        <f>BM90+1</f>
        <v>144</v>
      </c>
      <c r="BO91" s="5">
        <f>BM91-BM90</f>
        <v>1</v>
      </c>
      <c r="BR91">
        <f>BR90+7</f>
        <v>822</v>
      </c>
      <c r="BT91" s="5">
        <f>BR91-BR90</f>
        <v>7</v>
      </c>
      <c r="BU91">
        <f>BU90+2</f>
        <v>2</v>
      </c>
      <c r="BV91" s="5">
        <f>BU91-BU90</f>
        <v>2</v>
      </c>
      <c r="BW91" s="5"/>
      <c r="BX91">
        <f>BX90+0</f>
        <v>57</v>
      </c>
      <c r="BZ91" s="5">
        <f>BX91-BX90</f>
        <v>0</v>
      </c>
      <c r="CC91">
        <f>CC90+4</f>
        <v>375</v>
      </c>
      <c r="CE91" s="5">
        <f>CC91-CC90</f>
        <v>4</v>
      </c>
      <c r="CF91">
        <f>CF90+0</f>
        <v>1</v>
      </c>
      <c r="CG91" s="5">
        <f>CF91-CF90</f>
        <v>0</v>
      </c>
      <c r="CH91" s="5"/>
      <c r="CI91">
        <f>CI90+0</f>
        <v>14</v>
      </c>
      <c r="CK91" s="5">
        <f>CI91-CI90</f>
        <v>0</v>
      </c>
      <c r="CN91">
        <f>CN90+14</f>
        <v>1067</v>
      </c>
      <c r="CP91" s="5">
        <f>CN91-CN90</f>
        <v>14</v>
      </c>
      <c r="CQ91">
        <f>CQ90+-3</f>
        <v>12</v>
      </c>
      <c r="CR91" s="5">
        <f>CQ91-CQ90</f>
        <v>-3</v>
      </c>
      <c r="CS91">
        <f>CT91+CU91</f>
        <v>83</v>
      </c>
      <c r="CT91">
        <f>CT90+4</f>
        <v>83</v>
      </c>
      <c r="CV91" s="5">
        <f>CT91-CT90</f>
        <v>4</v>
      </c>
      <c r="CY91">
        <f>CY90+-10</f>
        <v>218</v>
      </c>
      <c r="DA91" s="5">
        <f>CY91-CY90</f>
        <v>-10</v>
      </c>
      <c r="DC91" s="5"/>
      <c r="DD91" s="5"/>
      <c r="DE91">
        <f>DE90+-1</f>
        <v>0</v>
      </c>
      <c r="DG91" s="5">
        <f>DE91-DE90</f>
        <v>-1</v>
      </c>
      <c r="DI91" s="4">
        <f>DJ91+DK91</f>
        <v>41559</v>
      </c>
      <c r="DJ91">
        <f>O91+Z91+AK91+AV91+BG91+BR91+CC91+CN91+CY91</f>
        <v>41559</v>
      </c>
      <c r="DL91" s="5">
        <f>DJ91-DJ90</f>
        <v>271</v>
      </c>
      <c r="DM91">
        <f>R91+AC91+AN91+AY91+BJ91+BU91+CF91+CQ91+DB91</f>
        <v>648</v>
      </c>
      <c r="DN91" s="3">
        <f>(DM91/DM90)-1</f>
        <v>-0.052631578947368474</v>
      </c>
      <c r="DO91" s="3"/>
      <c r="DP91">
        <f>U91+AF91+AQ91+BB91+BM91+BX91+CI91+CT91+DE91</f>
        <v>3826</v>
      </c>
      <c r="DR91" s="3">
        <f>(DP91/DP90)-1</f>
        <v>0.0060478569550355132</v>
      </c>
      <c r="DS91" s="1"/>
      <c r="DT91">
        <f>DM91-DM90</f>
        <v>-36</v>
      </c>
      <c r="DV91">
        <v>4</v>
      </c>
      <c r="DW91" t="s">
        <v>36</v>
      </c>
      <c r="DX91" s="8">
        <v>43942</v>
      </c>
      <c r="DY91">
        <v>36</v>
      </c>
      <c r="DZ91">
        <v>197</v>
      </c>
      <c r="EA91">
        <v>3</v>
      </c>
      <c r="GA91" s="10">
        <v>43931</v>
      </c>
      <c r="GB91">
        <v>496535</v>
      </c>
      <c r="GC91" s="12">
        <f>(GB91/GB90)-1</f>
        <v>0.076062387714899371</v>
      </c>
      <c r="GV91" s="8">
        <v>43924</v>
      </c>
      <c r="GW91">
        <v>12</v>
      </c>
      <c r="GX91" t="s">
        <v>41</v>
      </c>
      <c r="GY91">
        <v>4</v>
      </c>
      <c r="HC91">
        <v>2</v>
      </c>
    </row>
    <row r="92" spans="1:325" ht="20.25">
      <c r="C92">
        <f>H91*D92</f>
        <v>202.99999999840978</v>
      </c>
      <c r="D92">
        <f>0.0048846218628900004</f>
        <v>0.0048846218628900004</v>
      </c>
      <c r="E92" t="s">
        <v>38</v>
      </c>
      <c r="F92" s="10">
        <v>43980</v>
      </c>
      <c r="G92" s="2">
        <f>H92*15</f>
        <v>626429.99999556714</v>
      </c>
      <c r="H92">
        <f>H91+C92</f>
        <v>41761.999999704472</v>
      </c>
      <c r="I92">
        <v>41762</v>
      </c>
      <c r="J92">
        <v>1746019</v>
      </c>
      <c r="K92">
        <f>O92+Z92+AK92+AV92+BG92+BR92+CC92+CN92+CY92</f>
        <v>41762</v>
      </c>
      <c r="L92" s="3">
        <f>(K92/K91)-1</f>
        <v>0.0048846218628937343</v>
      </c>
      <c r="O92">
        <f>O91+9</f>
        <v>1375</v>
      </c>
      <c r="Q92" s="5">
        <f>O92-O91</f>
        <v>9</v>
      </c>
      <c r="R92">
        <f>R91+-3</f>
        <v>5</v>
      </c>
      <c r="S92" s="5">
        <f>R92-R91</f>
        <v>-3</v>
      </c>
      <c r="T92" s="5"/>
      <c r="U92">
        <f>U91+2</f>
        <v>130</v>
      </c>
      <c r="W92" s="5">
        <f>U92-U91</f>
        <v>2</v>
      </c>
      <c r="Z92">
        <f>Z91+68</f>
        <v>10146</v>
      </c>
      <c r="AB92" s="5">
        <f>Z92-Z91</f>
        <v>68</v>
      </c>
      <c r="AC92">
        <f>AC91+-20</f>
        <v>138</v>
      </c>
      <c r="AD92" s="5">
        <f>AC92-AC91</f>
        <v>-20</v>
      </c>
      <c r="AE92" s="5"/>
      <c r="AF92">
        <f>AF91+14</f>
        <v>1222</v>
      </c>
      <c r="AH92" s="5">
        <f>AF92-AF91</f>
        <v>14</v>
      </c>
      <c r="AK92">
        <f>AK91+43</f>
        <v>11241</v>
      </c>
      <c r="AM92" s="5">
        <f>AK92-AK91</f>
        <v>43</v>
      </c>
      <c r="AN92">
        <f>AN91+-25</f>
        <v>207</v>
      </c>
      <c r="AO92" s="5">
        <f>AN92-AN91</f>
        <v>-25</v>
      </c>
      <c r="AP92" s="5"/>
      <c r="AQ92">
        <f>AQ91+11</f>
        <v>957</v>
      </c>
      <c r="AS92" s="5">
        <f>AQ92-AQ91</f>
        <v>11</v>
      </c>
      <c r="AU92" s="4">
        <f>AV92+AW92</f>
        <v>15409</v>
      </c>
      <c r="AV92">
        <f>AV91+56</f>
        <v>15409</v>
      </c>
      <c r="AX92" s="5">
        <f>AV92-AV91</f>
        <v>56</v>
      </c>
      <c r="AY92">
        <f>AY91+-23</f>
        <v>188</v>
      </c>
      <c r="AZ92" s="5">
        <f>AY92-AY91</f>
        <v>-23</v>
      </c>
      <c r="BA92">
        <f>BB92+BC92</f>
        <v>1257</v>
      </c>
      <c r="BB92">
        <f>BB91+11</f>
        <v>1257</v>
      </c>
      <c r="BD92" s="5">
        <f>BB92-BB91</f>
        <v>11</v>
      </c>
      <c r="BG92">
        <f>BG91+8</f>
        <v>1090</v>
      </c>
      <c r="BI92" s="5">
        <f>BG92-BG91</f>
        <v>8</v>
      </c>
      <c r="BJ92">
        <f>BJ91+-2</f>
        <v>22</v>
      </c>
      <c r="BK92" s="5">
        <f>BJ92-BJ91</f>
        <v>-2</v>
      </c>
      <c r="BL92" s="5"/>
      <c r="BM92">
        <f>BM91+2</f>
        <v>146</v>
      </c>
      <c r="BO92" s="5">
        <f>BM92-BM91</f>
        <v>2</v>
      </c>
      <c r="BR92">
        <f>BR91+5</f>
        <v>827</v>
      </c>
      <c r="BT92" s="5">
        <f>BR92-BR91</f>
        <v>5</v>
      </c>
      <c r="BU92">
        <f>BU91+0</f>
        <v>2</v>
      </c>
      <c r="BV92" s="5">
        <f>BU92-BU91</f>
        <v>0</v>
      </c>
      <c r="BW92">
        <f>BX92+BY92</f>
        <v>57</v>
      </c>
      <c r="BX92">
        <f>BX91+0</f>
        <v>57</v>
      </c>
      <c r="BZ92" s="5">
        <f>BX92-BX91</f>
        <v>0</v>
      </c>
      <c r="CC92">
        <f>CC91+5</f>
        <v>380</v>
      </c>
      <c r="CE92" s="5">
        <f>CC92-CC91</f>
        <v>5</v>
      </c>
      <c r="CF92">
        <f>CF91+2</f>
        <v>3</v>
      </c>
      <c r="CG92" s="5">
        <f>CF92-CF91</f>
        <v>2</v>
      </c>
      <c r="CH92" s="5"/>
      <c r="CI92">
        <f>CI91+0</f>
        <v>14</v>
      </c>
      <c r="CK92" s="5">
        <f>CI92-CI91</f>
        <v>0</v>
      </c>
      <c r="CN92">
        <f>CN91+1</f>
        <v>1068</v>
      </c>
      <c r="CP92" s="5">
        <f>CN92-CN91</f>
        <v>1</v>
      </c>
      <c r="CQ92">
        <f>CQ91+0</f>
        <v>12</v>
      </c>
      <c r="CR92" s="5">
        <f>CQ92-CQ91</f>
        <v>0</v>
      </c>
      <c r="CS92">
        <f>CT92+CU92</f>
        <v>85</v>
      </c>
      <c r="CT92">
        <f>CT91+2</f>
        <v>85</v>
      </c>
      <c r="CV92" s="5">
        <f>CT92-CT91</f>
        <v>2</v>
      </c>
      <c r="CY92">
        <f>CY91+8</f>
        <v>226</v>
      </c>
      <c r="DA92" s="5">
        <f>CY92-CY91</f>
        <v>8</v>
      </c>
      <c r="DC92" s="5"/>
      <c r="DD92" s="5"/>
      <c r="DE92">
        <f>DE91+0</f>
        <v>0</v>
      </c>
      <c r="DG92" s="5">
        <f>DE92-DE91</f>
        <v>0</v>
      </c>
      <c r="DI92" s="4">
        <f>DJ92+DK92</f>
        <v>41762</v>
      </c>
      <c r="DJ92">
        <f>O92+Z92+AK92+AV92+BG92+BR92+CC92+CN92+CY92</f>
        <v>41762</v>
      </c>
      <c r="DL92" s="5">
        <f>DJ92-DJ91</f>
        <v>203</v>
      </c>
      <c r="DM92">
        <f>R92+AC92+AN92+AY92+BJ92+BU92+CF92+CQ92+DB92</f>
        <v>577</v>
      </c>
      <c r="DN92" s="3">
        <f>(DM92/DM91)-1</f>
        <v>-0.10956790123456794</v>
      </c>
      <c r="DO92" s="3"/>
      <c r="DP92">
        <f>U92+AF92+AQ92+BB92+BM92+BX92+CI92+CT92+DE92</f>
        <v>3868</v>
      </c>
      <c r="DR92" s="3">
        <f>(DP92/DP91)-1</f>
        <v>0.010977522216413904</v>
      </c>
      <c r="DS92" s="1"/>
      <c r="DT92">
        <f>DM92-DM91</f>
        <v>-71</v>
      </c>
      <c r="DV92">
        <v>4</v>
      </c>
      <c r="DW92" t="s">
        <v>36</v>
      </c>
      <c r="DX92" s="8">
        <v>43943</v>
      </c>
      <c r="DY92">
        <v>37</v>
      </c>
      <c r="DZ92">
        <v>202</v>
      </c>
      <c r="EA92">
        <v>3</v>
      </c>
      <c r="GA92" s="10">
        <v>43932</v>
      </c>
      <c r="GB92">
        <v>526396</v>
      </c>
      <c r="GC92" s="12">
        <f>(GB92/GB91)-1</f>
        <v>0.060138761618012904</v>
      </c>
      <c r="GV92" s="8">
        <v>43925</v>
      </c>
      <c r="GW92">
        <v>12</v>
      </c>
      <c r="GX92" t="s">
        <v>41</v>
      </c>
      <c r="GY92">
        <v>4</v>
      </c>
      <c r="HC92">
        <v>2</v>
      </c>
      <c r="JZ92" t="inlineStr">
        <is>
          <t>Solution was to resize the Sheet in the Edit menu from 256 to 512 columns. ;)</t>
        </is>
      </c>
    </row>
    <row r="93" spans="1:325" ht="20.25">
      <c r="C93">
        <f>H92*D93</f>
        <v>259.99999999810791</v>
      </c>
      <c r="D93">
        <f>0.0062257554714800004</f>
        <v>0.0062257554714800004</v>
      </c>
      <c r="E93" t="s">
        <v>40</v>
      </c>
      <c r="F93" s="10">
        <v>43981</v>
      </c>
      <c r="G93" s="2">
        <f>H93*15</f>
        <v>630329.99999553873</v>
      </c>
      <c r="H93">
        <f>H92+C93</f>
        <v>42021.999999702581</v>
      </c>
      <c r="I93">
        <v>42022</v>
      </c>
      <c r="J93">
        <v>1770165</v>
      </c>
      <c r="K93">
        <f>O93+Z93+AK93+AV93+BG93+BR93+CC93+CN93+CY93</f>
        <v>42022</v>
      </c>
      <c r="L93" s="3">
        <f>(K93/K92)-1</f>
        <v>0.0062257554714812979</v>
      </c>
      <c r="O93">
        <f>O92+6</f>
        <v>1381</v>
      </c>
      <c r="Q93" s="5">
        <f>O93-O92</f>
        <v>6</v>
      </c>
      <c r="R93">
        <f>R92+-2</f>
        <v>3</v>
      </c>
      <c r="S93" s="5">
        <f>R93-R92</f>
        <v>-2</v>
      </c>
      <c r="T93" s="5"/>
      <c r="U93">
        <f>U92+1</f>
        <v>131</v>
      </c>
      <c r="W93" s="5">
        <f>U93-U92</f>
        <v>1</v>
      </c>
      <c r="Z93">
        <f>Z92+61</f>
        <v>10207</v>
      </c>
      <c r="AB93" s="5">
        <f>Z93-Z92</f>
        <v>61</v>
      </c>
      <c r="AC93">
        <f>AC92+-18</f>
        <v>120</v>
      </c>
      <c r="AD93" s="5">
        <f>AC93-AC92</f>
        <v>-18</v>
      </c>
      <c r="AE93" s="5"/>
      <c r="AF93">
        <f>AF92+16</f>
        <v>1238</v>
      </c>
      <c r="AH93" s="5">
        <f>AF93-AF92</f>
        <v>16</v>
      </c>
      <c r="AJ93" t="s">
        <v>103</v>
      </c>
      <c r="AK93">
        <f>AK92+68</f>
        <v>11309</v>
      </c>
      <c r="AM93" s="5">
        <f>AK93-AK92</f>
        <v>68</v>
      </c>
      <c r="AN93">
        <f>AN92+-12</f>
        <v>195</v>
      </c>
      <c r="AO93" s="5">
        <f>AN93-AN92</f>
        <v>-12</v>
      </c>
      <c r="AP93" s="5"/>
      <c r="AQ93">
        <f>AQ92+9</f>
        <v>966</v>
      </c>
      <c r="AS93" s="5">
        <f>AQ93-AQ92</f>
        <v>9</v>
      </c>
      <c r="AU93" s="4">
        <f>AV93+AW93</f>
        <v>15502</v>
      </c>
      <c r="AV93">
        <f>AV92+93</f>
        <v>15502</v>
      </c>
      <c r="AX93" s="5">
        <f>AV93-AV92</f>
        <v>93</v>
      </c>
      <c r="AY93">
        <f>AY92+-12</f>
        <v>176</v>
      </c>
      <c r="AZ93" s="5">
        <f>AY93-AY92</f>
        <v>-12</v>
      </c>
      <c r="BA93">
        <f>BB93+BC93</f>
        <v>1267</v>
      </c>
      <c r="BB93">
        <f>BB92+10</f>
        <v>1267</v>
      </c>
      <c r="BD93" s="5">
        <f>BB93-BB92</f>
        <v>10</v>
      </c>
      <c r="BG93">
        <f>BG92+14</f>
        <v>1104</v>
      </c>
      <c r="BI93" s="5">
        <f>BG93-BG92</f>
        <v>14</v>
      </c>
      <c r="BJ93">
        <f>BJ92+0</f>
        <v>22</v>
      </c>
      <c r="BK93" s="5">
        <f>BJ93-BJ92</f>
        <v>0</v>
      </c>
      <c r="BL93" s="5"/>
      <c r="BM93">
        <f>BM92+4</f>
        <v>150</v>
      </c>
      <c r="BO93" s="5">
        <f>BM93-BM92</f>
        <v>4</v>
      </c>
      <c r="BR93">
        <f>BR92+6</f>
        <v>833</v>
      </c>
      <c r="BT93" s="5">
        <f>BR93-BR92</f>
        <v>6</v>
      </c>
      <c r="BU93">
        <f>BU92+0</f>
        <v>2</v>
      </c>
      <c r="BV93" s="5">
        <f>BU93-BU92</f>
        <v>0</v>
      </c>
      <c r="BW93">
        <f>BX93+BY93</f>
        <v>57</v>
      </c>
      <c r="BX93">
        <f>BX92+0</f>
        <v>57</v>
      </c>
      <c r="BZ93" s="5">
        <f>BX93-BX92</f>
        <v>0</v>
      </c>
      <c r="CC93">
        <f>CC92+1</f>
        <v>381</v>
      </c>
      <c r="CE93" s="5">
        <f>CC93-CC92</f>
        <v>1</v>
      </c>
      <c r="CF93">
        <f>CF92+-1</f>
        <v>2</v>
      </c>
      <c r="CG93" s="5">
        <f>CF93-CF92</f>
        <v>-1</v>
      </c>
      <c r="CH93" s="5"/>
      <c r="CI93">
        <f>CI92+0</f>
        <v>14</v>
      </c>
      <c r="CK93" s="5">
        <f>CI93-CI92</f>
        <v>0</v>
      </c>
      <c r="CN93">
        <f>CN92+8</f>
        <v>1076</v>
      </c>
      <c r="CP93" s="5">
        <f>CN93-CN92</f>
        <v>8</v>
      </c>
      <c r="CQ93">
        <f>CQ92+1</f>
        <v>13</v>
      </c>
      <c r="CR93" s="5">
        <f>CQ93-CQ92</f>
        <v>1</v>
      </c>
      <c r="CS93">
        <f>CT93+CU93</f>
        <v>89</v>
      </c>
      <c r="CT93">
        <f>CT92+4</f>
        <v>89</v>
      </c>
      <c r="CV93" s="5">
        <f>CT93-CT92</f>
        <v>4</v>
      </c>
      <c r="CY93">
        <f>CY92+3</f>
        <v>229</v>
      </c>
      <c r="DA93" s="5">
        <f>CY93-CY92</f>
        <v>3</v>
      </c>
      <c r="DC93" s="5"/>
      <c r="DD93" s="5"/>
      <c r="DE93">
        <f>DE92+0</f>
        <v>0</v>
      </c>
      <c r="DG93" s="5">
        <f>DE93-DE92</f>
        <v>0</v>
      </c>
      <c r="DI93" s="4">
        <f>DJ93+DK93</f>
        <v>42022</v>
      </c>
      <c r="DJ93">
        <f>O93+Z93+AK93+AV93+BG93+BR93+CC93+CN93+CY93</f>
        <v>42022</v>
      </c>
      <c r="DK93">
        <f>P93+AA93+AL93+AW93+BH93+BS93+CD93+CO93+CZ93</f>
        <v>0</v>
      </c>
      <c r="DL93" s="5">
        <f>DJ93-DJ92</f>
        <v>260</v>
      </c>
      <c r="DM93">
        <f>R93+AC93+AN93+AY93+BJ93+BU93+CF93+CQ93+DB93</f>
        <v>533</v>
      </c>
      <c r="DN93" s="3">
        <f>(DM93/DM92)-1</f>
        <v>-0.076256499133448896</v>
      </c>
      <c r="DO93" s="3"/>
      <c r="DP93">
        <f>U93+AF93+AQ93+BB93+BM93+BX93+CI93+CT93+DE93</f>
        <v>3912</v>
      </c>
      <c r="DR93" s="3">
        <f>(DP93/DP92)-1</f>
        <v>0.011375387797311287</v>
      </c>
      <c r="DS93" s="1"/>
      <c r="DT93">
        <f>DM93-DM92</f>
        <v>-44</v>
      </c>
      <c r="DV93">
        <v>4</v>
      </c>
      <c r="DW93" t="s">
        <v>36</v>
      </c>
      <c r="DX93" s="8">
        <v>43944</v>
      </c>
      <c r="DY93">
        <v>37</v>
      </c>
      <c r="DZ93">
        <v>202</v>
      </c>
      <c r="EA93">
        <v>3</v>
      </c>
      <c r="GA93" s="10">
        <v>43933</v>
      </c>
      <c r="GB93">
        <v>555313</v>
      </c>
      <c r="GC93" s="12">
        <f>(GB93/GB92)-1</f>
        <v>0.054933928069362148</v>
      </c>
      <c r="GV93" s="8">
        <v>43926</v>
      </c>
      <c r="GW93">
        <v>12</v>
      </c>
      <c r="GX93" t="s">
        <v>41</v>
      </c>
      <c r="GY93">
        <v>4</v>
      </c>
      <c r="HC93">
        <v>2</v>
      </c>
    </row>
    <row r="94" spans="1:325" ht="20.25">
      <c r="C94">
        <f>H93*D94</f>
        <v>178.99999999852881</v>
      </c>
      <c r="D94">
        <f>0.0042596735043500004</f>
        <v>0.0042596735043500004</v>
      </c>
      <c r="E94" t="s">
        <v>30</v>
      </c>
      <c r="F94" s="10">
        <v>43982</v>
      </c>
      <c r="G94" s="2">
        <f>H94*15</f>
        <v>633014.99999551661</v>
      </c>
      <c r="H94">
        <f>H93+C94</f>
        <v>42200.999999701111</v>
      </c>
      <c r="I94">
        <v>42201</v>
      </c>
      <c r="J94">
        <v>1790172</v>
      </c>
      <c r="K94">
        <f>O94+Z94+AK94+AV94+BG94+BR94+CC94+CN94+CY94</f>
        <v>42201</v>
      </c>
      <c r="L94" s="3">
        <f>(K94/K93)-1</f>
        <v>0.0042596735043549661</v>
      </c>
      <c r="N94" s="4">
        <f>O94+P94</f>
        <v>1397</v>
      </c>
      <c r="O94">
        <f>O93+16</f>
        <v>1397</v>
      </c>
      <c r="Q94" s="5">
        <f>O94-O93</f>
        <v>16</v>
      </c>
      <c r="R94">
        <f>R93+-1</f>
        <v>2</v>
      </c>
      <c r="S94" s="5">
        <f>R94-R93</f>
        <v>-1</v>
      </c>
      <c r="T94" s="5"/>
      <c r="U94">
        <f>U93+2</f>
        <v>133</v>
      </c>
      <c r="W94" s="5">
        <f>U94-U93</f>
        <v>2</v>
      </c>
      <c r="Y94" s="4">
        <f>Z94+AA94</f>
        <v>10296</v>
      </c>
      <c r="Z94">
        <f>Z93+89</f>
        <v>10296</v>
      </c>
      <c r="AB94" s="5">
        <f>Z94-Z93</f>
        <v>89</v>
      </c>
      <c r="AC94">
        <f>AC93+-13</f>
        <v>107</v>
      </c>
      <c r="AD94" s="5">
        <f>AC94-AC93</f>
        <v>-13</v>
      </c>
      <c r="AE94" s="5"/>
      <c r="AF94">
        <f>AF93+12</f>
        <v>1250</v>
      </c>
      <c r="AH94" s="5">
        <f>AF94-AF93</f>
        <v>12</v>
      </c>
      <c r="AJ94" s="4">
        <f>AK94+AL94</f>
        <v>11323</v>
      </c>
      <c r="AK94">
        <f>AK93+14</f>
        <v>11323</v>
      </c>
      <c r="AM94" s="5">
        <f>AK94-AK93</f>
        <v>14</v>
      </c>
      <c r="AN94">
        <f>AN93+-25</f>
        <v>170</v>
      </c>
      <c r="AO94" s="5">
        <f>AN94-AN93</f>
        <v>-25</v>
      </c>
      <c r="AP94" s="5"/>
      <c r="AQ94">
        <f>AQ93+6</f>
        <v>972</v>
      </c>
      <c r="AS94" s="5">
        <f>AQ94-AQ93</f>
        <v>6</v>
      </c>
      <c r="AU94" s="4">
        <f>AV94+AW94</f>
        <v>15549</v>
      </c>
      <c r="AV94">
        <f>AV93+47</f>
        <v>15549</v>
      </c>
      <c r="AX94" s="5">
        <f>AV94-AV93</f>
        <v>47</v>
      </c>
      <c r="AY94">
        <f>AY93+-13</f>
        <v>163</v>
      </c>
      <c r="AZ94" s="5">
        <f>AY94-AY93</f>
        <v>-13</v>
      </c>
      <c r="BA94">
        <f>BB94+BC94</f>
        <v>1277</v>
      </c>
      <c r="BB94">
        <f>BB93+10</f>
        <v>1277</v>
      </c>
      <c r="BD94" s="5">
        <f>BB94-BB93</f>
        <v>10</v>
      </c>
      <c r="BF94" s="4">
        <f>BG94+BH94</f>
        <v>1104</v>
      </c>
      <c r="BG94">
        <f>BG93+0</f>
        <v>1104</v>
      </c>
      <c r="BI94" s="5">
        <f>BG94-BG93</f>
        <v>0</v>
      </c>
      <c r="BJ94">
        <f>BJ93+1</f>
        <v>23</v>
      </c>
      <c r="BK94" s="5">
        <f>BJ94-BJ93</f>
        <v>1</v>
      </c>
      <c r="BL94" s="5"/>
      <c r="BM94">
        <f>BM93+2</f>
        <v>152</v>
      </c>
      <c r="BO94" s="5">
        <f>BM94-BM93</f>
        <v>2</v>
      </c>
      <c r="BQ94" s="4">
        <f>BR94+BS94</f>
        <v>836</v>
      </c>
      <c r="BR94">
        <f>BR93+3</f>
        <v>836</v>
      </c>
      <c r="BT94" s="5">
        <f>BR94-BR93</f>
        <v>3</v>
      </c>
      <c r="BU94">
        <f>BU93+0</f>
        <v>2</v>
      </c>
      <c r="BV94" s="5">
        <f>BU94-BU93</f>
        <v>0</v>
      </c>
      <c r="BW94">
        <f>BX94+BY94</f>
        <v>57</v>
      </c>
      <c r="BX94">
        <f>BX93+0</f>
        <v>57</v>
      </c>
      <c r="BZ94" s="5">
        <f>BX94-BX93</f>
        <v>0</v>
      </c>
      <c r="CB94" s="4">
        <f>CC94+CD94</f>
        <v>384</v>
      </c>
      <c r="CC94">
        <f>CC93+3</f>
        <v>384</v>
      </c>
      <c r="CE94" s="5">
        <f>CC94-CC93</f>
        <v>3</v>
      </c>
      <c r="CF94">
        <f>CF93+1</f>
        <v>3</v>
      </c>
      <c r="CG94" s="5">
        <f>CF94-CF93</f>
        <v>1</v>
      </c>
      <c r="CH94" s="5"/>
      <c r="CI94">
        <f>CI93+0</f>
        <v>14</v>
      </c>
      <c r="CK94" s="5">
        <f>CI94-CI93</f>
        <v>0</v>
      </c>
      <c r="CM94" s="4">
        <f>CN94+CO94</f>
        <v>1078</v>
      </c>
      <c r="CN94">
        <f>CN93+2</f>
        <v>1078</v>
      </c>
      <c r="CP94" s="5">
        <f>CN94-CN93</f>
        <v>2</v>
      </c>
      <c r="CQ94">
        <f>CQ93+-2</f>
        <v>11</v>
      </c>
      <c r="CR94" s="5">
        <f>CQ94-CQ93</f>
        <v>-2</v>
      </c>
      <c r="CS94">
        <f>CT94+CU94</f>
        <v>89</v>
      </c>
      <c r="CT94">
        <f>CT93+0</f>
        <v>89</v>
      </c>
      <c r="CV94" s="5">
        <f>CT94-CT93</f>
        <v>0</v>
      </c>
      <c r="CY94">
        <f>CY93+5</f>
        <v>234</v>
      </c>
      <c r="DA94" s="5">
        <f>CY94-CY93</f>
        <v>5</v>
      </c>
      <c r="DC94" s="5"/>
      <c r="DD94" s="5"/>
      <c r="DE94">
        <f>DE93+0</f>
        <v>0</v>
      </c>
      <c r="DG94" s="5">
        <f>DE94-DE93</f>
        <v>0</v>
      </c>
      <c r="DI94" s="4">
        <f>DJ94+DK94</f>
        <v>42201</v>
      </c>
      <c r="DJ94">
        <f>O94+Z94+AK94+AV94+BG94+BR94+CC94+CN94+CY94</f>
        <v>42201</v>
      </c>
      <c r="DK94">
        <f>P94+AA94+AL94+AW94+BH94+BS94+CD94+CO94+CZ94</f>
        <v>0</v>
      </c>
      <c r="DL94" s="5">
        <f>DJ94-DJ93</f>
        <v>179</v>
      </c>
      <c r="DM94">
        <f>R94+AC94+AN94+AY94+BJ94+BU94+CF94+CQ94+DB94</f>
        <v>481</v>
      </c>
      <c r="DN94" s="3">
        <f>(DM94/DM93)-1</f>
        <v>-0.097560975609756073</v>
      </c>
      <c r="DO94" s="3"/>
      <c r="DP94">
        <f>U94+AF94+AQ94+BB94+BM94+BX94+CI94+CT94+DE94</f>
        <v>3944</v>
      </c>
      <c r="DR94" s="3">
        <f>((DP94+DQ94)/(DP93+DQ93))-1</f>
        <v>0.0081799591002045258</v>
      </c>
      <c r="DS94" s="1"/>
      <c r="DT94">
        <f>DM94-DM93</f>
        <v>-52</v>
      </c>
      <c r="DV94">
        <v>4</v>
      </c>
      <c r="DW94" t="s">
        <v>36</v>
      </c>
      <c r="DX94" s="8">
        <v>43945</v>
      </c>
      <c r="DY94">
        <v>40</v>
      </c>
      <c r="DZ94">
        <v>219</v>
      </c>
      <c r="EA94">
        <v>4</v>
      </c>
      <c r="GA94" s="10">
        <v>43934</v>
      </c>
      <c r="GB94">
        <v>580619</v>
      </c>
      <c r="GC94" s="12">
        <f>(GB94/GB93)-1</f>
        <v>0.045570696165946112</v>
      </c>
      <c r="GV94" s="8">
        <v>43927</v>
      </c>
      <c r="GW94">
        <v>12</v>
      </c>
      <c r="GX94" t="s">
        <v>41</v>
      </c>
      <c r="GY94">
        <v>5</v>
      </c>
      <c r="HC94">
        <v>2</v>
      </c>
      <c r="JZ94" t="inlineStr">
        <is>
          <t>It wouldn't permit pushing good data off the sheet,</t>
        </is>
      </c>
    </row>
    <row r="95" spans="1:325" ht="20.25">
      <c r="C95">
        <f>H94*D95</f>
        <v>538.99999999805198</v>
      </c>
      <c r="D95">
        <f>0.012772209189400001</f>
        <v>0.012772209189400001</v>
      </c>
      <c r="E95" t="s">
        <v>33</v>
      </c>
      <c r="F95" s="10">
        <v>43983</v>
      </c>
      <c r="G95" s="2">
        <f>H95*15</f>
        <v>641099.99999548739</v>
      </c>
      <c r="H95">
        <f>H94+C95</f>
        <v>42739.999999699161</v>
      </c>
      <c r="I95">
        <v>42740</v>
      </c>
      <c r="J95">
        <v>1811020</v>
      </c>
      <c r="K95">
        <f>N95+Y95+AJ95+AU95+BF95+BQ95+CB95+CM95+CX95</f>
        <v>42740</v>
      </c>
      <c r="L95" s="3">
        <f>(K95/K94)-1</f>
        <v>0.012772209189355621</v>
      </c>
      <c r="N95" s="4">
        <f>O95+P95</f>
        <v>1400</v>
      </c>
      <c r="O95">
        <f>O94+-64</f>
        <v>1333</v>
      </c>
      <c r="P95">
        <f>P94+67</f>
        <v>67</v>
      </c>
      <c r="Q95" s="5">
        <f>(O95-O94)+(P95-P94)</f>
        <v>3</v>
      </c>
      <c r="R95">
        <f>R94+2</f>
        <v>4</v>
      </c>
      <c r="S95" s="5">
        <f>R95-R94</f>
        <v>2</v>
      </c>
      <c r="T95">
        <f>U95+V95</f>
        <v>136</v>
      </c>
      <c r="U95">
        <f>U94+-19</f>
        <v>114</v>
      </c>
      <c r="V95">
        <f>V94+22</f>
        <v>22</v>
      </c>
      <c r="W95" s="5">
        <f>(U95-U94)+(V95-V94)</f>
        <v>3</v>
      </c>
      <c r="Y95" s="4">
        <f>Z95+AA95</f>
        <v>10445</v>
      </c>
      <c r="Z95">
        <f>Z94+-544</f>
        <v>9752</v>
      </c>
      <c r="AA95">
        <f>AA94+693</f>
        <v>693</v>
      </c>
      <c r="AB95" s="5">
        <f>(Z95-Z94)+(AA95-AA94)</f>
        <v>149</v>
      </c>
      <c r="AC95">
        <f>AC94+-7</f>
        <v>100</v>
      </c>
      <c r="AD95" s="5">
        <f>AC95-AC94</f>
        <v>-7</v>
      </c>
      <c r="AE95">
        <f>AF95+AG95</f>
        <v>1254</v>
      </c>
      <c r="AF95">
        <f>AF94+-306</f>
        <v>944</v>
      </c>
      <c r="AG95">
        <f>AG94+310</f>
        <v>310</v>
      </c>
      <c r="AH95" s="5">
        <f>(AF95-AF94)+(AG95-AG94)</f>
        <v>4</v>
      </c>
      <c r="AJ95" s="4">
        <f>AK95+AL95</f>
        <v>11479</v>
      </c>
      <c r="AK95">
        <f>AK94+-235</f>
        <v>11088</v>
      </c>
      <c r="AL95">
        <f>AL94+391</f>
        <v>391</v>
      </c>
      <c r="AM95" s="5">
        <f>(AK95-AK94)+(AL95-AL94)</f>
        <v>156</v>
      </c>
      <c r="AN95">
        <f>AN94+-10</f>
        <v>160</v>
      </c>
      <c r="AO95" s="5">
        <f>AN95-AN94</f>
        <v>-10</v>
      </c>
      <c r="AP95">
        <f>AQ95+AR95</f>
        <v>973</v>
      </c>
      <c r="AQ95">
        <f>AQ94+-150</f>
        <v>822</v>
      </c>
      <c r="AR95">
        <f>AR94+151</f>
        <v>151</v>
      </c>
      <c r="AS95" s="5">
        <f>(AQ95-AQ94)+(AR95-AR94)</f>
        <v>1</v>
      </c>
      <c r="AU95" s="4">
        <f>AV95+AW95</f>
        <v>15709</v>
      </c>
      <c r="AV95">
        <f>AV94+-546</f>
        <v>15003</v>
      </c>
      <c r="AW95">
        <f>AW94+706</f>
        <v>706</v>
      </c>
      <c r="AX95" s="5">
        <f>(AV95-AV94)+(AW95-AW94)</f>
        <v>160</v>
      </c>
      <c r="AY95">
        <f>AY94+-6</f>
        <v>157</v>
      </c>
      <c r="AZ95" s="5">
        <f>AY95-AY94</f>
        <v>-6</v>
      </c>
      <c r="BA95">
        <f>BB95+BC95</f>
        <v>1288</v>
      </c>
      <c r="BB95">
        <f>BB94+-287</f>
        <v>990</v>
      </c>
      <c r="BC95">
        <f>BC94+298</f>
        <v>298</v>
      </c>
      <c r="BD95" s="5">
        <f>(BB95-BB94)+(BC95-BC94)</f>
        <v>11</v>
      </c>
      <c r="BF95" s="4">
        <f>BG95+BH95</f>
        <v>1143</v>
      </c>
      <c r="BG95">
        <f>BG94+-20</f>
        <v>1084</v>
      </c>
      <c r="BH95">
        <f>BH94+59</f>
        <v>59</v>
      </c>
      <c r="BI95" s="5">
        <f>(BG95-BG94)+(BH95-BH94)</f>
        <v>39</v>
      </c>
      <c r="BJ95">
        <f>BJ94+-2</f>
        <v>21</v>
      </c>
      <c r="BK95" s="5">
        <f>BJ95-BJ94</f>
        <v>-2</v>
      </c>
      <c r="BL95">
        <f>BM95+BN95</f>
        <v>153</v>
      </c>
      <c r="BM95">
        <f>BM94+-35</f>
        <v>117</v>
      </c>
      <c r="BN95">
        <v>36</v>
      </c>
      <c r="BO95" s="5">
        <f>(BM95-BM94)+(BN95-BN94)</f>
        <v>1</v>
      </c>
      <c r="BQ95" s="4">
        <f>BR95+BS95</f>
        <v>845</v>
      </c>
      <c r="BR95">
        <f>BR94+-68</f>
        <v>768</v>
      </c>
      <c r="BS95">
        <f>BS94+77</f>
        <v>77</v>
      </c>
      <c r="BT95" s="5">
        <f>(BR95-BR94)+(BS95-BS94)</f>
        <v>9</v>
      </c>
      <c r="BU95">
        <f>BU94+0</f>
        <v>2</v>
      </c>
      <c r="BV95" s="5">
        <f>BU95-BU94</f>
        <v>0</v>
      </c>
      <c r="BW95">
        <f>BX95+BY95</f>
        <v>58</v>
      </c>
      <c r="BX95">
        <f>BX94+-12</f>
        <v>45</v>
      </c>
      <c r="BY95">
        <f>BY94+13</f>
        <v>13</v>
      </c>
      <c r="BZ95" s="5">
        <f>(BX95-BX94)+(BY95-BY94)</f>
        <v>1</v>
      </c>
      <c r="CB95" s="4">
        <f>CC95+CD95</f>
        <v>388</v>
      </c>
      <c r="CC95">
        <f>CC94+-8</f>
        <v>376</v>
      </c>
      <c r="CD95">
        <f>CD94+12</f>
        <v>12</v>
      </c>
      <c r="CE95" s="5">
        <f>(CC95-CC94)+(CD95-CD94)</f>
        <v>4</v>
      </c>
      <c r="CF95">
        <f>CF94+-2</f>
        <v>1</v>
      </c>
      <c r="CG95" s="5">
        <f>CF95-CF94</f>
        <v>-2</v>
      </c>
      <c r="CH95">
        <f>CI95+CJ95</f>
        <v>13</v>
      </c>
      <c r="CI95">
        <f>CI94+-2</f>
        <v>12</v>
      </c>
      <c r="CJ95">
        <f>CJ94+1</f>
        <v>1</v>
      </c>
      <c r="CK95" s="5">
        <f>(CI95-CI94)+(CJ95-CJ94)</f>
        <v>-1</v>
      </c>
      <c r="CM95" s="4">
        <f>CN95+CO95</f>
        <v>1091</v>
      </c>
      <c r="CN95">
        <f>CN94+-45</f>
        <v>1033</v>
      </c>
      <c r="CO95">
        <f>CO94+58</f>
        <v>58</v>
      </c>
      <c r="CP95" s="5">
        <f>(CN95-CN94)+(CO95-CO94)</f>
        <v>13</v>
      </c>
      <c r="CQ95">
        <f>CQ94+-2</f>
        <v>9</v>
      </c>
      <c r="CR95" s="5">
        <f>CQ95-CQ94</f>
        <v>-2</v>
      </c>
      <c r="CS95">
        <f>CT95+CU95</f>
        <v>89</v>
      </c>
      <c r="CT95">
        <f>CT94+-23</f>
        <v>66</v>
      </c>
      <c r="CU95">
        <f>CU94+23</f>
        <v>23</v>
      </c>
      <c r="CV95" s="5">
        <f>(CT95-CT94)+(CU95-CU94)</f>
        <v>0</v>
      </c>
      <c r="CX95" s="4">
        <f>CY95+CZ95</f>
        <v>240</v>
      </c>
      <c r="CY95">
        <f>CY94+-1</f>
        <v>233</v>
      </c>
      <c r="CZ95">
        <f>CZ94+7</f>
        <v>7</v>
      </c>
      <c r="DA95" s="5">
        <f>(CY95-CY94)+(CZ95-CZ94)</f>
        <v>6</v>
      </c>
      <c r="DC95" s="5"/>
      <c r="DD95">
        <f>DE95+DF95</f>
        <v>0</v>
      </c>
      <c r="DE95">
        <f>DE94+0</f>
        <v>0</v>
      </c>
      <c r="DF95">
        <f>DF94+0</f>
        <v>0</v>
      </c>
      <c r="DG95" s="5">
        <f>(DE95-DE94)+(DF95-DF94)</f>
        <v>0</v>
      </c>
      <c r="DI95" s="4">
        <f>N95+Y95+AJ95+AU95+BF95+BQ95+CB95+CM95+CX95</f>
        <v>42740</v>
      </c>
      <c r="DJ95">
        <f>O95+Z95+AK95+AV95+BG95+BR95+CC95+CN95+CY95</f>
        <v>40670</v>
      </c>
      <c r="DK95">
        <f>P95+AA95+AL95+AW95+BH95+BS95+CD95+CO95+CZ95</f>
        <v>2070</v>
      </c>
      <c r="DL95">
        <f>Q95+AB95+AM95+AX95+BI95+BT95+CE95+CP95+DA95</f>
        <v>539</v>
      </c>
      <c r="DM95">
        <f>R95+AC95+AN95+AY95+BJ95+BU95+CF95+CQ95+DB95</f>
        <v>454</v>
      </c>
      <c r="DN95" s="3">
        <f>(DM95/DM94)-1</f>
        <v>-0.056133056133056081</v>
      </c>
      <c r="DO95">
        <f>T95+AE95+AP95+BA95+BL95+BW95+CH95+CS95+DD95</f>
        <v>3964</v>
      </c>
      <c r="DP95">
        <f>U95+AF95+AQ95+BB95+BM95+BX95+CI95+CT95+DE95</f>
        <v>3110</v>
      </c>
      <c r="DQ95">
        <f>V95+AG95+AR95+BC95+BN95+BY95+CJ95+CU95+DF95</f>
        <v>854</v>
      </c>
      <c r="DR95" s="3">
        <f>((DP95+DQ95)/(DP94+DQ94))-1</f>
        <v>0.0050709939148072536</v>
      </c>
      <c r="DS95" s="1"/>
      <c r="DT95">
        <f>DM95-DM94</f>
        <v>-27</v>
      </c>
      <c r="DV95">
        <v>4</v>
      </c>
      <c r="DW95" t="s">
        <v>36</v>
      </c>
      <c r="DX95" s="8">
        <v>43946</v>
      </c>
      <c r="DY95">
        <v>43</v>
      </c>
      <c r="DZ95">
        <v>235</v>
      </c>
      <c r="EA95">
        <v>5</v>
      </c>
      <c r="GA95" s="10">
        <v>43935</v>
      </c>
      <c r="GB95">
        <v>607670</v>
      </c>
      <c r="GC95" s="12">
        <f>(GB95/GB94)-1</f>
        <v>0.046589932468624085</v>
      </c>
      <c r="GV95" s="8">
        <v>43928</v>
      </c>
      <c r="GW95">
        <v>12</v>
      </c>
      <c r="GX95" t="s">
        <v>41</v>
      </c>
      <c r="GY95">
        <v>5</v>
      </c>
      <c r="HC95">
        <v>2</v>
      </c>
      <c r="JZ95" t="inlineStr">
        <is>
          <t>through the act of inserting columns.</t>
        </is>
      </c>
    </row>
    <row r="96" spans="1:325" ht="20.25">
      <c r="C96">
        <f>H95*D96</f>
        <v>238.99999999851875</v>
      </c>
      <c r="D96">
        <f>0.0055919513336500004</f>
        <v>0.0055919513336500004</v>
      </c>
      <c r="E96" t="s">
        <v>34</v>
      </c>
      <c r="F96" s="10">
        <v>43984</v>
      </c>
      <c r="G96" s="2">
        <f>H96*15</f>
        <v>644684.99999546516</v>
      </c>
      <c r="H96">
        <f>H95+C96</f>
        <v>42978.999999697677</v>
      </c>
      <c r="I96">
        <v>42979</v>
      </c>
      <c r="J96">
        <v>1831821</v>
      </c>
      <c r="K96">
        <f>N96+Y96+AJ96+AU96+BF96+BQ96+CB96+CM96+CX96</f>
        <v>42979</v>
      </c>
      <c r="L96" s="3">
        <f>(K96/K95)-1</f>
        <v>0.0055919513336453175</v>
      </c>
      <c r="M96" t="inlineStr">
        <is>
          <t>ref column D.I.</t>
        </is>
      </c>
      <c r="N96" s="4">
        <f>O96+P96</f>
        <v>1402</v>
      </c>
      <c r="O96">
        <f>O95+3</f>
        <v>1336</v>
      </c>
      <c r="P96">
        <f>P95+-1</f>
        <v>66</v>
      </c>
      <c r="Q96" s="5">
        <f>(O96-O95)+(P96-P95)</f>
        <v>2</v>
      </c>
      <c r="R96">
        <f>R95+0</f>
        <v>4</v>
      </c>
      <c r="S96" s="5">
        <f>R96-R95</f>
        <v>0</v>
      </c>
      <c r="T96">
        <f>U96+V96</f>
        <v>133</v>
      </c>
      <c r="U96">
        <f>U95+-1</f>
        <v>113</v>
      </c>
      <c r="V96">
        <f>V95+-2</f>
        <v>20</v>
      </c>
      <c r="W96" s="5">
        <f>(U96-U95)+(V96-V95)</f>
        <v>-3</v>
      </c>
      <c r="Y96" s="4">
        <f>Z96+AA96</f>
        <v>10536</v>
      </c>
      <c r="Z96">
        <f>Z95+109</f>
        <v>9861</v>
      </c>
      <c r="AA96">
        <f>AA95+-18</f>
        <v>675</v>
      </c>
      <c r="AB96" s="5">
        <f>(Z96-Z95)+(AA96-AA95)</f>
        <v>91</v>
      </c>
      <c r="AC96">
        <f>AC95+-7</f>
        <v>93</v>
      </c>
      <c r="AD96" s="5">
        <f>AC96-AC95</f>
        <v>-7</v>
      </c>
      <c r="AE96">
        <f>AF96+AG96</f>
        <v>1253</v>
      </c>
      <c r="AF96">
        <f>AF95+7</f>
        <v>951</v>
      </c>
      <c r="AG96">
        <f>AG95+-8</f>
        <v>302</v>
      </c>
      <c r="AH96" s="5">
        <f>(AF96-AF95)+(AG96-AG95)</f>
        <v>-1</v>
      </c>
      <c r="AJ96" s="4">
        <f>AK96+AL96</f>
        <v>11525</v>
      </c>
      <c r="AK96">
        <f>AK95+51</f>
        <v>11139</v>
      </c>
      <c r="AL96">
        <f>AL95+-5</f>
        <v>386</v>
      </c>
      <c r="AM96" s="5">
        <f>(AK96-AK95)+(AL96-AL95)</f>
        <v>46</v>
      </c>
      <c r="AN96">
        <f>AN95+-11</f>
        <v>149</v>
      </c>
      <c r="AO96" s="5">
        <f>AN96-AN95</f>
        <v>-11</v>
      </c>
      <c r="AP96">
        <f>AQ96+AR96</f>
        <v>985</v>
      </c>
      <c r="AQ96">
        <f>AQ95+15</f>
        <v>837</v>
      </c>
      <c r="AR96">
        <f>AR95+-3</f>
        <v>148</v>
      </c>
      <c r="AS96" s="5">
        <f>(AQ96-AQ95)+(AR96-AR95)</f>
        <v>12</v>
      </c>
      <c r="AU96" s="4">
        <f>AV96+AW96</f>
        <v>15776</v>
      </c>
      <c r="AV96">
        <f>AV95+70</f>
        <v>15073</v>
      </c>
      <c r="AW96">
        <f>AW95+-3</f>
        <v>703</v>
      </c>
      <c r="AX96" s="5">
        <f>(AV96-AV95)+(AW96-AW95)</f>
        <v>67</v>
      </c>
      <c r="AY96">
        <f>AY95+-4</f>
        <v>153</v>
      </c>
      <c r="AZ96" s="5">
        <f>AY96-AY95</f>
        <v>-4</v>
      </c>
      <c r="BA96">
        <f>BB96+BC96</f>
        <v>1287</v>
      </c>
      <c r="BB96">
        <f>BB95+6</f>
        <v>996</v>
      </c>
      <c r="BC96">
        <f>BC95+-7</f>
        <v>291</v>
      </c>
      <c r="BD96" s="5">
        <f>(BB96-BB95)+(BC96-BC95)</f>
        <v>-1</v>
      </c>
      <c r="BF96" s="4">
        <f>BG96+BH96</f>
        <v>1154</v>
      </c>
      <c r="BG96">
        <f>BG95+14</f>
        <v>1098</v>
      </c>
      <c r="BH96">
        <f>BH95+-3</f>
        <v>56</v>
      </c>
      <c r="BI96" s="5">
        <f>(BG96-BG95)+(BH96-BH95)</f>
        <v>11</v>
      </c>
      <c r="BJ96">
        <f>BJ95+3</f>
        <v>24</v>
      </c>
      <c r="BK96" s="5">
        <f>BJ96-BJ95</f>
        <v>3</v>
      </c>
      <c r="BL96">
        <f>BM96+BN96</f>
        <v>150</v>
      </c>
      <c r="BM96">
        <f>BM95+0</f>
        <v>117</v>
      </c>
      <c r="BN96">
        <f>BN95+-3</f>
        <v>33</v>
      </c>
      <c r="BO96" s="5">
        <f>(BM96-BM95)+(BN96-BN95)</f>
        <v>-3</v>
      </c>
      <c r="BQ96" s="4">
        <f>BR96+BS96</f>
        <v>848</v>
      </c>
      <c r="BR96">
        <f>BR95+4</f>
        <v>772</v>
      </c>
      <c r="BS96">
        <f>BS95+-1</f>
        <v>76</v>
      </c>
      <c r="BT96" s="5">
        <f>(BR96-BR95)+(BS96-BS95)</f>
        <v>3</v>
      </c>
      <c r="BU96">
        <f>BU95+-1</f>
        <v>1</v>
      </c>
      <c r="BV96" s="5">
        <f>BU96-BU95</f>
        <v>-1</v>
      </c>
      <c r="BW96">
        <f>BX96+BY96</f>
        <v>60</v>
      </c>
      <c r="BX96">
        <f>BX95+1</f>
        <v>46</v>
      </c>
      <c r="BY96">
        <f>BY95+1</f>
        <v>14</v>
      </c>
      <c r="BZ96" s="5">
        <f>(BX96-BX95)+(BY96-BY95)</f>
        <v>2</v>
      </c>
      <c r="CB96" s="4">
        <f>CC96+CD96</f>
        <v>393</v>
      </c>
      <c r="CC96">
        <f>CC95+7</f>
        <v>383</v>
      </c>
      <c r="CD96">
        <f>CD95+-2</f>
        <v>10</v>
      </c>
      <c r="CE96" s="5">
        <f>(CC96-CC95)+(CD96-CD95)</f>
        <v>5</v>
      </c>
      <c r="CF96">
        <f>CF95+0</f>
        <v>1</v>
      </c>
      <c r="CG96" s="5">
        <f>CF96-CF95</f>
        <v>0</v>
      </c>
      <c r="CH96">
        <f>CI96+CJ96</f>
        <v>14</v>
      </c>
      <c r="CI96">
        <f>CI95+1</f>
        <v>13</v>
      </c>
      <c r="CJ96">
        <f>CJ95+0</f>
        <v>1</v>
      </c>
      <c r="CK96" s="5">
        <f>(CI96-CI95)+(CJ96-CJ95)</f>
        <v>1</v>
      </c>
      <c r="CM96" s="4">
        <f>CN96+CO96</f>
        <v>1094</v>
      </c>
      <c r="CN96">
        <f>CN95+2</f>
        <v>1035</v>
      </c>
      <c r="CO96">
        <f>CO95+1</f>
        <v>59</v>
      </c>
      <c r="CP96" s="5">
        <f>(CN96-CN95)+(CO96-CO95)</f>
        <v>3</v>
      </c>
      <c r="CQ96">
        <f>CQ95+0</f>
        <v>9</v>
      </c>
      <c r="CR96" s="5">
        <f>CQ96-CQ95</f>
        <v>0</v>
      </c>
      <c r="CS96">
        <f>CT96+CU96</f>
        <v>90</v>
      </c>
      <c r="CT96">
        <f>CT95+0</f>
        <v>66</v>
      </c>
      <c r="CU96">
        <f>CU95+1</f>
        <v>24</v>
      </c>
      <c r="CV96" s="5">
        <f>(CT96-CT95)+(CU96-CU95)</f>
        <v>1</v>
      </c>
      <c r="CX96" s="4">
        <f>CY96+CZ96</f>
        <v>251</v>
      </c>
      <c r="CY96">
        <f>CY95+11</f>
        <v>244</v>
      </c>
      <c r="CZ96">
        <f>CZ95+0</f>
        <v>7</v>
      </c>
      <c r="DA96" s="5">
        <f>(CY96-CY95)+(CZ96-CZ95)</f>
        <v>11</v>
      </c>
      <c r="DC96" s="5"/>
      <c r="DD96">
        <f>DE96+DF96</f>
        <v>0</v>
      </c>
      <c r="DE96">
        <f>DE95+0</f>
        <v>0</v>
      </c>
      <c r="DF96">
        <f>DF95+0</f>
        <v>0</v>
      </c>
      <c r="DG96" s="5">
        <f>(DE96-DE95)+(DF96-DF95)</f>
        <v>0</v>
      </c>
      <c r="DI96" s="4">
        <f>N96+Y96+AJ96+AU96+BF96+BQ96+CB96+CM96+CX96</f>
        <v>42979</v>
      </c>
      <c r="DJ96">
        <f>O96+Z96+AK96+AV96+BG96+BR96+CC96+CN96+CY96</f>
        <v>40941</v>
      </c>
      <c r="DK96">
        <f>P96+AA96+AL96+AW96+BH96+BS96+CD96+CO96+CZ96</f>
        <v>2038</v>
      </c>
      <c r="DL96">
        <f>Q96+AB96+AM96+AX96+BI96+BT96+CE96+CP96+DA96</f>
        <v>239</v>
      </c>
      <c r="DM96">
        <f>R96+AC96+AN96+AY96+BJ96+BU96+CF96+CQ96+DB96</f>
        <v>434</v>
      </c>
      <c r="DN96" s="3">
        <f>(DM96/DM95)-1</f>
        <v>-0.044052863436123357</v>
      </c>
      <c r="DO96">
        <f>T96+AE96+AP96+BA96+BL96+BW96+CH96+CS96+DD96</f>
        <v>3972</v>
      </c>
      <c r="DP96">
        <f>U96+AF96+AQ96+BB96+BM96+BX96+CI96+CT96+DE96</f>
        <v>3139</v>
      </c>
      <c r="DQ96">
        <f>V96+AG96+AR96+BC96+BN96+BY96+CJ96+CU96+DF96</f>
        <v>833</v>
      </c>
      <c r="DR96" s="3">
        <f>((DP96+DQ96)/(DP95+DQ95))-1</f>
        <v>0.0020181634712410634</v>
      </c>
      <c r="DS96" s="1"/>
      <c r="DT96">
        <f>DM96-DM95</f>
        <v>-20</v>
      </c>
      <c r="DV96">
        <v>4</v>
      </c>
      <c r="DW96" t="s">
        <v>36</v>
      </c>
      <c r="DX96" s="8">
        <v>43947</v>
      </c>
      <c r="DY96">
        <v>44</v>
      </c>
      <c r="DZ96">
        <v>240</v>
      </c>
      <c r="EA96">
        <v>5</v>
      </c>
      <c r="GA96" s="10">
        <v>43936</v>
      </c>
      <c r="GB96">
        <v>636350</v>
      </c>
      <c r="GC96" s="12">
        <f>(GB96/GB95)-1</f>
        <v>0.047196669244820466</v>
      </c>
      <c r="GV96" s="8">
        <v>43929</v>
      </c>
      <c r="GW96">
        <v>12</v>
      </c>
      <c r="GX96" t="s">
        <v>41</v>
      </c>
      <c r="GY96">
        <v>5</v>
      </c>
      <c r="HC96">
        <v>2</v>
      </c>
    </row>
    <row r="97" spans="1:325" ht="20.25">
      <c r="C97">
        <f>H96*D97</f>
        <v>111.99999999910371</v>
      </c>
      <c r="D97">
        <f>0.0026059238232600001</f>
        <v>0.0026059238232600001</v>
      </c>
      <c r="E97" t="s">
        <v>35</v>
      </c>
      <c r="F97" s="10">
        <v>43985</v>
      </c>
      <c r="G97" s="2">
        <f>H97*15</f>
        <v>646364.99999545177</v>
      </c>
      <c r="H97">
        <f>H96+C97</f>
        <v>43090.999999696782</v>
      </c>
      <c r="I97">
        <v>43091</v>
      </c>
      <c r="J97">
        <v>1851520</v>
      </c>
      <c r="K97">
        <f>N97+Y97+AJ97+AU97+BF97+BQ97+CB97+CM97+CX97</f>
        <v>43091</v>
      </c>
      <c r="L97" s="3">
        <f>(K97/K96)-1</f>
        <v>0.0026059238232625237</v>
      </c>
      <c r="N97" s="4">
        <f>O97+P97</f>
        <v>1404</v>
      </c>
      <c r="O97">
        <f>O96+2</f>
        <v>1338</v>
      </c>
      <c r="P97">
        <f>P96+0</f>
        <v>66</v>
      </c>
      <c r="Q97" s="5">
        <f>(O97-O96)+(P97-P96)</f>
        <v>2</v>
      </c>
      <c r="R97">
        <f>R96+1</f>
        <v>5</v>
      </c>
      <c r="S97" s="5">
        <f>R97-R96</f>
        <v>1</v>
      </c>
      <c r="T97">
        <f>U97+V97</f>
        <v>133</v>
      </c>
      <c r="U97">
        <f>U96+0</f>
        <v>113</v>
      </c>
      <c r="V97">
        <f>V96+0</f>
        <v>20</v>
      </c>
      <c r="W97" s="5">
        <f>(U97-U96)+(V97-V96)</f>
        <v>0</v>
      </c>
      <c r="Y97" s="4">
        <f>Z97+AA97</f>
        <v>10593</v>
      </c>
      <c r="Z97">
        <f>Z96+53</f>
        <v>9914</v>
      </c>
      <c r="AA97">
        <f>AA96+4</f>
        <v>679</v>
      </c>
      <c r="AB97" s="5">
        <f>(Z97-Z96)+(AA97-AA96)</f>
        <v>57</v>
      </c>
      <c r="AC97">
        <f>AC96+-1</f>
        <v>92</v>
      </c>
      <c r="AD97" s="5">
        <f>AC97-AC96</f>
        <v>-1</v>
      </c>
      <c r="AE97">
        <f>AF97+AG97</f>
        <v>1259</v>
      </c>
      <c r="AF97">
        <f>AF96+7</f>
        <v>958</v>
      </c>
      <c r="AG97">
        <f>AG96+-1</f>
        <v>301</v>
      </c>
      <c r="AH97" s="5">
        <f>(AF97-AF96)+(AG97-AG96)</f>
        <v>6</v>
      </c>
      <c r="AJ97" s="4">
        <f>AK97+AL97</f>
        <v>11548</v>
      </c>
      <c r="AK97">
        <f>AK96+22</f>
        <v>11161</v>
      </c>
      <c r="AL97">
        <f>AL96+1</f>
        <v>387</v>
      </c>
      <c r="AM97" s="5">
        <f>(AK97-AK96)+(AL97-AL96)</f>
        <v>23</v>
      </c>
      <c r="AN97">
        <f>AN96+1</f>
        <v>150</v>
      </c>
      <c r="AO97" s="5">
        <f>AN97-AN96</f>
        <v>1</v>
      </c>
      <c r="AP97">
        <f>AQ97+AR97</f>
        <v>990</v>
      </c>
      <c r="AQ97">
        <f>AQ96+6</f>
        <v>843</v>
      </c>
      <c r="AR97">
        <f>AR96+-1</f>
        <v>147</v>
      </c>
      <c r="AS97" s="5">
        <f>(AQ97-AQ96)+(AR97-AR96)</f>
        <v>5</v>
      </c>
      <c r="AU97" s="4">
        <f>AV97+AW97</f>
        <v>15789</v>
      </c>
      <c r="AV97">
        <f>AV96+14</f>
        <v>15087</v>
      </c>
      <c r="AW97">
        <f>AW96+-1</f>
        <v>702</v>
      </c>
      <c r="AX97" s="5">
        <f>(AV97-AV96)+(AW97-AW96)</f>
        <v>13</v>
      </c>
      <c r="AY97">
        <f>AY96+-19</f>
        <v>134</v>
      </c>
      <c r="AZ97" s="5">
        <f>AY97-AY96</f>
        <v>-19</v>
      </c>
      <c r="BA97">
        <f>BB97+BC97</f>
        <v>1289</v>
      </c>
      <c r="BB97">
        <f>BB96+2</f>
        <v>998</v>
      </c>
      <c r="BC97">
        <f>BC96+0</f>
        <v>291</v>
      </c>
      <c r="BD97" s="5">
        <f>(BB97-BB96)+(BC97-BC96)</f>
        <v>2</v>
      </c>
      <c r="BF97" s="4">
        <f>BG97+BH97</f>
        <v>1161</v>
      </c>
      <c r="BG97">
        <f>BG96+6</f>
        <v>1104</v>
      </c>
      <c r="BH97">
        <f>BH96+1</f>
        <v>57</v>
      </c>
      <c r="BI97" s="5">
        <f>(BG97-BG96)+(BH97-BH96)</f>
        <v>7</v>
      </c>
      <c r="BJ97">
        <f>BJ96+-8</f>
        <v>16</v>
      </c>
      <c r="BK97" s="5">
        <f>BJ97-BJ96</f>
        <v>-8</v>
      </c>
      <c r="BL97">
        <f>BM97+BN97</f>
        <v>152</v>
      </c>
      <c r="BM97">
        <f>BM96+1</f>
        <v>118</v>
      </c>
      <c r="BN97">
        <f>BN96+1</f>
        <v>34</v>
      </c>
      <c r="BO97" s="5">
        <f>(BM97-BM96)+(BN97-BN96)</f>
        <v>2</v>
      </c>
      <c r="BQ97" s="4">
        <f>BR97+BS97</f>
        <v>856</v>
      </c>
      <c r="BR97">
        <f>BR96+11</f>
        <v>783</v>
      </c>
      <c r="BS97">
        <f>BS96+-3</f>
        <v>73</v>
      </c>
      <c r="BT97" s="5">
        <f>(BR97-BR96)+(BS97-BS96)</f>
        <v>8</v>
      </c>
      <c r="BU97">
        <f>BU96+-1</f>
        <v>0</v>
      </c>
      <c r="BV97" s="5">
        <f>BU97-BU96</f>
        <v>-1</v>
      </c>
      <c r="BW97">
        <f>BX97+BY97</f>
        <v>60</v>
      </c>
      <c r="BX97">
        <f>BX96+0</f>
        <v>46</v>
      </c>
      <c r="BY97">
        <f>BY96+0</f>
        <v>14</v>
      </c>
      <c r="BZ97" s="5">
        <f>(BX97-BX96)+(BY97-BY96)</f>
        <v>0</v>
      </c>
      <c r="CB97" s="4">
        <f>CC97+CD97</f>
        <v>392</v>
      </c>
      <c r="CC97">
        <f>CC96+1</f>
        <v>384</v>
      </c>
      <c r="CD97">
        <f>CD96+-2</f>
        <v>8</v>
      </c>
      <c r="CE97" s="5">
        <f>(CC97-CC96)+(CD97-CD96)</f>
        <v>-1</v>
      </c>
      <c r="CF97">
        <f>CF96+0</f>
        <v>1</v>
      </c>
      <c r="CG97" s="5">
        <f>CF97-CF96</f>
        <v>0</v>
      </c>
      <c r="CH97">
        <f>CI97+CJ97</f>
        <v>14</v>
      </c>
      <c r="CI97">
        <f>CI96+0</f>
        <v>13</v>
      </c>
      <c r="CJ97">
        <f>CJ96+0</f>
        <v>1</v>
      </c>
      <c r="CK97" s="5">
        <f>(CI97-CI96)+(CJ97-CJ96)</f>
        <v>0</v>
      </c>
      <c r="CM97" s="4">
        <f>CN97+CO97</f>
        <v>1100</v>
      </c>
      <c r="CN97">
        <f>CN96+4</f>
        <v>1039</v>
      </c>
      <c r="CO97">
        <f>CO96+2</f>
        <v>61</v>
      </c>
      <c r="CP97" s="5">
        <f>(CN97-CN96)+(CO97-CO96)</f>
        <v>6</v>
      </c>
      <c r="CQ97">
        <f>CQ96+-1</f>
        <v>8</v>
      </c>
      <c r="CR97" s="5">
        <f>CQ97-CQ96</f>
        <v>-1</v>
      </c>
      <c r="CS97">
        <f>CT97+CU97</f>
        <v>92</v>
      </c>
      <c r="CT97">
        <f>CT96+1</f>
        <v>67</v>
      </c>
      <c r="CU97">
        <f>CU96+1</f>
        <v>25</v>
      </c>
      <c r="CV97" s="5">
        <f>(CT97-CT96)+(CU97-CU96)</f>
        <v>2</v>
      </c>
      <c r="CX97" s="4">
        <f>CY97+CZ97</f>
        <v>248</v>
      </c>
      <c r="CY97">
        <f>CY96+-3</f>
        <v>241</v>
      </c>
      <c r="CZ97">
        <f>CZ96+0</f>
        <v>7</v>
      </c>
      <c r="DA97" s="5">
        <f>(CY97-CY96)+(CZ97-CZ96)</f>
        <v>-3</v>
      </c>
      <c r="DC97" s="5"/>
      <c r="DD97">
        <f>DE97+DF97</f>
        <v>0</v>
      </c>
      <c r="DE97">
        <f>DE96+0</f>
        <v>0</v>
      </c>
      <c r="DF97">
        <f>DF96+0</f>
        <v>0</v>
      </c>
      <c r="DG97" s="5">
        <f>(DE97-DE96)+(DF97-DF96)</f>
        <v>0</v>
      </c>
      <c r="DI97" s="4">
        <f>N97+Y97+AJ97+AU97+BF97+BQ97+CB97+CM97+CX97</f>
        <v>43091</v>
      </c>
      <c r="DJ97">
        <f>O97+Z97+AK97+AV97+BG97+BR97+CC97+CN97+CY97</f>
        <v>41051</v>
      </c>
      <c r="DK97">
        <f>P97+AA97+AL97+AW97+BH97+BS97+CD97+CO97+CZ97</f>
        <v>2040</v>
      </c>
      <c r="DL97">
        <f>Q97+AB97+AM97+AX97+BI97+BT97+CE97+CP97+DA97</f>
        <v>112</v>
      </c>
      <c r="DM97">
        <f>R97+AC97+AN97+AY97+BJ97+BU97+CF97+CQ97+DB97</f>
        <v>406</v>
      </c>
      <c r="DN97" s="3">
        <f>(DM97/DM96)-1</f>
        <v>-0.064516129032258118</v>
      </c>
      <c r="DO97">
        <f>T97+AE97+AP97+BA97+BL97+BW97+CH97+CS97+DD97</f>
        <v>3989</v>
      </c>
      <c r="DP97">
        <f>U97+AF97+AQ97+BB97+BM97+BX97+CI97+CT97+DE97</f>
        <v>3156</v>
      </c>
      <c r="DQ97">
        <f>V97+AG97+AR97+BC97+BN97+BY97+CJ97+CU97+DF97</f>
        <v>833</v>
      </c>
      <c r="DR97" s="3">
        <f>((DP97+DQ97)/(DP96+DQ96))-1</f>
        <v>0.0042799597180260829</v>
      </c>
      <c r="DS97" s="1"/>
      <c r="DT97">
        <f>DM97-DM96</f>
        <v>-28</v>
      </c>
      <c r="DV97">
        <v>4</v>
      </c>
      <c r="DW97" t="s">
        <v>36</v>
      </c>
      <c r="DX97" s="8">
        <v>43948</v>
      </c>
      <c r="DY97">
        <v>45</v>
      </c>
      <c r="DZ97">
        <v>246</v>
      </c>
      <c r="EA97">
        <v>5</v>
      </c>
      <c r="GA97" s="10">
        <v>43937</v>
      </c>
      <c r="GB97">
        <v>667801</v>
      </c>
      <c r="GC97" s="12">
        <f>(GB97/GB96)-1</f>
        <v>0.049424059086980332</v>
      </c>
      <c r="GV97" s="8">
        <v>43930</v>
      </c>
      <c r="GW97">
        <v>12</v>
      </c>
      <c r="GX97" t="s">
        <v>41</v>
      </c>
      <c r="GY97">
        <v>6</v>
      </c>
      <c r="HC97">
        <v>2</v>
      </c>
      <c r="JZ97" t="inlineStr">
        <is>
          <t>Good deal.  04 June 2020, 2026z - author</t>
        </is>
      </c>
    </row>
    <row r="98" spans="1:325" ht="20.25">
      <c r="C98">
        <f>H97*D98</f>
        <v>147.99999999880131</v>
      </c>
      <c r="D98">
        <f>0.0034345919101400001</f>
        <v>0.0034345919101400001</v>
      </c>
      <c r="E98" t="s">
        <v>37</v>
      </c>
      <c r="F98" s="10">
        <v>43986</v>
      </c>
      <c r="G98" s="2">
        <f>H98*15</f>
        <v>648584.99999543373</v>
      </c>
      <c r="H98">
        <f>H97+C98</f>
        <v>43238.999999695581</v>
      </c>
      <c r="I98">
        <v>43239</v>
      </c>
      <c r="J98">
        <v>1872660</v>
      </c>
      <c r="K98">
        <f>N98+Y98+AJ98+AU98+BF98+BQ98+CB98+CM98+CX98</f>
        <v>43239</v>
      </c>
      <c r="L98" s="3">
        <f>(K98/K97)-1</f>
        <v>0.003434591910143725</v>
      </c>
      <c r="N98" s="4">
        <f>O98+P98</f>
        <v>1406</v>
      </c>
      <c r="O98">
        <f>O97+1</f>
        <v>1339</v>
      </c>
      <c r="P98">
        <f>P97+1</f>
        <v>67</v>
      </c>
      <c r="Q98" s="5">
        <f>(O98-O97)+(P98-P97)</f>
        <v>2</v>
      </c>
      <c r="R98">
        <f>R97+-2</f>
        <v>3</v>
      </c>
      <c r="S98" s="5">
        <f>R98-R97</f>
        <v>-2</v>
      </c>
      <c r="T98">
        <f>U98+V98</f>
        <v>134</v>
      </c>
      <c r="U98">
        <f>U97+0</f>
        <v>113</v>
      </c>
      <c r="V98">
        <f>V97+1</f>
        <v>21</v>
      </c>
      <c r="W98" s="5">
        <f>(U98-U97)+(V98-V97)</f>
        <v>1</v>
      </c>
      <c r="Y98" s="4">
        <f>Z98+AA98</f>
        <v>10636</v>
      </c>
      <c r="Z98">
        <f>Z97+33</f>
        <v>9947</v>
      </c>
      <c r="AA98">
        <f>AA97+10</f>
        <v>689</v>
      </c>
      <c r="AB98" s="5">
        <f>(Z98-Z97)+(AA98-AA97)</f>
        <v>43</v>
      </c>
      <c r="AC98">
        <f>AC97+-2</f>
        <v>90</v>
      </c>
      <c r="AD98" s="5">
        <f>AC98-AC97</f>
        <v>-2</v>
      </c>
      <c r="AE98">
        <f>AF98+AG98</f>
        <v>1266</v>
      </c>
      <c r="AF98">
        <f>AF97+6</f>
        <v>964</v>
      </c>
      <c r="AG98">
        <f>AG97+1</f>
        <v>302</v>
      </c>
      <c r="AH98" s="5">
        <f>(AF98-AF97)+(AG98-AG97)</f>
        <v>7</v>
      </c>
      <c r="AJ98" s="4">
        <f>AK98+AL98</f>
        <v>11582</v>
      </c>
      <c r="AK98">
        <f>AK97+30</f>
        <v>11191</v>
      </c>
      <c r="AL98">
        <f>AL97+4</f>
        <v>391</v>
      </c>
      <c r="AM98" s="5">
        <f>(AK98-AK97)+(AL98-AL97)</f>
        <v>34</v>
      </c>
      <c r="AN98">
        <f>AN97+-22</f>
        <v>128</v>
      </c>
      <c r="AO98" s="5">
        <f>AN98-AN97</f>
        <v>-22</v>
      </c>
      <c r="AP98">
        <f>AQ98+AR98</f>
        <v>992</v>
      </c>
      <c r="AQ98">
        <f>AQ97+2</f>
        <v>845</v>
      </c>
      <c r="AR98">
        <f>AR97+0</f>
        <v>147</v>
      </c>
      <c r="AS98" s="5">
        <f>(AQ98-AQ97)+(AR98-AR97)</f>
        <v>2</v>
      </c>
      <c r="AU98" s="4">
        <f>AV98+AW98</f>
        <v>15843</v>
      </c>
      <c r="AV98">
        <f>AV97+46</f>
        <v>15133</v>
      </c>
      <c r="AW98">
        <f>AW97+8</f>
        <v>710</v>
      </c>
      <c r="AX98" s="5">
        <f>(AV98-AV97)+(AW98-AW97)</f>
        <v>54</v>
      </c>
      <c r="AY98">
        <f>AY97+-8</f>
        <v>126</v>
      </c>
      <c r="AZ98" s="5">
        <f>AY98-AY97</f>
        <v>-8</v>
      </c>
      <c r="BA98">
        <f>BB98+BC98</f>
        <v>1293</v>
      </c>
      <c r="BB98">
        <f>BB97+4</f>
        <v>1002</v>
      </c>
      <c r="BC98">
        <f>BC97+0</f>
        <v>291</v>
      </c>
      <c r="BD98" s="5">
        <f>(BB98-BB97)+(BC98-BC97)</f>
        <v>4</v>
      </c>
      <c r="BF98" s="4">
        <f>BG98+BH98</f>
        <v>1171</v>
      </c>
      <c r="BG98">
        <f>BG97+9</f>
        <v>1113</v>
      </c>
      <c r="BH98">
        <f>BH97+1</f>
        <v>58</v>
      </c>
      <c r="BI98" s="5">
        <f>(BG98-BG97)+(BH98-BH97)</f>
        <v>10</v>
      </c>
      <c r="BJ98">
        <f>BJ97+-1</f>
        <v>15</v>
      </c>
      <c r="BK98" s="5">
        <f>BJ98-BJ97</f>
        <v>-1</v>
      </c>
      <c r="BL98">
        <f>BM98+BN98</f>
        <v>154</v>
      </c>
      <c r="BM98">
        <f>BM97+1</f>
        <v>119</v>
      </c>
      <c r="BN98">
        <f>BN97+1</f>
        <v>35</v>
      </c>
      <c r="BO98" s="5">
        <f>(BM98-BM97)+(BN98-BN97)</f>
        <v>2</v>
      </c>
      <c r="BQ98" s="4">
        <f>BR98+BS98</f>
        <v>859</v>
      </c>
      <c r="BR98">
        <f>BR97+1</f>
        <v>784</v>
      </c>
      <c r="BS98">
        <f>BS97+2</f>
        <v>75</v>
      </c>
      <c r="BT98" s="5">
        <f>(BR98-BR97)+(BS98-BS97)</f>
        <v>3</v>
      </c>
      <c r="BU98">
        <f>BU97+0</f>
        <v>0</v>
      </c>
      <c r="BV98" s="5">
        <f>BU98-BU97</f>
        <v>0</v>
      </c>
      <c r="BW98">
        <f>BX98+BY98</f>
        <v>60</v>
      </c>
      <c r="BX98">
        <f>BX97+0</f>
        <v>46</v>
      </c>
      <c r="BY98">
        <f>BY97+0</f>
        <v>14</v>
      </c>
      <c r="BZ98" s="5">
        <f>(BX98-BX97)+(BY98-BY97)</f>
        <v>0</v>
      </c>
      <c r="CB98" s="4">
        <f>CC98+CD98</f>
        <v>397</v>
      </c>
      <c r="CC98">
        <f>CC97+5</f>
        <v>389</v>
      </c>
      <c r="CD98">
        <f>CD97+0</f>
        <v>8</v>
      </c>
      <c r="CE98" s="5">
        <f>(CC98-CC97)+(CD98-CD97)</f>
        <v>5</v>
      </c>
      <c r="CF98">
        <f>CF97+2</f>
        <v>3</v>
      </c>
      <c r="CG98" s="5">
        <f>CF98-CF97</f>
        <v>2</v>
      </c>
      <c r="CH98">
        <f>CI98+CJ98</f>
        <v>14</v>
      </c>
      <c r="CI98">
        <f>CI97+0</f>
        <v>13</v>
      </c>
      <c r="CJ98">
        <f>CJ97+0</f>
        <v>1</v>
      </c>
      <c r="CK98" s="5">
        <f>(CI98-CI97)+(CJ98-CJ97)</f>
        <v>0</v>
      </c>
      <c r="CM98" s="4">
        <f>CN98+CO98</f>
        <v>1104</v>
      </c>
      <c r="CN98">
        <f>CN97+3</f>
        <v>1042</v>
      </c>
      <c r="CO98">
        <f>CO97+1</f>
        <v>62</v>
      </c>
      <c r="CP98" s="5">
        <f>(CN98-CN97)+(CO98-CO97)</f>
        <v>4</v>
      </c>
      <c r="CQ98">
        <f>CQ97+0</f>
        <v>8</v>
      </c>
      <c r="CR98" s="5">
        <f>CQ98-CQ97</f>
        <v>0</v>
      </c>
      <c r="CS98">
        <f>CT98+CU98</f>
        <v>94</v>
      </c>
      <c r="CT98">
        <f>CT97+2</f>
        <v>69</v>
      </c>
      <c r="CU98">
        <f>CU97+0</f>
        <v>25</v>
      </c>
      <c r="CV98" s="5">
        <f>(CT98-CT97)+(CU98-CU97)</f>
        <v>2</v>
      </c>
      <c r="CX98" s="4">
        <f>CY98+CZ98</f>
        <v>241</v>
      </c>
      <c r="CY98">
        <f>CY97+-8</f>
        <v>233</v>
      </c>
      <c r="CZ98">
        <f>CZ97+1</f>
        <v>8</v>
      </c>
      <c r="DA98" s="5">
        <f>(CY98-CY97)+(CZ98-CZ97)</f>
        <v>-7</v>
      </c>
      <c r="DC98" s="5"/>
      <c r="DD98">
        <f>DE98+DF98</f>
        <v>0</v>
      </c>
      <c r="DE98">
        <f>DE97+0</f>
        <v>0</v>
      </c>
      <c r="DF98">
        <f>DF97+0</f>
        <v>0</v>
      </c>
      <c r="DG98" s="5">
        <f>(DE98-DE97)+(DF98-DF97)</f>
        <v>0</v>
      </c>
      <c r="DI98" s="4">
        <f>N98+Y98+AJ98+AU98+BF98+BQ98+CB98+CM98+CX98</f>
        <v>43239</v>
      </c>
      <c r="DJ98">
        <f>O98+Z98+AK98+AV98+BG98+BR98+CC98+CN98+CY98</f>
        <v>41171</v>
      </c>
      <c r="DK98">
        <f>P98+AA98+AL98+AW98+BH98+BS98+CD98+CO98+CZ98</f>
        <v>2068</v>
      </c>
      <c r="DL98">
        <f>Q98+AB98+AM98+AX98+BI98+BT98+CE98+CP98+DA98</f>
        <v>148</v>
      </c>
      <c r="DM98">
        <f>R98+AC98+AN98+AY98+BJ98+BU98+CF98+CQ98+DB98</f>
        <v>373</v>
      </c>
      <c r="DN98" s="3">
        <f>(DM98/DM97)-1</f>
        <v>-0.081280788177339858</v>
      </c>
      <c r="DO98">
        <f>T98+AE98+AP98+BA98+BL98+BW98+CH98+CS98+DD98</f>
        <v>4007</v>
      </c>
      <c r="DP98">
        <f>U98+AF98+AQ98+BB98+BM98+BX98+CI98+CT98+DE98</f>
        <v>3171</v>
      </c>
      <c r="DQ98">
        <f>V98+AG98+AR98+BC98+BN98+BY98+CJ98+CU98+DF98</f>
        <v>836</v>
      </c>
      <c r="DR98" s="3">
        <f>((DP98+DQ98)/(DP97+DQ97))-1</f>
        <v>0.0045124091250940968</v>
      </c>
      <c r="DS98" s="1"/>
      <c r="DT98">
        <f>DM98-DM97</f>
        <v>-33</v>
      </c>
      <c r="DV98">
        <v>4</v>
      </c>
      <c r="DW98" t="s">
        <v>36</v>
      </c>
      <c r="DX98" s="8">
        <v>43949</v>
      </c>
      <c r="DY98">
        <v>44</v>
      </c>
      <c r="DZ98">
        <v>240</v>
      </c>
      <c r="EA98">
        <v>7</v>
      </c>
      <c r="GA98" s="10">
        <v>43938</v>
      </c>
      <c r="GB98">
        <v>699706</v>
      </c>
      <c r="GC98" s="12">
        <f>(GB98/GB97)-1</f>
        <v>0.04777620878075961</v>
      </c>
      <c r="GV98" s="8">
        <v>43931</v>
      </c>
      <c r="GW98">
        <v>12</v>
      </c>
      <c r="GX98" t="s">
        <v>41</v>
      </c>
      <c r="GY98">
        <v>6</v>
      </c>
      <c r="HC98">
        <v>2</v>
      </c>
    </row>
    <row r="99" spans="1:325" ht="20.25">
      <c r="C99">
        <f>H98*D99</f>
        <v>220.99999999841441</v>
      </c>
      <c r="D99">
        <f>0.0051111265292900004</f>
        <v>0.0051111265292900004</v>
      </c>
      <c r="E99" t="s">
        <v>38</v>
      </c>
      <c r="F99" s="10">
        <v>43987</v>
      </c>
      <c r="G99" s="2">
        <f>H99*15</f>
        <v>651899.99999540998</v>
      </c>
      <c r="H99">
        <f>H98+C99</f>
        <v>43459.999999693995</v>
      </c>
      <c r="I99">
        <v>43460</v>
      </c>
      <c r="J99">
        <v>1897380</v>
      </c>
      <c r="K99">
        <f>N99+Y99+AJ99+AU99+BF99+BQ99+CB99+CM99+CX99</f>
        <v>43460</v>
      </c>
      <c r="L99" s="3">
        <f>(K99/K98)-1</f>
        <v>0.0051111265292906882</v>
      </c>
      <c r="N99" s="4">
        <f>O99+P99</f>
        <v>1409</v>
      </c>
      <c r="O99">
        <f>O98+4</f>
        <v>1343</v>
      </c>
      <c r="P99">
        <f>P98+-1</f>
        <v>66</v>
      </c>
      <c r="Q99" s="5">
        <f>(O99-O98)+(P99-P98)</f>
        <v>3</v>
      </c>
      <c r="R99">
        <f>R98+-1</f>
        <v>2</v>
      </c>
      <c r="S99" s="5">
        <f>R99-R98</f>
        <v>-1</v>
      </c>
      <c r="T99">
        <f>U99+V99</f>
        <v>134</v>
      </c>
      <c r="U99">
        <f>U98+0</f>
        <v>113</v>
      </c>
      <c r="V99">
        <f>V98+0</f>
        <v>21</v>
      </c>
      <c r="W99" s="5">
        <f>(U99-U98)+(V99-V98)</f>
        <v>0</v>
      </c>
      <c r="Y99" s="4">
        <f>Z99+AA99</f>
        <v>10677</v>
      </c>
      <c r="Z99">
        <f>Z98+35</f>
        <v>9982</v>
      </c>
      <c r="AA99">
        <f>AA98+6</f>
        <v>695</v>
      </c>
      <c r="AB99" s="5">
        <f>(Z99-Z98)+(AA99-AA98)</f>
        <v>41</v>
      </c>
      <c r="AC99">
        <f>AC98+-7</f>
        <v>83</v>
      </c>
      <c r="AD99" s="5">
        <f>AC99-AC98</f>
        <v>-7</v>
      </c>
      <c r="AE99">
        <f>AF99+AG99</f>
        <v>1277</v>
      </c>
      <c r="AF99">
        <f>AF98+4</f>
        <v>968</v>
      </c>
      <c r="AG99">
        <f>AG98+7</f>
        <v>309</v>
      </c>
      <c r="AH99" s="5">
        <f>(AF99-AF98)+(AG99-AG98)</f>
        <v>11</v>
      </c>
      <c r="AJ99" s="4">
        <f>AK99+AL99</f>
        <v>11673</v>
      </c>
      <c r="AK99">
        <f>AK98+91</f>
        <v>11282</v>
      </c>
      <c r="AL99">
        <f>AL98+0</f>
        <v>391</v>
      </c>
      <c r="AM99" s="5">
        <f>(AK99-AK98)+(AL99-AL98)</f>
        <v>91</v>
      </c>
      <c r="AN99">
        <f>AN98+-1</f>
        <v>127</v>
      </c>
      <c r="AO99" s="5">
        <f>AN99-AN98</f>
        <v>-1</v>
      </c>
      <c r="AP99">
        <f>AQ99+AR99</f>
        <v>999</v>
      </c>
      <c r="AQ99">
        <f>AQ98+10</f>
        <v>855</v>
      </c>
      <c r="AR99">
        <f>AR98+-3</f>
        <v>144</v>
      </c>
      <c r="AS99" s="5">
        <f>(AQ99-AQ98)+(AR99-AR98)</f>
        <v>7</v>
      </c>
      <c r="AU99" s="4">
        <f>AV99+AW99</f>
        <v>15914</v>
      </c>
      <c r="AV99">
        <f>AV98+71</f>
        <v>15204</v>
      </c>
      <c r="AW99">
        <f>AW98+0</f>
        <v>710</v>
      </c>
      <c r="AX99" s="5">
        <f>(AV99-AV98)+(AW99-AW98)</f>
        <v>71</v>
      </c>
      <c r="AY99">
        <f>AY98+-15</f>
        <v>111</v>
      </c>
      <c r="AZ99" s="5">
        <f>AY99-AY98</f>
        <v>-15</v>
      </c>
      <c r="BA99">
        <f>BB99+BC99</f>
        <v>1304</v>
      </c>
      <c r="BB99">
        <f>BB98+9</f>
        <v>1011</v>
      </c>
      <c r="BC99">
        <f>BC98+2</f>
        <v>293</v>
      </c>
      <c r="BD99" s="5">
        <f>(BB99-BB98)+(BC99-BC98)</f>
        <v>11</v>
      </c>
      <c r="BF99" s="4">
        <f>BG99+BH99</f>
        <v>1170</v>
      </c>
      <c r="BG99">
        <f>BG98+-1</f>
        <v>1112</v>
      </c>
      <c r="BH99">
        <f>BH98+0</f>
        <v>58</v>
      </c>
      <c r="BI99" s="5">
        <f>(BG99-BG98)+(BH99-BH98)</f>
        <v>-1</v>
      </c>
      <c r="BJ99">
        <f>BJ98+-1</f>
        <v>14</v>
      </c>
      <c r="BK99" s="5">
        <f>BJ99-BJ98</f>
        <v>-1</v>
      </c>
      <c r="BL99">
        <f>BM99+BN99</f>
        <v>155</v>
      </c>
      <c r="BM99">
        <f>BM98+1</f>
        <v>120</v>
      </c>
      <c r="BN99">
        <f>BN98+0</f>
        <v>35</v>
      </c>
      <c r="BO99" s="5">
        <f>(BM99-BM98)+(BN99-BN98)</f>
        <v>1</v>
      </c>
      <c r="BQ99" s="4">
        <f>BR99+BS99</f>
        <v>859</v>
      </c>
      <c r="BR99">
        <f>BR98+0</f>
        <v>784</v>
      </c>
      <c r="BS99">
        <f>BS98+0</f>
        <v>75</v>
      </c>
      <c r="BT99" s="5">
        <f>(BR99-BR98)+(BS99-BS98)</f>
        <v>0</v>
      </c>
      <c r="BU99">
        <f>BU98+0</f>
        <v>0</v>
      </c>
      <c r="BV99" s="5">
        <f>BU99-BU98</f>
        <v>0</v>
      </c>
      <c r="BW99">
        <f>BX99+BY99</f>
        <v>60</v>
      </c>
      <c r="BX99">
        <f>BX98+0</f>
        <v>46</v>
      </c>
      <c r="BY99">
        <f>BY98+0</f>
        <v>14</v>
      </c>
      <c r="BZ99" s="5">
        <f>(BX99-BX98)+(BY99-BY98)</f>
        <v>0</v>
      </c>
      <c r="CB99" s="4">
        <f>CC99+CD99</f>
        <v>405</v>
      </c>
      <c r="CC99">
        <f>CC98+9</f>
        <v>398</v>
      </c>
      <c r="CD99">
        <f>CD98+-1</f>
        <v>7</v>
      </c>
      <c r="CE99" s="5">
        <f>(CC99-CC98)+(CD99-CD98)</f>
        <v>8</v>
      </c>
      <c r="CF99">
        <f>CF98+2</f>
        <v>5</v>
      </c>
      <c r="CG99" s="5">
        <f>CF99-CF98</f>
        <v>2</v>
      </c>
      <c r="CH99">
        <f>CI99+CJ99</f>
        <v>14</v>
      </c>
      <c r="CI99">
        <f>CI98+0</f>
        <v>13</v>
      </c>
      <c r="CJ99">
        <f>CJ98+0</f>
        <v>1</v>
      </c>
      <c r="CK99" s="5">
        <f>(CI99-CI98)+(CJ99-CJ98)</f>
        <v>0</v>
      </c>
      <c r="CM99" s="4">
        <f>CN99+CO99</f>
        <v>1108</v>
      </c>
      <c r="CN99">
        <f>CN98+3</f>
        <v>1045</v>
      </c>
      <c r="CO99">
        <f>CO98+1</f>
        <v>63</v>
      </c>
      <c r="CP99" s="5">
        <f>(CN99-CN98)+(CO99-CO98)</f>
        <v>4</v>
      </c>
      <c r="CQ99">
        <f>CQ98+0</f>
        <v>8</v>
      </c>
      <c r="CR99" s="5">
        <f>CQ99-CQ98</f>
        <v>0</v>
      </c>
      <c r="CS99">
        <f>CT99+CU99</f>
        <v>95</v>
      </c>
      <c r="CT99">
        <f>CT98+1</f>
        <v>70</v>
      </c>
      <c r="CU99">
        <f>CU98+0</f>
        <v>25</v>
      </c>
      <c r="CV99" s="5">
        <f>(CT99-CT98)+(CU99-CU98)</f>
        <v>1</v>
      </c>
      <c r="CX99" s="4">
        <f>CY99+CZ99</f>
        <v>245</v>
      </c>
      <c r="CY99">
        <f>CY98+4</f>
        <v>237</v>
      </c>
      <c r="CZ99">
        <f>CZ98+0</f>
        <v>8</v>
      </c>
      <c r="DA99" s="5">
        <f>(CY99-CY98)+(CZ99-CZ98)</f>
        <v>4</v>
      </c>
      <c r="DC99" s="5"/>
      <c r="DD99">
        <f>DE99+DF99</f>
        <v>0</v>
      </c>
      <c r="DE99">
        <f>DE98+0</f>
        <v>0</v>
      </c>
      <c r="DF99">
        <f>DF98+0</f>
        <v>0</v>
      </c>
      <c r="DG99" s="5">
        <f>(DE99-DE98)+(DF99-DF98)</f>
        <v>0</v>
      </c>
      <c r="DI99" s="4">
        <f>N99+Y99+AJ99+AU99+BF99+BQ99+CB99+CM99+CX99</f>
        <v>43460</v>
      </c>
      <c r="DJ99">
        <f>O99+Z99+AK99+AV99+BG99+BR99+CC99+CN99+CY99</f>
        <v>41387</v>
      </c>
      <c r="DK99">
        <f>P99+AA99+AL99+AW99+BH99+BS99+CD99+CO99+CZ99</f>
        <v>2073</v>
      </c>
      <c r="DL99">
        <f>Q99+AB99+AM99+AX99+BI99+BT99+CE99+CP99+DA99</f>
        <v>221</v>
      </c>
      <c r="DM99">
        <f>R99+AC99+AN99+AY99+BJ99+BU99+CF99+CQ99+DB99</f>
        <v>350</v>
      </c>
      <c r="DN99" s="3">
        <f>(DM99/DM98)-1</f>
        <v>-0.061662198391420953</v>
      </c>
      <c r="DO99">
        <f>T99+AE99+AP99+BA99+BL99+BW99+CH99+CS99+DD99</f>
        <v>4038</v>
      </c>
      <c r="DP99">
        <f>U99+AF99+AQ99+BB99+BM99+BX99+CI99+CT99+DE99</f>
        <v>3196</v>
      </c>
      <c r="DQ99">
        <f>V99+AG99+AR99+BC99+BN99+BY99+CJ99+CU99+DF99</f>
        <v>842</v>
      </c>
      <c r="DR99" s="3">
        <f>((DP99+DQ99)/(DP98+DQ98))-1</f>
        <v>0.0077364611929124916</v>
      </c>
      <c r="DS99" s="1"/>
      <c r="DT99">
        <f>DM99-DM98</f>
        <v>-23</v>
      </c>
      <c r="DV99">
        <v>4</v>
      </c>
      <c r="DW99" t="s">
        <v>36</v>
      </c>
      <c r="DX99" s="8">
        <v>43950</v>
      </c>
      <c r="DY99">
        <v>46</v>
      </c>
      <c r="DZ99">
        <v>251</v>
      </c>
      <c r="EA99">
        <v>8</v>
      </c>
      <c r="GA99" s="10">
        <v>43939</v>
      </c>
      <c r="GB99">
        <v>732197</v>
      </c>
      <c r="GC99" s="12">
        <f>(GB99/GB98)-1</f>
        <v>0.04643521707688647</v>
      </c>
      <c r="GV99" s="8">
        <v>43932</v>
      </c>
      <c r="GW99">
        <v>12</v>
      </c>
      <c r="GX99" t="s">
        <v>41</v>
      </c>
      <c r="GY99">
        <v>6</v>
      </c>
      <c r="HC99">
        <v>2</v>
      </c>
    </row>
    <row r="100" spans="1:325" ht="20.25">
      <c r="C100">
        <f>H99*D100</f>
        <v>357.99999999757068</v>
      </c>
      <c r="D100">
        <f>0.0082374597330899992</f>
        <v>0.0082374597330899992</v>
      </c>
      <c r="E100" t="s">
        <v>40</v>
      </c>
      <c r="F100" s="10">
        <v>43988</v>
      </c>
      <c r="G100" s="2">
        <f>H100*15</f>
        <v>657269.99999537342</v>
      </c>
      <c r="H100">
        <f>H99+C100</f>
        <v>43817.999999691565</v>
      </c>
      <c r="I100">
        <v>43818</v>
      </c>
      <c r="J100">
        <v>1920061</v>
      </c>
      <c r="K100">
        <f>N100+Y100+AJ100+AU100+BF100+BQ100+CB100+CM100+CX100</f>
        <v>43818</v>
      </c>
      <c r="L100" s="3">
        <f>(K100/K99)-1</f>
        <v>0.0082374597330878707</v>
      </c>
      <c r="N100" s="4">
        <f>O100+P100</f>
        <v>1413</v>
      </c>
      <c r="O100">
        <f>O99+4</f>
        <v>1347</v>
      </c>
      <c r="P100">
        <f>P99+0</f>
        <v>66</v>
      </c>
      <c r="Q100" s="5">
        <f>(O100-O99)+(P100-P99)</f>
        <v>4</v>
      </c>
      <c r="R100">
        <f>R99+-1</f>
        <v>1</v>
      </c>
      <c r="S100" s="5">
        <f>R100-R99</f>
        <v>-1</v>
      </c>
      <c r="T100">
        <f>U100+V100</f>
        <v>134</v>
      </c>
      <c r="U100">
        <f>U99+0</f>
        <v>113</v>
      </c>
      <c r="V100">
        <f>V99+0</f>
        <v>21</v>
      </c>
      <c r="W100" s="5">
        <f>(U100-U99)+(V100-V99)</f>
        <v>0</v>
      </c>
      <c r="Y100" s="4">
        <f>Z100+AA100</f>
        <v>10747</v>
      </c>
      <c r="Z100">
        <f>Z99+64</f>
        <v>10046</v>
      </c>
      <c r="AA100">
        <f>AA99+6</f>
        <v>701</v>
      </c>
      <c r="AB100" s="5">
        <f>(Z100-Z99)+(AA100-AA99)</f>
        <v>70</v>
      </c>
      <c r="AC100">
        <f>AC99+-5</f>
        <v>78</v>
      </c>
      <c r="AD100" s="5">
        <f>AC100-AC99</f>
        <v>-5</v>
      </c>
      <c r="AE100">
        <f>AF100+AG100</f>
        <v>1279</v>
      </c>
      <c r="AF100">
        <f>AF99+3</f>
        <v>971</v>
      </c>
      <c r="AG100">
        <f>AG99+-1</f>
        <v>308</v>
      </c>
      <c r="AH100" s="5">
        <f>(AF100-AF99)+(AG100-AG99)</f>
        <v>2</v>
      </c>
      <c r="AJ100" s="4">
        <f>AK100+AL100</f>
        <v>11817</v>
      </c>
      <c r="AK100">
        <f>AK99+147</f>
        <v>11429</v>
      </c>
      <c r="AL100">
        <f>AL99+-3</f>
        <v>388</v>
      </c>
      <c r="AM100" s="5">
        <f>(AK100-AK99)+(AL100-AL99)</f>
        <v>144</v>
      </c>
      <c r="AN100">
        <f>AN99+-6</f>
        <v>121</v>
      </c>
      <c r="AO100" s="5">
        <f>AN100-AN99</f>
        <v>-6</v>
      </c>
      <c r="AP100">
        <f>AQ100+AR100</f>
        <v>1007</v>
      </c>
      <c r="AQ100">
        <f>AQ99+10</f>
        <v>865</v>
      </c>
      <c r="AR100">
        <f>AR99+-2</f>
        <v>142</v>
      </c>
      <c r="AS100" s="5">
        <f>(AQ100-AQ99)+(AR100-AR99)</f>
        <v>8</v>
      </c>
      <c r="AU100" s="4">
        <f>AV100+AW100</f>
        <v>16020</v>
      </c>
      <c r="AV100">
        <f>AV99+103</f>
        <v>15307</v>
      </c>
      <c r="AW100">
        <f>AW99+3</f>
        <v>713</v>
      </c>
      <c r="AX100" s="5">
        <f>(AV100-AV99)+(AW100-AW99)</f>
        <v>106</v>
      </c>
      <c r="AY100">
        <f>AY99+-3</f>
        <v>108</v>
      </c>
      <c r="AZ100" s="5">
        <f>AY100-AY99</f>
        <v>-3</v>
      </c>
      <c r="BA100">
        <f>BB100+BC100</f>
        <v>1309</v>
      </c>
      <c r="BB100">
        <f>BB99+6</f>
        <v>1017</v>
      </c>
      <c r="BC100">
        <f>BC99+-1</f>
        <v>292</v>
      </c>
      <c r="BD100" s="5">
        <f>(BB100-BB99)+(BC100-BC99)</f>
        <v>5</v>
      </c>
      <c r="BF100" s="4">
        <f>BG100+BH100</f>
        <v>1174</v>
      </c>
      <c r="BG100">
        <f>BG99+7</f>
        <v>1119</v>
      </c>
      <c r="BH100">
        <f>BH99+-3</f>
        <v>55</v>
      </c>
      <c r="BI100" s="5">
        <f>(BG100-BG99)+(BH100-BH99)</f>
        <v>4</v>
      </c>
      <c r="BJ100">
        <f>BJ99+0</f>
        <v>14</v>
      </c>
      <c r="BK100" s="5">
        <f>BJ100-BJ99</f>
        <v>0</v>
      </c>
      <c r="BL100">
        <f>BM100+BN100</f>
        <v>157</v>
      </c>
      <c r="BM100">
        <f>BM99+3</f>
        <v>123</v>
      </c>
      <c r="BN100">
        <f>BN99+-1</f>
        <v>34</v>
      </c>
      <c r="BO100" s="5">
        <f>(BM100-BM99)+(BN100-BN99)</f>
        <v>2</v>
      </c>
      <c r="BQ100" s="4">
        <f>BR100+BS100</f>
        <v>864</v>
      </c>
      <c r="BR100">
        <f>BR99+5</f>
        <v>789</v>
      </c>
      <c r="BS100">
        <f>BS99+0</f>
        <v>75</v>
      </c>
      <c r="BT100" s="5">
        <f>(BR100-BR99)+(BS100-BS99)</f>
        <v>5</v>
      </c>
      <c r="BU100">
        <f>BU99+0</f>
        <v>0</v>
      </c>
      <c r="BV100" s="5">
        <f>BU100-BU99</f>
        <v>0</v>
      </c>
      <c r="BW100">
        <f>BX100+BY100</f>
        <v>60</v>
      </c>
      <c r="BX100">
        <f>BX99+0</f>
        <v>46</v>
      </c>
      <c r="BY100">
        <f>BY99+0</f>
        <v>14</v>
      </c>
      <c r="BZ100" s="5">
        <f>(BX100-BX99)+(BY100-BY99)</f>
        <v>0</v>
      </c>
      <c r="CB100" s="4">
        <f>CC100+CD100</f>
        <v>416</v>
      </c>
      <c r="CC100">
        <f>CC99+11</f>
        <v>409</v>
      </c>
      <c r="CD100">
        <f>CD99+0</f>
        <v>7</v>
      </c>
      <c r="CE100" s="5">
        <f>(CC100-CC99)+(CD100-CD99)</f>
        <v>11</v>
      </c>
      <c r="CF100">
        <f>CF99+-1</f>
        <v>4</v>
      </c>
      <c r="CG100" s="5">
        <f>CF100-CF99</f>
        <v>-1</v>
      </c>
      <c r="CH100">
        <f>CI100+CJ100</f>
        <v>14</v>
      </c>
      <c r="CI100">
        <f>CI99+0</f>
        <v>13</v>
      </c>
      <c r="CJ100">
        <f>CJ99+0</f>
        <v>1</v>
      </c>
      <c r="CK100" s="5">
        <f>(CI100-CI99)+(CJ100-CJ99)</f>
        <v>0</v>
      </c>
      <c r="CM100" s="4">
        <f>CN100+CO100</f>
        <v>1112</v>
      </c>
      <c r="CN100">
        <f>CN99+4</f>
        <v>1049</v>
      </c>
      <c r="CO100">
        <f>CO99+0</f>
        <v>63</v>
      </c>
      <c r="CP100" s="5">
        <f>(CN100-CN99)+(CO100-CO99)</f>
        <v>4</v>
      </c>
      <c r="CQ100">
        <f>CQ99+-1</f>
        <v>7</v>
      </c>
      <c r="CR100" s="5">
        <f>CQ100-CQ99</f>
        <v>-1</v>
      </c>
      <c r="CS100">
        <f>CT100+CU100</f>
        <v>95</v>
      </c>
      <c r="CT100">
        <f>CT99+0</f>
        <v>70</v>
      </c>
      <c r="CU100">
        <f>CU99+0</f>
        <v>25</v>
      </c>
      <c r="CV100" s="5">
        <f>(CT100-CT99)+(CU100-CU99)</f>
        <v>0</v>
      </c>
      <c r="CX100" s="4">
        <f>CY100+CZ100</f>
        <v>255</v>
      </c>
      <c r="CY100">
        <f>CY99+11</f>
        <v>248</v>
      </c>
      <c r="CZ100">
        <f>CZ99+-1</f>
        <v>7</v>
      </c>
      <c r="DA100" s="5">
        <f>(CY100-CY99)+(CZ100-CZ99)</f>
        <v>10</v>
      </c>
      <c r="DC100" s="5"/>
      <c r="DD100">
        <f>DE100+DF100</f>
        <v>0</v>
      </c>
      <c r="DE100">
        <f>DE99+0</f>
        <v>0</v>
      </c>
      <c r="DF100">
        <f>DF99+0</f>
        <v>0</v>
      </c>
      <c r="DG100" s="5">
        <f>(DE100-DE99)+(DF100-DF99)</f>
        <v>0</v>
      </c>
      <c r="DI100" s="4">
        <f>N100+Y100+AJ100+AU100+BF100+BQ100+CB100+CM100+CX100</f>
        <v>43818</v>
      </c>
      <c r="DJ100">
        <f>O100+Z100+AK100+AV100+BG100+BR100+CC100+CN100+CY100</f>
        <v>41743</v>
      </c>
      <c r="DK100">
        <f>P100+AA100+AL100+AW100+BH100+BS100+CD100+CO100+CZ100</f>
        <v>2075</v>
      </c>
      <c r="DL100">
        <f>Q100+AB100+AM100+AX100+BI100+BT100+CE100+CP100+DA100</f>
        <v>358</v>
      </c>
      <c r="DM100">
        <f>R100+AC100+AN100+AY100+BJ100+BU100+CF100+CQ100+DB100</f>
        <v>333</v>
      </c>
      <c r="DN100" s="3">
        <f>(DM100/DM99)-1</f>
        <v>-0.048571428571428599</v>
      </c>
      <c r="DO100">
        <f>T100+AE100+AP100+BA100+BL100+BW100+CH100+CS100+DD100</f>
        <v>4055</v>
      </c>
      <c r="DP100">
        <f>U100+AF100+AQ100+BB100+BM100+BX100+CI100+CT100+DE100</f>
        <v>3218</v>
      </c>
      <c r="DQ100">
        <f>V100+AG100+AR100+BC100+BN100+BY100+CJ100+CU100+DF100</f>
        <v>837</v>
      </c>
      <c r="DR100" s="3">
        <f>((DP100+DQ100)/(DP99+DQ99))-1</f>
        <v>0.0042100049529469885</v>
      </c>
      <c r="DS100" s="1"/>
      <c r="DT100">
        <f>DM100-DM99</f>
        <v>-17</v>
      </c>
      <c r="DV100">
        <v>4</v>
      </c>
      <c r="DW100" t="s">
        <v>36</v>
      </c>
      <c r="DX100" s="8">
        <v>43951</v>
      </c>
      <c r="DY100">
        <v>47</v>
      </c>
      <c r="DZ100">
        <v>257</v>
      </c>
      <c r="EA100">
        <v>8</v>
      </c>
      <c r="GA100" s="10">
        <v>43940</v>
      </c>
      <c r="GB100">
        <v>758809</v>
      </c>
      <c r="GC100" s="12">
        <f>(GB100/GB99)-1</f>
        <v>0.036345409773599124</v>
      </c>
      <c r="GV100" s="8">
        <v>43933</v>
      </c>
      <c r="GW100">
        <v>12</v>
      </c>
      <c r="GX100" t="s">
        <v>41</v>
      </c>
      <c r="GY100">
        <v>8</v>
      </c>
      <c r="HC100">
        <v>2</v>
      </c>
    </row>
    <row r="101" spans="1:325" ht="19.57">
      <c r="C101">
        <f>H100*D101</f>
        <v>149.99999999882797</v>
      </c>
      <c r="D101">
        <f>0.0034232507188799999</f>
        <v>0.0034232507188799999</v>
      </c>
      <c r="E101" t="s">
        <v>30</v>
      </c>
      <c r="F101" s="10">
        <v>43989</v>
      </c>
      <c r="G101" s="2">
        <f>H101*15</f>
        <v>659519.99999535596</v>
      </c>
      <c r="H101">
        <f>H100+C101</f>
        <v>43967.999999690393</v>
      </c>
      <c r="I101">
        <v>43968</v>
      </c>
      <c r="J101">
        <v>1943988</v>
      </c>
      <c r="K101">
        <f>N101+Y101+AJ101+AU101+BF101+BQ101+CB101+CM101+CX101</f>
        <v>43968</v>
      </c>
      <c r="L101" s="3">
        <f>(K101/K100)-1</f>
        <v>0.0034232507188827199</v>
      </c>
      <c r="N101" s="4">
        <f>O101+P101</f>
        <v>1419</v>
      </c>
      <c r="O101">
        <f>O100+6</f>
        <v>1353</v>
      </c>
      <c r="P101">
        <f>P100+0</f>
        <v>66</v>
      </c>
      <c r="Q101" s="5">
        <f>(O101-O100)+(P101-P100)</f>
        <v>6</v>
      </c>
      <c r="R101">
        <f>R100+0</f>
        <v>1</v>
      </c>
      <c r="S101" s="5">
        <f>R101-R100</f>
        <v>0</v>
      </c>
      <c r="T101">
        <f>U101+V101</f>
        <v>134</v>
      </c>
      <c r="U101">
        <f>U100+0</f>
        <v>113</v>
      </c>
      <c r="V101">
        <f>V100+0</f>
        <v>21</v>
      </c>
      <c r="W101" s="5">
        <f>(U101-U100)+(V101-V100)</f>
        <v>0</v>
      </c>
      <c r="Y101" s="4">
        <f>Z101+AA101</f>
        <v>10809</v>
      </c>
      <c r="Z101">
        <f>Z100+66</f>
        <v>10112</v>
      </c>
      <c r="AA101">
        <f>AA100+-4</f>
        <v>697</v>
      </c>
      <c r="AB101" s="5">
        <f>(Z101-Z100)+(AA101-AA100)</f>
        <v>62</v>
      </c>
      <c r="AC101">
        <f>AC100+9</f>
        <v>87</v>
      </c>
      <c r="AD101" s="5">
        <f>AC101-AC100</f>
        <v>9</v>
      </c>
      <c r="AE101">
        <f>AF101+AG101</f>
        <v>1287</v>
      </c>
      <c r="AF101">
        <f>AF100+6</f>
        <v>977</v>
      </c>
      <c r="AG101">
        <f>AG100+2</f>
        <v>310</v>
      </c>
      <c r="AH101" s="5">
        <f>(AF101-AF100)+(AG101-AG100)</f>
        <v>8</v>
      </c>
      <c r="AJ101" s="4">
        <f>AK101+AL101</f>
        <v>11828</v>
      </c>
      <c r="AK101">
        <f>AK100+12</f>
        <v>11441</v>
      </c>
      <c r="AL101">
        <f>AL100+-1</f>
        <v>387</v>
      </c>
      <c r="AM101" s="5">
        <f>(AK101-AK100)+(AL101-AL100)</f>
        <v>11</v>
      </c>
      <c r="AN101">
        <f>AN100+-11</f>
        <v>110</v>
      </c>
      <c r="AO101" s="5">
        <f>AN101-AN100</f>
        <v>-11</v>
      </c>
      <c r="AP101">
        <f>AQ101+AR101</f>
        <v>1010</v>
      </c>
      <c r="AQ101">
        <f>AQ100+2</f>
        <v>867</v>
      </c>
      <c r="AR101">
        <f>AR100+1</f>
        <v>143</v>
      </c>
      <c r="AS101" s="5">
        <f>(AQ101-AQ100)+(AR101-AR100)</f>
        <v>3</v>
      </c>
      <c r="AU101" s="4">
        <f>AV101+AW101</f>
        <v>16056</v>
      </c>
      <c r="AV101">
        <f>AV100+35</f>
        <v>15342</v>
      </c>
      <c r="AW101">
        <f>AW100+1</f>
        <v>714</v>
      </c>
      <c r="AX101" s="5">
        <f>(AV101-AV100)+(AW101-AW100)</f>
        <v>36</v>
      </c>
      <c r="AY101">
        <f>AY100+3</f>
        <v>111</v>
      </c>
      <c r="AZ101" s="5">
        <f>AY101-AY100</f>
        <v>3</v>
      </c>
      <c r="BA101">
        <f>BB101+BC101</f>
        <v>1312</v>
      </c>
      <c r="BB101">
        <f>BB100+2</f>
        <v>1019</v>
      </c>
      <c r="BC101">
        <f>BC100+1</f>
        <v>293</v>
      </c>
      <c r="BD101" s="5">
        <f>(BB101-BB100)+(BC101-BC100)</f>
        <v>3</v>
      </c>
      <c r="BF101" s="4">
        <f>BG101+BH101</f>
        <v>1185</v>
      </c>
      <c r="BG101">
        <f>BG100+9</f>
        <v>1128</v>
      </c>
      <c r="BH101">
        <f>BH100+2</f>
        <v>57</v>
      </c>
      <c r="BI101" s="5">
        <f>(BG101-BG100)+(BH101-BH100)</f>
        <v>11</v>
      </c>
      <c r="BJ101">
        <f>BJ100+1</f>
        <v>15</v>
      </c>
      <c r="BK101" s="5">
        <f>BJ101-BJ100</f>
        <v>1</v>
      </c>
      <c r="BL101">
        <f>BM101+BN101</f>
        <v>159</v>
      </c>
      <c r="BM101">
        <f>BM100+1</f>
        <v>124</v>
      </c>
      <c r="BN101">
        <f>BN100+1</f>
        <v>35</v>
      </c>
      <c r="BO101" s="5">
        <f>(BM101-BM100)+(BN101-BN100)</f>
        <v>2</v>
      </c>
      <c r="BQ101" s="4">
        <f>BR101+BS101</f>
        <v>864</v>
      </c>
      <c r="BR101">
        <f>BR100+0</f>
        <v>789</v>
      </c>
      <c r="BS101">
        <f>BS100+0</f>
        <v>75</v>
      </c>
      <c r="BT101" s="5">
        <f>(BR101-BR100)+(BS101-BS100)</f>
        <v>0</v>
      </c>
      <c r="BU101">
        <f>BU100+0</f>
        <v>0</v>
      </c>
      <c r="BV101" s="5">
        <f>BU101-BU100</f>
        <v>0</v>
      </c>
      <c r="BW101">
        <f>BX101+BY101</f>
        <v>60</v>
      </c>
      <c r="BX101">
        <f>BX100+0</f>
        <v>46</v>
      </c>
      <c r="BY101">
        <f>BY100+0</f>
        <v>14</v>
      </c>
      <c r="BZ101" s="5">
        <f>(BX101-BX100)+(BY101-BY100)</f>
        <v>0</v>
      </c>
      <c r="CB101" s="4">
        <f>CC101+CD101</f>
        <v>420</v>
      </c>
      <c r="CC101">
        <f>CC100+3</f>
        <v>412</v>
      </c>
      <c r="CD101">
        <f>CD100+1</f>
        <v>8</v>
      </c>
      <c r="CE101" s="5">
        <f>(CC101-CC100)+(CD101-CD100)</f>
        <v>4</v>
      </c>
      <c r="CF101">
        <f>CF100+-1</f>
        <v>3</v>
      </c>
      <c r="CG101" s="5">
        <f>CF101-CF100</f>
        <v>-1</v>
      </c>
      <c r="CH101">
        <f>CI101+CJ101</f>
        <v>14</v>
      </c>
      <c r="CI101">
        <f>CI100+0</f>
        <v>13</v>
      </c>
      <c r="CJ101">
        <f>CJ100+0</f>
        <v>1</v>
      </c>
      <c r="CK101" s="5">
        <f>(CI101-CI100)+(CJ101-CJ100)</f>
        <v>0</v>
      </c>
      <c r="CM101" s="4">
        <f>CN101+CO101</f>
        <v>1119</v>
      </c>
      <c r="CN101">
        <f>CN100+7</f>
        <v>1056</v>
      </c>
      <c r="CO101">
        <f>CO100+0</f>
        <v>63</v>
      </c>
      <c r="CP101" s="5">
        <f>(CN101-CN100)+(CO101-CO100)</f>
        <v>7</v>
      </c>
      <c r="CQ101">
        <f>CQ100+-1</f>
        <v>6</v>
      </c>
      <c r="CR101" s="5">
        <f>CQ101-CQ100</f>
        <v>-1</v>
      </c>
      <c r="CS101">
        <f>CT101+CU101</f>
        <v>95</v>
      </c>
      <c r="CT101">
        <f>CT100+0</f>
        <v>70</v>
      </c>
      <c r="CU101">
        <f>CU100+0</f>
        <v>25</v>
      </c>
      <c r="CV101" s="5">
        <f>(CT101-CT100)+(CU101-CU100)</f>
        <v>0</v>
      </c>
      <c r="CX101" s="4">
        <f>CY101+CZ101</f>
        <v>268</v>
      </c>
      <c r="CY101">
        <f>CY100+14</f>
        <v>262</v>
      </c>
      <c r="CZ101">
        <f>CZ100+-1</f>
        <v>6</v>
      </c>
      <c r="DA101" s="5">
        <f>(CY101-CY100)+(CZ101-CZ100)</f>
        <v>13</v>
      </c>
      <c r="DC101" s="5"/>
      <c r="DD101">
        <f>DE101+DF101</f>
        <v>0</v>
      </c>
      <c r="DE101">
        <f>DE100+0</f>
        <v>0</v>
      </c>
      <c r="DF101">
        <f>DF100+0</f>
        <v>0</v>
      </c>
      <c r="DG101" s="5">
        <f>(DE101-DE100)+(DF101-DF100)</f>
        <v>0</v>
      </c>
      <c r="DI101" s="4">
        <f>N101+Y101+AJ101+AU101+BF101+BQ101+CB101+CM101+CX101</f>
        <v>43968</v>
      </c>
      <c r="DJ101">
        <f>O101+Z101+AK101+AV101+BG101+BR101+CC101+CN101+CY101</f>
        <v>41895</v>
      </c>
      <c r="DK101">
        <f>P101+AA101+AL101+AW101+BH101+BS101+CD101+CO101+CZ101</f>
        <v>2073</v>
      </c>
      <c r="DL101">
        <f>Q101+AB101+AM101+AX101+BI101+BT101+CE101+CP101+DA101</f>
        <v>150</v>
      </c>
      <c r="DM101">
        <f>R101+AC101+AN101+AY101+BJ101+BU101+CF101+CQ101+DB101</f>
        <v>333</v>
      </c>
      <c r="DN101" s="3">
        <f>(DM101/DM100)-1</f>
        <v>0</v>
      </c>
      <c r="DO101">
        <f>T101+AE101+AP101+BA101+BL101+BW101+CH101+CS101+DD101</f>
        <v>4071</v>
      </c>
      <c r="DP101">
        <f>U101+AF101+AQ101+BB101+BM101+BX101+CI101+CT101+DE101</f>
        <v>3229</v>
      </c>
      <c r="DQ101">
        <f>V101+AG101+AR101+BC101+BN101+BY101+CJ101+CU101+DF101</f>
        <v>842</v>
      </c>
      <c r="DR101" s="3">
        <f>((DP101+DQ101)/(DP100+DQ100))-1</f>
        <v>0.0039457459926017791</v>
      </c>
      <c r="DS101" s="1"/>
      <c r="DT101">
        <f>DM101-DM100</f>
        <v>0</v>
      </c>
      <c r="DV101">
        <v>4</v>
      </c>
      <c r="DW101" t="s">
        <v>36</v>
      </c>
      <c r="DX101" s="8">
        <v>43952</v>
      </c>
      <c r="DY101">
        <v>52</v>
      </c>
      <c r="DZ101">
        <v>284</v>
      </c>
      <c r="EA101">
        <v>9</v>
      </c>
      <c r="GA101" s="10">
        <v>43941</v>
      </c>
      <c r="GB101">
        <v>784326</v>
      </c>
      <c r="GC101" s="12">
        <f>(GB101/GB100)-1</f>
        <v>0.033627698142747464</v>
      </c>
      <c r="GV101" s="8">
        <v>43934</v>
      </c>
      <c r="GW101">
        <v>12</v>
      </c>
      <c r="GX101" t="s">
        <v>41</v>
      </c>
      <c r="GY101">
        <v>8</v>
      </c>
      <c r="HC101">
        <v>2</v>
      </c>
    </row>
    <row r="102" spans="1:325" ht="19.57">
      <c r="C102">
        <f>H101*D102</f>
        <v>123.99999999903405</v>
      </c>
      <c r="D102">
        <f>0.0028202328966500001</f>
        <v>0.0028202328966500001</v>
      </c>
      <c r="E102" t="s">
        <v>33</v>
      </c>
      <c r="F102" s="10">
        <v>43990</v>
      </c>
      <c r="G102" s="2">
        <f>H102*15</f>
        <v>661379.99999534141</v>
      </c>
      <c r="H102">
        <f>H101+C102</f>
        <v>44091.999999689426</v>
      </c>
      <c r="I102">
        <v>44092</v>
      </c>
      <c r="J102">
        <v>1961621</v>
      </c>
      <c r="K102">
        <f>N102+Y102+AJ102+AU102+BF102+BQ102+CB102+CM102+CX102</f>
        <v>44092</v>
      </c>
      <c r="L102" s="3">
        <f>(K102/K101)-1</f>
        <v>0.0028202328966520085</v>
      </c>
      <c r="N102" s="4">
        <f>O102+P102</f>
        <v>1426</v>
      </c>
      <c r="O102">
        <f>O101+7</f>
        <v>1360</v>
      </c>
      <c r="P102">
        <f>P101+0</f>
        <v>66</v>
      </c>
      <c r="Q102" s="5">
        <f>(O102-O101)+(P102-P101)</f>
        <v>7</v>
      </c>
      <c r="R102">
        <f>R101+1</f>
        <v>2</v>
      </c>
      <c r="S102" s="5">
        <f>R102-R101</f>
        <v>1</v>
      </c>
      <c r="T102">
        <f>U102+V102</f>
        <v>134</v>
      </c>
      <c r="U102">
        <f>U101+0</f>
        <v>113</v>
      </c>
      <c r="V102">
        <f>V101+0</f>
        <v>21</v>
      </c>
      <c r="W102" s="5">
        <f>(U102-U101)+(V102-V101)</f>
        <v>0</v>
      </c>
      <c r="Y102" s="4">
        <f>Z102+AA102</f>
        <v>10844</v>
      </c>
      <c r="Z102">
        <f>Z101+33</f>
        <v>10145</v>
      </c>
      <c r="AA102">
        <f>AA101+2</f>
        <v>699</v>
      </c>
      <c r="AB102" s="5">
        <f>(Z102-Z101)+(AA102-AA101)</f>
        <v>35</v>
      </c>
      <c r="AC102">
        <f>AC101+-10</f>
        <v>77</v>
      </c>
      <c r="AD102" s="5">
        <f>AC102-AC101</f>
        <v>-10</v>
      </c>
      <c r="AE102">
        <f>AF102+AG102</f>
        <v>1291</v>
      </c>
      <c r="AF102">
        <f>AF101+1</f>
        <v>978</v>
      </c>
      <c r="AG102">
        <f>AG101+3</f>
        <v>313</v>
      </c>
      <c r="AH102" s="5">
        <f>(AF102-AF101)+(AG102-AG101)</f>
        <v>4</v>
      </c>
      <c r="AJ102" s="4">
        <f>AK102+AL102</f>
        <v>11860</v>
      </c>
      <c r="AK102">
        <f>AK101+31</f>
        <v>11472</v>
      </c>
      <c r="AL102">
        <f>AL101+1</f>
        <v>388</v>
      </c>
      <c r="AM102" s="5">
        <f>(AK102-AK101)+(AL102-AL101)</f>
        <v>32</v>
      </c>
      <c r="AN102">
        <f>AN101+-2</f>
        <v>108</v>
      </c>
      <c r="AO102" s="5">
        <f>AN102-AN101</f>
        <v>-2</v>
      </c>
      <c r="AP102">
        <f>AQ102+AR102</f>
        <v>1013</v>
      </c>
      <c r="AQ102">
        <f>AQ101+3</f>
        <v>870</v>
      </c>
      <c r="AR102">
        <f>AR101+0</f>
        <v>143</v>
      </c>
      <c r="AS102" s="5">
        <f>(AQ102-AQ101)+(AR102-AR101)</f>
        <v>3</v>
      </c>
      <c r="AU102" s="4">
        <f>AV102+AW102</f>
        <v>16092</v>
      </c>
      <c r="AV102">
        <f>AV101+37</f>
        <v>15379</v>
      </c>
      <c r="AW102">
        <f>AW101+-1</f>
        <v>713</v>
      </c>
      <c r="AX102" s="5">
        <f>(AV102-AV101)+(AW102-AW101)</f>
        <v>36</v>
      </c>
      <c r="AY102">
        <f>AY101+3</f>
        <v>114</v>
      </c>
      <c r="AZ102" s="5">
        <f>AY102-AY101</f>
        <v>3</v>
      </c>
      <c r="BA102">
        <f>BB102+BC102</f>
        <v>1316</v>
      </c>
      <c r="BB102">
        <f>BB101+4</f>
        <v>1023</v>
      </c>
      <c r="BC102">
        <f>BC101+0</f>
        <v>293</v>
      </c>
      <c r="BD102" s="5">
        <f>(BB102-BB101)+(BC102-BC101)</f>
        <v>4</v>
      </c>
      <c r="BF102" s="4">
        <f>BG102+BH102</f>
        <v>1187</v>
      </c>
      <c r="BG102">
        <f>BG101+2</f>
        <v>1130</v>
      </c>
      <c r="BH102">
        <f>BH101+0</f>
        <v>57</v>
      </c>
      <c r="BI102" s="5">
        <f>(BG102-BG101)+(BH102-BH101)</f>
        <v>2</v>
      </c>
      <c r="BJ102">
        <f>BJ101+-1</f>
        <v>14</v>
      </c>
      <c r="BK102" s="5">
        <f>BJ102-BJ101</f>
        <v>-1</v>
      </c>
      <c r="BL102">
        <f>BM102+BN102</f>
        <v>160</v>
      </c>
      <c r="BM102">
        <f>BM101+1</f>
        <v>125</v>
      </c>
      <c r="BN102">
        <f>BN101+0</f>
        <v>35</v>
      </c>
      <c r="BO102" s="5">
        <f>(BM102-BM101)+(BN102-BN101)</f>
        <v>1</v>
      </c>
      <c r="BQ102" s="4">
        <f>BR102+BS102</f>
        <v>863</v>
      </c>
      <c r="BR102">
        <f>BR101+-2</f>
        <v>787</v>
      </c>
      <c r="BS102">
        <f>BS101+1</f>
        <v>76</v>
      </c>
      <c r="BT102" s="5">
        <f>(BR102-BR101)+(BS102-BS101)</f>
        <v>-1</v>
      </c>
      <c r="BU102">
        <f>BU101+0</f>
        <v>0</v>
      </c>
      <c r="BV102" s="5">
        <f>BU102-BU101</f>
        <v>0</v>
      </c>
      <c r="BW102">
        <f>BX102+BY102</f>
        <v>60</v>
      </c>
      <c r="BX102">
        <f>BX101+0</f>
        <v>46</v>
      </c>
      <c r="BY102">
        <f>BY101+0</f>
        <v>14</v>
      </c>
      <c r="BZ102" s="5">
        <f>(BX102-BX101)+(BY102-BY101)</f>
        <v>0</v>
      </c>
      <c r="CB102" s="4">
        <f>CC102+CD102</f>
        <v>428</v>
      </c>
      <c r="CC102">
        <f>CC101+9</f>
        <v>421</v>
      </c>
      <c r="CD102">
        <f>CD101+-1</f>
        <v>7</v>
      </c>
      <c r="CE102" s="5">
        <f>(CC102-CC101)+(CD102-CD101)</f>
        <v>8</v>
      </c>
      <c r="CF102">
        <f>CF101+-1</f>
        <v>2</v>
      </c>
      <c r="CG102" s="5">
        <f>CF102-CF101</f>
        <v>-1</v>
      </c>
      <c r="CH102">
        <f>CI102+CJ102</f>
        <v>14</v>
      </c>
      <c r="CI102">
        <f>CI101+0</f>
        <v>13</v>
      </c>
      <c r="CJ102">
        <f>CJ101+0</f>
        <v>1</v>
      </c>
      <c r="CK102" s="5">
        <f>(CI102-CI101)+(CJ102-CJ101)</f>
        <v>0</v>
      </c>
      <c r="CM102" s="4">
        <f>CN102+CO102</f>
        <v>1120</v>
      </c>
      <c r="CN102">
        <f>CN101+1</f>
        <v>1057</v>
      </c>
      <c r="CO102">
        <f>CO101+0</f>
        <v>63</v>
      </c>
      <c r="CP102" s="5">
        <f>(CN102-CN101)+(CO102-CO101)</f>
        <v>1</v>
      </c>
      <c r="CQ102">
        <f>CQ101+1</f>
        <v>7</v>
      </c>
      <c r="CR102" s="5">
        <f>CQ102-CQ101</f>
        <v>1</v>
      </c>
      <c r="CS102">
        <f>CT102+CU102</f>
        <v>96</v>
      </c>
      <c r="CT102">
        <f>CT101+1</f>
        <v>71</v>
      </c>
      <c r="CU102">
        <f>CU101+0</f>
        <v>25</v>
      </c>
      <c r="CV102" s="5">
        <f>(CT102-CT101)+(CU102-CU101)</f>
        <v>1</v>
      </c>
      <c r="CX102" s="4">
        <f>CY102+CZ102</f>
        <v>272</v>
      </c>
      <c r="CY102">
        <f>CY101+4</f>
        <v>266</v>
      </c>
      <c r="CZ102">
        <f>CZ101+0</f>
        <v>6</v>
      </c>
      <c r="DA102" s="5">
        <f>(CY102-CY101)+(CZ102-CZ101)</f>
        <v>4</v>
      </c>
      <c r="DC102" s="5"/>
      <c r="DD102">
        <f>DE102+DF102</f>
        <v>0</v>
      </c>
      <c r="DE102">
        <f>DE101+0</f>
        <v>0</v>
      </c>
      <c r="DF102">
        <f>DF101+0</f>
        <v>0</v>
      </c>
      <c r="DG102" s="5">
        <f>(DE102-DE101)+(DF102-DF101)</f>
        <v>0</v>
      </c>
      <c r="DI102" s="4">
        <f>N102+Y102+AJ102+AU102+BF102+BQ102+CB102+CM102+CX102</f>
        <v>44092</v>
      </c>
      <c r="DJ102">
        <f>O102+Z102+AK102+AV102+BG102+BR102+CC102+CN102+CY102</f>
        <v>42017</v>
      </c>
      <c r="DK102">
        <f>P102+AA102+AL102+AW102+BH102+BS102+CD102+CO102+CZ102</f>
        <v>2075</v>
      </c>
      <c r="DL102">
        <f>Q102+AB102+AM102+AX102+BI102+BT102+CE102+CP102+DA102</f>
        <v>124</v>
      </c>
      <c r="DM102">
        <f>R102+AC102+AN102+AY102+BJ102+BU102+CF102+CQ102+DB102</f>
        <v>324</v>
      </c>
      <c r="DN102" s="3">
        <f>(DM102/DM101)-1</f>
        <v>-0.027027027027026973</v>
      </c>
      <c r="DO102">
        <f>T102+AE102+AP102+BA102+BL102+BW102+CH102+CS102+DD102</f>
        <v>4084</v>
      </c>
      <c r="DP102">
        <f>U102+AF102+AQ102+BB102+BM102+BX102+CI102+CT102+DE102</f>
        <v>3239</v>
      </c>
      <c r="DQ102">
        <f>V102+AG102+AR102+BC102+BN102+BY102+CJ102+CU102+DF102</f>
        <v>845</v>
      </c>
      <c r="DR102" s="3">
        <f>((DP102+DQ102)/(DP101+DQ101))-1</f>
        <v>0.0031933185949397647</v>
      </c>
      <c r="DS102" s="1"/>
      <c r="DT102">
        <f>DM102-DM101</f>
        <v>-9</v>
      </c>
      <c r="DV102">
        <v>4</v>
      </c>
      <c r="DW102" t="s">
        <v>36</v>
      </c>
      <c r="DX102" s="8">
        <v>43953</v>
      </c>
      <c r="DY102">
        <v>55</v>
      </c>
      <c r="DZ102">
        <v>301</v>
      </c>
      <c r="EA102">
        <v>9</v>
      </c>
      <c r="FQ102" t="s">
        <v>1</v>
      </c>
      <c r="GA102" s="10">
        <v>43942</v>
      </c>
      <c r="GB102">
        <v>811865</v>
      </c>
      <c r="GC102" s="12">
        <f>(GB102/GB101)-1</f>
        <v>0.03511167550227845</v>
      </c>
      <c r="GV102" s="8">
        <v>43935</v>
      </c>
      <c r="GW102">
        <v>12</v>
      </c>
      <c r="GX102" t="s">
        <v>41</v>
      </c>
      <c r="GY102">
        <v>8</v>
      </c>
      <c r="HC102">
        <v>2</v>
      </c>
    </row>
    <row r="103" spans="1:325" ht="19.57">
      <c r="C103">
        <f>H102*D103</f>
        <v>86.999999999593911</v>
      </c>
      <c r="D103">
        <f>0.00197314705616</f>
        <v>0.00197314705616</v>
      </c>
      <c r="E103" t="s">
        <v>34</v>
      </c>
      <c r="F103" s="10">
        <v>43991</v>
      </c>
      <c r="G103" s="2">
        <f>H103*15</f>
        <v>662684.99999533524</v>
      </c>
      <c r="H103">
        <f>H102+C103</f>
        <v>44178.999999689018</v>
      </c>
      <c r="I103">
        <v>44179</v>
      </c>
      <c r="J103">
        <v>1979699</v>
      </c>
      <c r="K103">
        <f>N103+Y103+AJ103+AU103+BF103+BQ103+CB103+CM103+CX103</f>
        <v>44179</v>
      </c>
      <c r="L103" s="3">
        <f>(K103/K102)-1</f>
        <v>0.0019731470561552555</v>
      </c>
      <c r="N103" s="4">
        <f>O103+P103</f>
        <v>1432</v>
      </c>
      <c r="O103">
        <f>O102+9</f>
        <v>1369</v>
      </c>
      <c r="P103">
        <f>P102+-3</f>
        <v>63</v>
      </c>
      <c r="Q103" s="5">
        <f>(O103-O102)+(P103-P102)</f>
        <v>6</v>
      </c>
      <c r="R103">
        <f>R102+1</f>
        <v>3</v>
      </c>
      <c r="S103" s="5">
        <f>R103-R102</f>
        <v>1</v>
      </c>
      <c r="T103">
        <f>U103+V103</f>
        <v>136</v>
      </c>
      <c r="U103">
        <f>U102+2</f>
        <v>115</v>
      </c>
      <c r="V103">
        <f>V102+0</f>
        <v>21</v>
      </c>
      <c r="W103" s="5">
        <f>(U103-U102)+(V103-V102)</f>
        <v>2</v>
      </c>
      <c r="Y103" s="4">
        <f>Z103+AA103</f>
        <v>10859</v>
      </c>
      <c r="Z103">
        <f>Z102+61</f>
        <v>10206</v>
      </c>
      <c r="AA103">
        <f>AA102+-46</f>
        <v>653</v>
      </c>
      <c r="AB103" s="5">
        <f>(Z103-Z102)+(AA103-AA102)</f>
        <v>15</v>
      </c>
      <c r="AC103">
        <f>AC102+-9</f>
        <v>68</v>
      </c>
      <c r="AD103" s="5">
        <f>AC103-AC102</f>
        <v>-9</v>
      </c>
      <c r="AE103">
        <f>AF103+AG103</f>
        <v>1291</v>
      </c>
      <c r="AF103">
        <f>AF102+13</f>
        <v>991</v>
      </c>
      <c r="AG103">
        <f>AG102+-13</f>
        <v>300</v>
      </c>
      <c r="AH103" s="5">
        <f>(AF103-AF102)+(AG103-AG102)</f>
        <v>0</v>
      </c>
      <c r="AJ103" s="4">
        <f>AK103+AL103</f>
        <v>11875</v>
      </c>
      <c r="AK103">
        <f>AK102+23</f>
        <v>11495</v>
      </c>
      <c r="AL103">
        <f>AL102+-8</f>
        <v>380</v>
      </c>
      <c r="AM103" s="5">
        <f>(AK103-AK102)+(AL103-AL102)</f>
        <v>15</v>
      </c>
      <c r="AN103">
        <f>AN102+-20</f>
        <v>88</v>
      </c>
      <c r="AO103" s="5">
        <f>AN103-AN102</f>
        <v>-20</v>
      </c>
      <c r="AP103">
        <f>AQ103+AR103</f>
        <v>1016</v>
      </c>
      <c r="AQ103">
        <f>AQ102+2</f>
        <v>872</v>
      </c>
      <c r="AR103">
        <f>AR102+1</f>
        <v>144</v>
      </c>
      <c r="AS103" s="5">
        <f>(AQ103-AQ102)+(AR103-AR102)</f>
        <v>3</v>
      </c>
      <c r="AU103" s="4">
        <f>AV103+AW103</f>
        <v>16108</v>
      </c>
      <c r="AV103">
        <f>AV102+26</f>
        <v>15405</v>
      </c>
      <c r="AW103">
        <f>AW102+-10</f>
        <v>703</v>
      </c>
      <c r="AX103" s="5">
        <f>(AV103-AV102)+(AW103-AW102)</f>
        <v>16</v>
      </c>
      <c r="AY103">
        <f>AY102+-3</f>
        <v>111</v>
      </c>
      <c r="AZ103" s="5">
        <f>AY103-AY102</f>
        <v>-3</v>
      </c>
      <c r="BA103">
        <f>BB103+BC103</f>
        <v>1319</v>
      </c>
      <c r="BB103">
        <f>BB102+4</f>
        <v>1027</v>
      </c>
      <c r="BC103">
        <f>BC102+-1</f>
        <v>292</v>
      </c>
      <c r="BD103" s="5">
        <f>(BB103-BB102)+(BC103-BC102)</f>
        <v>3</v>
      </c>
      <c r="BF103" s="4">
        <f>BG103+BH103</f>
        <v>1194</v>
      </c>
      <c r="BG103">
        <f>BG102+9</f>
        <v>1139</v>
      </c>
      <c r="BH103">
        <f>BH102+-2</f>
        <v>55</v>
      </c>
      <c r="BI103" s="5">
        <f>(BG103-BG102)+(BH103-BH102)</f>
        <v>7</v>
      </c>
      <c r="BJ103">
        <f>BJ102+-2</f>
        <v>12</v>
      </c>
      <c r="BK103" s="5">
        <f>BJ103-BJ102</f>
        <v>-2</v>
      </c>
      <c r="BL103">
        <f>BM103+BN103</f>
        <v>163</v>
      </c>
      <c r="BM103">
        <f>BM102+3</f>
        <v>128</v>
      </c>
      <c r="BN103">
        <f>BN102+0</f>
        <v>35</v>
      </c>
      <c r="BO103" s="5">
        <f>(BM103-BM102)+(BN103-BN102)</f>
        <v>3</v>
      </c>
      <c r="BQ103" s="4">
        <f>BR103+BS103</f>
        <v>873</v>
      </c>
      <c r="BR103">
        <f>BR102+19</f>
        <v>806</v>
      </c>
      <c r="BS103">
        <f>BS102+-9</f>
        <v>67</v>
      </c>
      <c r="BT103" s="5">
        <f>(BR103-BR102)+(BS103-BS102)</f>
        <v>10</v>
      </c>
      <c r="BU103">
        <f>BU102+1</f>
        <v>1</v>
      </c>
      <c r="BV103" s="5">
        <f>BU103-BU102</f>
        <v>1</v>
      </c>
      <c r="BW103">
        <f>BX103+BY103</f>
        <v>61</v>
      </c>
      <c r="BX103">
        <f>BX102+2</f>
        <v>48</v>
      </c>
      <c r="BY103">
        <f>BY102+-1</f>
        <v>13</v>
      </c>
      <c r="BZ103" s="5">
        <f>(BX103-BX102)+(BY103-BY102)</f>
        <v>1</v>
      </c>
      <c r="CB103" s="4">
        <f>CC103+CD103</f>
        <v>430</v>
      </c>
      <c r="CC103">
        <f>CC102+2</f>
        <v>423</v>
      </c>
      <c r="CD103">
        <f>CD102+0</f>
        <v>7</v>
      </c>
      <c r="CE103" s="5">
        <f>(CC103-CC102)+(CD103-CD102)</f>
        <v>2</v>
      </c>
      <c r="CF103">
        <f>CF102+0</f>
        <v>2</v>
      </c>
      <c r="CG103" s="5">
        <f>CF103-CF102</f>
        <v>0</v>
      </c>
      <c r="CH103">
        <f>CI103+CJ103</f>
        <v>15</v>
      </c>
      <c r="CI103">
        <f>CI102+1</f>
        <v>14</v>
      </c>
      <c r="CJ103">
        <f>CJ102+0</f>
        <v>1</v>
      </c>
      <c r="CK103" s="5">
        <f>(CI103-CI102)+(CJ103-CJ102)</f>
        <v>1</v>
      </c>
      <c r="CM103" s="4">
        <f>CN103+CO103</f>
        <v>1122</v>
      </c>
      <c r="CN103">
        <f>CN102+2</f>
        <v>1059</v>
      </c>
      <c r="CO103">
        <f>CO102+0</f>
        <v>63</v>
      </c>
      <c r="CP103" s="5">
        <f>(CN103-CN102)+(CO103-CO102)</f>
        <v>2</v>
      </c>
      <c r="CQ103">
        <f>CQ102+1</f>
        <v>8</v>
      </c>
      <c r="CR103" s="5">
        <f>CQ103-CQ102</f>
        <v>1</v>
      </c>
      <c r="CS103">
        <f>CT103+CU103</f>
        <v>96</v>
      </c>
      <c r="CT103">
        <f>CT102+0</f>
        <v>71</v>
      </c>
      <c r="CU103">
        <f>CU102+0</f>
        <v>25</v>
      </c>
      <c r="CV103" s="5">
        <f>(CT103-CT102)+(CU103-CU102)</f>
        <v>0</v>
      </c>
      <c r="CX103" s="4">
        <f>CY103+CZ103</f>
        <v>286</v>
      </c>
      <c r="CY103">
        <f>CY102+14</f>
        <v>280</v>
      </c>
      <c r="CZ103">
        <f>CZ102+0</f>
        <v>6</v>
      </c>
      <c r="DA103" s="5">
        <f>(CY103-CY102)+(CZ103-CZ102)</f>
        <v>14</v>
      </c>
      <c r="DC103" s="5"/>
      <c r="DD103">
        <f>DE103+DF103</f>
        <v>0</v>
      </c>
      <c r="DE103">
        <f>DE102+0</f>
        <v>0</v>
      </c>
      <c r="DF103">
        <f>DF102+0</f>
        <v>0</v>
      </c>
      <c r="DG103" s="5">
        <f>(DE103-DE102)+(DF103-DF102)</f>
        <v>0</v>
      </c>
      <c r="DI103" s="4">
        <f>N103+Y103+AJ103+AU103+BF103+BQ103+CB103+CM103+CX103</f>
        <v>44179</v>
      </c>
      <c r="DJ103">
        <f>O103+Z103+AK103+AV103+BG103+BR103+CC103+CN103+CY103</f>
        <v>42182</v>
      </c>
      <c r="DK103">
        <f>P103+AA103+AL103+AW103+BH103+BS103+CD103+CO103+CZ103</f>
        <v>1997</v>
      </c>
      <c r="DL103">
        <f>Q103+AB103+AM103+AX103+BI103+BT103+CE103+CP103+DA103</f>
        <v>87</v>
      </c>
      <c r="DM103">
        <f>R103+AC103+AN103+AY103+BJ103+BU103+CF103+CQ103+DB103</f>
        <v>293</v>
      </c>
      <c r="DN103" s="3">
        <f>(DM103/DM102)-1</f>
        <v>-0.095679012345678993</v>
      </c>
      <c r="DO103">
        <f>T103+AE103+AP103+BA103+BL103+BW103+CH103+CS103+DD103</f>
        <v>4097</v>
      </c>
      <c r="DP103">
        <f>U103+AF103+AQ103+BB103+BM103+BX103+CI103+CT103+DE103</f>
        <v>3266</v>
      </c>
      <c r="DQ103">
        <f>V103+AG103+AR103+BC103+BN103+BY103+CJ103+CU103+DF103</f>
        <v>831</v>
      </c>
      <c r="DR103" s="3">
        <f>((DP103+DQ103)/(DP102+DQ102))-1</f>
        <v>0.0031831537708129076</v>
      </c>
      <c r="DS103" s="1"/>
      <c r="DT103">
        <f>DM103-DM102</f>
        <v>-31</v>
      </c>
      <c r="DV103">
        <v>4</v>
      </c>
      <c r="DW103" t="s">
        <v>36</v>
      </c>
      <c r="DX103" s="8">
        <v>43954</v>
      </c>
      <c r="DY103">
        <v>57</v>
      </c>
      <c r="DZ103">
        <v>311</v>
      </c>
      <c r="EA103">
        <v>10</v>
      </c>
      <c r="GA103" s="10">
        <v>43943</v>
      </c>
      <c r="GB103">
        <v>840351</v>
      </c>
      <c r="GC103" s="12">
        <f>(GB103/GB102)-1</f>
        <v>0.035087114236972861</v>
      </c>
      <c r="GE103" s="2"/>
      <c r="GF103" s="2"/>
      <c r="GV103" s="8">
        <v>43936</v>
      </c>
      <c r="GW103">
        <v>12</v>
      </c>
      <c r="GX103" t="s">
        <v>41</v>
      </c>
      <c r="GY103">
        <v>8</v>
      </c>
      <c r="HC103">
        <v>2</v>
      </c>
    </row>
    <row r="104" spans="1:325" ht="20.29">
      <c r="C104">
        <f>H103*D104</f>
        <v>168.00000001640143</v>
      </c>
      <c r="D104">
        <f>0.0038027116960000001</f>
        <v>0.0038027116960000001</v>
      </c>
      <c r="E104" t="s">
        <v>35</v>
      </c>
      <c r="F104" s="10">
        <v>43992</v>
      </c>
      <c r="G104" s="2">
        <f>H104*15</f>
        <v>665204.99999558122</v>
      </c>
      <c r="H104">
        <f>H103+C104</f>
        <v>44346.999999705418</v>
      </c>
      <c r="I104">
        <v>44347</v>
      </c>
      <c r="J104">
        <v>2000702</v>
      </c>
      <c r="K104">
        <f>N104+Y104+AJ104+AU104+BF104+BQ104+CB104+CM104+CX104</f>
        <v>44347</v>
      </c>
      <c r="L104" s="3">
        <f>(K104/K103)-1</f>
        <v>0.0038027116956020901</v>
      </c>
      <c r="N104" s="4">
        <f>O104+P104</f>
        <v>1430</v>
      </c>
      <c r="O104">
        <f>O103+-1</f>
        <v>1368</v>
      </c>
      <c r="P104">
        <f>P103+-1</f>
        <v>62</v>
      </c>
      <c r="Q104" s="5">
        <f>(O104-O103)+(P104-P103)</f>
        <v>-2</v>
      </c>
      <c r="R104">
        <f>R103+0</f>
        <v>3</v>
      </c>
      <c r="S104" s="5">
        <f>R104-R103</f>
        <v>0</v>
      </c>
      <c r="T104">
        <f>U104+V104</f>
        <v>134</v>
      </c>
      <c r="U104">
        <f>U103+-2</f>
        <v>113</v>
      </c>
      <c r="V104">
        <f>V103+0</f>
        <v>21</v>
      </c>
      <c r="W104" s="5">
        <f>(U104-U103)+(V104-V103)</f>
        <v>-2</v>
      </c>
      <c r="Y104" s="4">
        <f>Z104+AA104</f>
        <v>10924</v>
      </c>
      <c r="Z104">
        <f>Z103+68</f>
        <v>10274</v>
      </c>
      <c r="AA104">
        <f>AA103+-3</f>
        <v>650</v>
      </c>
      <c r="AB104" s="5">
        <f>(Z104-Z103)+(AA104-AA103)</f>
        <v>65</v>
      </c>
      <c r="AC104">
        <f>AC103+1</f>
        <v>69</v>
      </c>
      <c r="AD104" s="5">
        <f>AC104-AC103</f>
        <v>1</v>
      </c>
      <c r="AE104">
        <f>AF104+AG104</f>
        <v>1303</v>
      </c>
      <c r="AF104">
        <f>AF103+10</f>
        <v>1001</v>
      </c>
      <c r="AG104">
        <f>AG103+2</f>
        <v>302</v>
      </c>
      <c r="AH104" s="5">
        <f>(AF104-AF103)+(AG104-AG103)</f>
        <v>12</v>
      </c>
      <c r="AJ104" s="4">
        <f>AK104+AL104</f>
        <v>11911</v>
      </c>
      <c r="AK104">
        <f>AK103+44</f>
        <v>11539</v>
      </c>
      <c r="AL104">
        <f>AL103+-8</f>
        <v>372</v>
      </c>
      <c r="AM104" s="5">
        <f>(AK104-AK103)+(AL104-AL103)</f>
        <v>36</v>
      </c>
      <c r="AN104">
        <f>AN103+-4</f>
        <v>84</v>
      </c>
      <c r="AO104" s="5">
        <f>AN104-AN103</f>
        <v>-4</v>
      </c>
      <c r="AP104">
        <f>AQ104+AR104</f>
        <v>1024</v>
      </c>
      <c r="AQ104">
        <f>AQ103+7</f>
        <v>879</v>
      </c>
      <c r="AR104">
        <f>AR103+1</f>
        <v>145</v>
      </c>
      <c r="AS104" s="5">
        <f>(AQ104-AQ103)+(AR104-AR103)</f>
        <v>8</v>
      </c>
      <c r="AU104" s="4">
        <f>AV104+AW104</f>
        <v>16134</v>
      </c>
      <c r="AV104">
        <f>AV103+114</f>
        <v>15519</v>
      </c>
      <c r="AW104">
        <f>AW103+-88</f>
        <v>615</v>
      </c>
      <c r="AX104" s="5">
        <f>(AV104-AV103)+(AW104-AW103)</f>
        <v>26</v>
      </c>
      <c r="AY104">
        <f>AY103+-19</f>
        <v>92</v>
      </c>
      <c r="AZ104" s="5">
        <f>AY104-AY103</f>
        <v>-19</v>
      </c>
      <c r="BA104">
        <f>BB104+BC104</f>
        <v>1321</v>
      </c>
      <c r="BB104">
        <f>BB103+2</f>
        <v>1029</v>
      </c>
      <c r="BC104">
        <f>BC103+0</f>
        <v>292</v>
      </c>
      <c r="BD104" s="5">
        <f>(BB104-BB103)+(BC104-BC103)</f>
        <v>2</v>
      </c>
      <c r="BF104" s="4">
        <f>BG104+BH104</f>
        <v>1199</v>
      </c>
      <c r="BG104">
        <f>BG103+5</f>
        <v>1144</v>
      </c>
      <c r="BH104">
        <f>BH103+0</f>
        <v>55</v>
      </c>
      <c r="BI104" s="5">
        <f>(BG104-BG103)+(BH104-BH103)</f>
        <v>5</v>
      </c>
      <c r="BJ104">
        <f>BJ103+0</f>
        <v>12</v>
      </c>
      <c r="BK104" s="5">
        <f>BJ104-BJ103</f>
        <v>0</v>
      </c>
      <c r="BL104">
        <f>BM104+BN104</f>
        <v>164</v>
      </c>
      <c r="BM104">
        <f>BM103+0</f>
        <v>128</v>
      </c>
      <c r="BN104">
        <f>BN103+1</f>
        <v>36</v>
      </c>
      <c r="BO104" s="5">
        <f>(BM104-BM103)+(BN104-BN103)</f>
        <v>1</v>
      </c>
      <c r="BQ104" s="4">
        <f>BR104+BS104</f>
        <v>878</v>
      </c>
      <c r="BR104">
        <f>BR103+4</f>
        <v>810</v>
      </c>
      <c r="BS104">
        <f>BS103+1</f>
        <v>68</v>
      </c>
      <c r="BT104" s="5">
        <f>(BR104-BR103)+(BS104-BS103)</f>
        <v>5</v>
      </c>
      <c r="BU104">
        <f>BU103+-1</f>
        <v>0</v>
      </c>
      <c r="BV104" s="5">
        <f>BU104-BU103</f>
        <v>-1</v>
      </c>
      <c r="BW104">
        <f>BX104+BY104</f>
        <v>61</v>
      </c>
      <c r="BX104">
        <f>BX103+-1</f>
        <v>47</v>
      </c>
      <c r="BY104">
        <f>BY103+1</f>
        <v>14</v>
      </c>
      <c r="BZ104" s="5">
        <f>(BX104-BX103)+(BY104-BY103)</f>
        <v>0</v>
      </c>
      <c r="CB104" s="4">
        <f>CC104+CD104</f>
        <v>437</v>
      </c>
      <c r="CC104">
        <f>CC103+6</f>
        <v>429</v>
      </c>
      <c r="CD104">
        <f>CD103+1</f>
        <v>8</v>
      </c>
      <c r="CE104" s="5">
        <f>(CC104-CC103)+(CD104-CD103)</f>
        <v>7</v>
      </c>
      <c r="CF104">
        <f>CF103+0</f>
        <v>2</v>
      </c>
      <c r="CG104" s="5">
        <f>CF104-CF103</f>
        <v>0</v>
      </c>
      <c r="CH104">
        <f>CI104+CJ104</f>
        <v>14</v>
      </c>
      <c r="CI104">
        <f>CI103+-1</f>
        <v>13</v>
      </c>
      <c r="CJ104">
        <f>CJ103+0</f>
        <v>1</v>
      </c>
      <c r="CK104" s="5">
        <f>(CI104-CI103)+(CJ104-CJ103)</f>
        <v>-1</v>
      </c>
      <c r="CM104" s="4">
        <f>CN104+CO104</f>
        <v>1130</v>
      </c>
      <c r="CN104">
        <f>CN103+9</f>
        <v>1068</v>
      </c>
      <c r="CO104">
        <f>CO103+-1</f>
        <v>62</v>
      </c>
      <c r="CP104" s="5">
        <f>(CN104-CN103)+(CO104-CO103)</f>
        <v>8</v>
      </c>
      <c r="CQ104">
        <f>CQ103+0</f>
        <v>8</v>
      </c>
      <c r="CR104" s="5">
        <f>CQ104-CQ103</f>
        <v>0</v>
      </c>
      <c r="CS104">
        <f>CT104+CU104</f>
        <v>97</v>
      </c>
      <c r="CT104">
        <f>CT103+1</f>
        <v>72</v>
      </c>
      <c r="CU104">
        <f>CU103+0</f>
        <v>25</v>
      </c>
      <c r="CV104" s="5">
        <f>(CT104-CT103)+(CU104-CU103)</f>
        <v>1</v>
      </c>
      <c r="CX104" s="4">
        <f>CY104+CZ104</f>
        <v>304</v>
      </c>
      <c r="CY104">
        <f>CY103+17</f>
        <v>297</v>
      </c>
      <c r="CZ104">
        <f>CZ103+1</f>
        <v>7</v>
      </c>
      <c r="DA104" s="5">
        <f>(CY104-CY103)+(CZ104-CZ103)</f>
        <v>18</v>
      </c>
      <c r="DC104" s="5"/>
      <c r="DD104">
        <f>DE104+DF104</f>
        <v>2</v>
      </c>
      <c r="DE104">
        <f>DE103+1</f>
        <v>1</v>
      </c>
      <c r="DF104">
        <f>DF103+1</f>
        <v>1</v>
      </c>
      <c r="DG104" s="5">
        <f>(DE104-DE103)+(DF104-DF103)</f>
        <v>2</v>
      </c>
      <c r="DI104" s="4">
        <f>N104+Y104+AJ104+AU104+BF104+BQ104+CB104+CM104+CX104</f>
        <v>44347</v>
      </c>
      <c r="DJ104">
        <f>O104+Z104+AK104+AV104+BG104+BR104+CC104+CN104+CY104</f>
        <v>42448</v>
      </c>
      <c r="DK104">
        <f>P104+AA104+AL104+AW104+BH104+BS104+CD104+CO104+CZ104</f>
        <v>1899</v>
      </c>
      <c r="DL104">
        <f>Q104+AB104+AM104+AX104+BI104+BT104+CE104+CP104+DA104</f>
        <v>168</v>
      </c>
      <c r="DM104">
        <f>R104+AC104+AN104+AY104+BJ104+BU104+CF104+CQ104+DB104</f>
        <v>270</v>
      </c>
      <c r="DN104" s="3">
        <f>(DM104/DM103)-1</f>
        <v>-0.078498293515358308</v>
      </c>
      <c r="DO104">
        <f>T104+AE104+AP104+BA104+BL104+BW104+CH104+CS104+DD104</f>
        <v>4120</v>
      </c>
      <c r="DP104">
        <f>U104+AF104+AQ104+BB104+BM104+BX104+CI104+CT104+DE104</f>
        <v>3283</v>
      </c>
      <c r="DQ104">
        <f>V104+AG104+AR104+BC104+BN104+BY104+CJ104+CU104+DF104</f>
        <v>837</v>
      </c>
      <c r="DR104" s="3">
        <f>((DP104+DQ104)/(DP103+DQ103))-1</f>
        <v>0.0056138638027825039</v>
      </c>
      <c r="DS104" s="1"/>
      <c r="DT104">
        <f>DM104-DM103</f>
        <v>-23</v>
      </c>
      <c r="DV104">
        <v>4</v>
      </c>
      <c r="DW104" t="s">
        <v>36</v>
      </c>
      <c r="DX104" s="8">
        <v>43955</v>
      </c>
      <c r="DY104">
        <v>60</v>
      </c>
      <c r="DZ104">
        <v>328</v>
      </c>
      <c r="EA104">
        <v>11</v>
      </c>
      <c r="GA104" s="10">
        <v>43944</v>
      </c>
      <c r="GB104">
        <v>869170</v>
      </c>
      <c r="GC104" s="12">
        <f>(GB104/GB103)-1</f>
        <v>0.034294003339080836</v>
      </c>
      <c r="GV104" s="8">
        <v>43937</v>
      </c>
      <c r="GW104">
        <v>12</v>
      </c>
      <c r="GX104" t="s">
        <v>41</v>
      </c>
      <c r="GY104">
        <v>8</v>
      </c>
      <c r="HB104">
        <v>164</v>
      </c>
      <c r="HC104">
        <v>2</v>
      </c>
    </row>
    <row r="105" spans="1:325" ht="20.29">
      <c r="C105">
        <f>H104*D105</f>
        <v>114.00000001288272</v>
      </c>
      <c r="D105">
        <f>0.0025706361199999998</f>
        <v>0.0025706361199999998</v>
      </c>
      <c r="E105" t="s">
        <v>37</v>
      </c>
      <c r="F105" s="10">
        <v>43993</v>
      </c>
      <c r="G105" s="2">
        <f>H105*15</f>
        <v>666914.99999577459</v>
      </c>
      <c r="H105">
        <f>H104+C105</f>
        <v>44460.999999718304</v>
      </c>
      <c r="I105">
        <v>44461</v>
      </c>
      <c r="J105">
        <v>2023590</v>
      </c>
      <c r="K105">
        <f>N105+Y105+AJ105+AU105+BF105+BQ105+CB105+CM105+CX105</f>
        <v>44461</v>
      </c>
      <c r="L105" s="3">
        <f>(K105/K104)-1</f>
        <v>0.0025706361196924377</v>
      </c>
      <c r="N105" s="4">
        <f>O105+P105</f>
        <v>1435</v>
      </c>
      <c r="O105">
        <f>O104+6</f>
        <v>1374</v>
      </c>
      <c r="P105">
        <f>P104+-1</f>
        <v>61</v>
      </c>
      <c r="Q105" s="5">
        <f>(O105-O104)+(P105-P104)</f>
        <v>5</v>
      </c>
      <c r="R105">
        <f>R104+0</f>
        <v>3</v>
      </c>
      <c r="S105" s="5">
        <f>R105-R104</f>
        <v>0</v>
      </c>
      <c r="T105">
        <f>U105+V105</f>
        <v>135</v>
      </c>
      <c r="U105">
        <f>U104+1</f>
        <v>114</v>
      </c>
      <c r="V105">
        <f>V104+0</f>
        <v>21</v>
      </c>
      <c r="W105" s="5">
        <f>(U105-U104)+(V105-V104)</f>
        <v>1</v>
      </c>
      <c r="Y105" s="4">
        <f>Z105+AA105</f>
        <v>10967</v>
      </c>
      <c r="Z105">
        <f>Z104+40</f>
        <v>10314</v>
      </c>
      <c r="AA105">
        <f>AA104+3</f>
        <v>653</v>
      </c>
      <c r="AB105" s="5">
        <f>(Z105-Z104)+(AA105-AA104)</f>
        <v>43</v>
      </c>
      <c r="AC105">
        <f>AC104+-9</f>
        <v>60</v>
      </c>
      <c r="AD105" s="5">
        <f>AC105-AC104</f>
        <v>-9</v>
      </c>
      <c r="AE105">
        <f>AF105+AG105</f>
        <v>1308</v>
      </c>
      <c r="AF105">
        <f>AF104+5</f>
        <v>1006</v>
      </c>
      <c r="AG105">
        <f>AG104+0</f>
        <v>302</v>
      </c>
      <c r="AH105" s="5">
        <f>(AF105-AF104)+(AG105-AG104)</f>
        <v>5</v>
      </c>
      <c r="AJ105" s="4">
        <f>AK105+AL105</f>
        <v>11930</v>
      </c>
      <c r="AK105">
        <f>AK104+19</f>
        <v>11558</v>
      </c>
      <c r="AL105">
        <f>AL104+0</f>
        <v>372</v>
      </c>
      <c r="AM105" s="5">
        <f>(AK105-AK104)+(AL105-AL104)</f>
        <v>19</v>
      </c>
      <c r="AN105">
        <f>AN104+-13</f>
        <v>71</v>
      </c>
      <c r="AO105" s="5">
        <f>AN105-AN104</f>
        <v>-13</v>
      </c>
      <c r="AP105">
        <f>AQ105+AR105</f>
        <v>1031</v>
      </c>
      <c r="AQ105">
        <f>AQ104+8</f>
        <v>887</v>
      </c>
      <c r="AR105">
        <f>AR104+-1</f>
        <v>144</v>
      </c>
      <c r="AS105" s="5">
        <f>(AQ105-AQ104)+(AR105-AR104)</f>
        <v>7</v>
      </c>
      <c r="AU105" s="4">
        <f>AV105+AW105</f>
        <v>16155</v>
      </c>
      <c r="AV105">
        <f>AV104+18</f>
        <v>15537</v>
      </c>
      <c r="AW105">
        <f>AW104+3</f>
        <v>618</v>
      </c>
      <c r="AX105" s="5">
        <f>(AV105-AV104)+(AW105-AW104)</f>
        <v>21</v>
      </c>
      <c r="AY105">
        <f>AY104+-3</f>
        <v>89</v>
      </c>
      <c r="AZ105" s="5">
        <f>AY105-AY104</f>
        <v>-3</v>
      </c>
      <c r="BA105">
        <f>BB105+BC105</f>
        <v>1333</v>
      </c>
      <c r="BB105">
        <f>BB104+10</f>
        <v>1039</v>
      </c>
      <c r="BC105">
        <f>BC104+2</f>
        <v>294</v>
      </c>
      <c r="BD105" s="5">
        <f>(BB105-BB104)+(BC105-BC104)</f>
        <v>12</v>
      </c>
      <c r="BF105" s="4">
        <f>BG105+BH105</f>
        <v>1210</v>
      </c>
      <c r="BG105">
        <f>BG104+10</f>
        <v>1154</v>
      </c>
      <c r="BH105">
        <f>BH104+1</f>
        <v>56</v>
      </c>
      <c r="BI105" s="5">
        <f>(BG105-BG104)+(BH105-BH104)</f>
        <v>11</v>
      </c>
      <c r="BJ105">
        <f>BJ104+2</f>
        <v>14</v>
      </c>
      <c r="BK105" s="5">
        <f>BJ105-BJ104</f>
        <v>2</v>
      </c>
      <c r="BL105">
        <f>BM105+BN105</f>
        <v>165</v>
      </c>
      <c r="BM105">
        <f>BM104+0</f>
        <v>128</v>
      </c>
      <c r="BN105">
        <f>BN104+1</f>
        <v>37</v>
      </c>
      <c r="BO105" s="5">
        <f>(BM105-BM104)+(BN105-BN104)</f>
        <v>1</v>
      </c>
      <c r="BQ105" s="4">
        <f>BR105+BS105</f>
        <v>883</v>
      </c>
      <c r="BR105">
        <f>BR104+4</f>
        <v>814</v>
      </c>
      <c r="BS105">
        <f>BS104+1</f>
        <v>69</v>
      </c>
      <c r="BT105" s="5">
        <f>(BR105-BR104)+(BS105-BS104)</f>
        <v>5</v>
      </c>
      <c r="BU105">
        <f>BU104+0</f>
        <v>0</v>
      </c>
      <c r="BV105" s="5">
        <f>BU105-BU104</f>
        <v>0</v>
      </c>
      <c r="BW105">
        <f>BX105+BY105</f>
        <v>62</v>
      </c>
      <c r="BX105">
        <f>BX104+1</f>
        <v>48</v>
      </c>
      <c r="BY105">
        <f>BY104+0</f>
        <v>14</v>
      </c>
      <c r="BZ105" s="5">
        <f>(BX105-BX104)+(BY105-BY104)</f>
        <v>1</v>
      </c>
      <c r="CB105" s="4">
        <f>CC105+CD105</f>
        <v>441</v>
      </c>
      <c r="CC105">
        <f>CC104+5</f>
        <v>434</v>
      </c>
      <c r="CD105">
        <f>CD104+-1</f>
        <v>7</v>
      </c>
      <c r="CE105" s="5">
        <f>(CC105-CC104)+(CD105-CD104)</f>
        <v>4</v>
      </c>
      <c r="CF105">
        <f>CF104+0</f>
        <v>2</v>
      </c>
      <c r="CG105" s="5">
        <f>CF105-CF104</f>
        <v>0</v>
      </c>
      <c r="CH105">
        <f>CI105+CJ105</f>
        <v>14</v>
      </c>
      <c r="CI105">
        <f>CI104+0</f>
        <v>13</v>
      </c>
      <c r="CJ105">
        <f>CJ104+0</f>
        <v>1</v>
      </c>
      <c r="CK105" s="5">
        <f>(CI105-CI104)+(CJ105-CJ104)</f>
        <v>0</v>
      </c>
      <c r="CM105" s="4">
        <f>CN105+CO105</f>
        <v>1147</v>
      </c>
      <c r="CN105">
        <f>CN104+17</f>
        <v>1085</v>
      </c>
      <c r="CO105">
        <f>CO104+0</f>
        <v>62</v>
      </c>
      <c r="CP105" s="5">
        <f>(CN105-CN104)+(CO105-CO104)</f>
        <v>17</v>
      </c>
      <c r="CQ105">
        <f>CQ104+-1</f>
        <v>7</v>
      </c>
      <c r="CR105" s="5">
        <f>CQ105-CQ104</f>
        <v>-1</v>
      </c>
      <c r="CS105">
        <f>CT105+CU105</f>
        <v>98</v>
      </c>
      <c r="CT105">
        <f>CT104+1</f>
        <v>73</v>
      </c>
      <c r="CU105">
        <f>CU104+0</f>
        <v>25</v>
      </c>
      <c r="CV105" s="5">
        <f>(CT105-CT104)+(CU105-CU104)</f>
        <v>1</v>
      </c>
      <c r="CX105" s="4">
        <f>CY105+CZ105</f>
        <v>293</v>
      </c>
      <c r="CY105">
        <f>CY104+-10</f>
        <v>287</v>
      </c>
      <c r="CZ105">
        <f>CZ104+-1</f>
        <v>6</v>
      </c>
      <c r="DA105" s="5">
        <f>(CY105-CY104)+(CZ105-CZ104)</f>
        <v>-11</v>
      </c>
      <c r="DC105" s="5"/>
      <c r="DD105">
        <f>DE105+DF105</f>
        <v>0</v>
      </c>
      <c r="DE105">
        <f>DE104+-1</f>
        <v>0</v>
      </c>
      <c r="DF105">
        <f>DF104+-1</f>
        <v>0</v>
      </c>
      <c r="DG105" s="5">
        <f>(DE105-DE104)+(DF105-DF104)</f>
        <v>-2</v>
      </c>
      <c r="DI105" s="4">
        <f>N105+Y105+AJ105+AU105+BF105+BQ105+CB105+CM105+CX105</f>
        <v>44461</v>
      </c>
      <c r="DJ105">
        <f>O105+Z105+AK105+AV105+BG105+BR105+CC105+CN105+CY105</f>
        <v>42557</v>
      </c>
      <c r="DK105">
        <f>P105+AA105+AL105+AW105+BH105+BS105+CD105+CO105+CZ105</f>
        <v>1904</v>
      </c>
      <c r="DL105">
        <f>Q105+AB105+AM105+AX105+BI105+BT105+CE105+CP105+DA105</f>
        <v>114</v>
      </c>
      <c r="DM105">
        <f>R105+AC105+AN105+AY105+BJ105+BU105+CF105+CQ105+DB105</f>
        <v>246</v>
      </c>
      <c r="DN105" s="3">
        <f>(DM105/DM104)-1</f>
        <v>-0.088888888888888906</v>
      </c>
      <c r="DO105">
        <f>T105+AE105+AP105+BA105+BL105+BW105+CH105+CS105+DD105</f>
        <v>4146</v>
      </c>
      <c r="DP105">
        <f>U105+AF105+AQ105+BB105+BM105+BX105+CI105+CT105+DE105</f>
        <v>3308</v>
      </c>
      <c r="DQ105">
        <f>V105+AG105+AR105+BC105+BN105+BY105+CJ105+CU105+DF105</f>
        <v>838</v>
      </c>
      <c r="DR105" s="3">
        <f>((DP105+DQ105)/(DP104+DQ104))-1</f>
        <v>0.0063106796116505492</v>
      </c>
      <c r="DS105" s="1"/>
      <c r="DT105">
        <f>DM105-DM104</f>
        <v>-24</v>
      </c>
      <c r="DV105">
        <v>4</v>
      </c>
      <c r="DW105" t="s">
        <v>36</v>
      </c>
      <c r="DX105" s="8">
        <v>43956</v>
      </c>
      <c r="DY105">
        <v>61</v>
      </c>
      <c r="DZ105">
        <v>333</v>
      </c>
      <c r="EA105">
        <v>12</v>
      </c>
      <c r="GA105" s="10">
        <v>43945</v>
      </c>
      <c r="GB105">
        <v>905358</v>
      </c>
      <c r="GC105" s="12">
        <f>(GB105/GB104)-1</f>
        <v>0.041635123163477727</v>
      </c>
      <c r="GV105" s="8">
        <v>43938</v>
      </c>
      <c r="GW105">
        <v>12</v>
      </c>
      <c r="GX105" t="s">
        <v>41</v>
      </c>
      <c r="GY105">
        <v>9</v>
      </c>
      <c r="HB105">
        <v>184</v>
      </c>
      <c r="HC105">
        <v>2</v>
      </c>
    </row>
    <row r="106" spans="1:325" ht="19.57">
      <c r="C106">
        <f>H105*D106</f>
        <v>227.99999997390145</v>
      </c>
      <c r="D106">
        <f>0.0051280897860000001</f>
        <v>0.0051280897860000001</v>
      </c>
      <c r="E106" t="s">
        <v>38</v>
      </c>
      <c r="F106" s="10">
        <v>43994</v>
      </c>
      <c r="G106" s="2">
        <f>H106*15</f>
        <v>670334.99999538308</v>
      </c>
      <c r="H106">
        <f>H105+C106</f>
        <v>44688.999999692205</v>
      </c>
      <c r="I106">
        <v>44689</v>
      </c>
      <c r="J106">
        <v>2048986</v>
      </c>
      <c r="K106">
        <f>N106+Y106+AJ106+AU106+BF106+BQ106+CB106+CM106+CX106</f>
        <v>44689</v>
      </c>
      <c r="L106" s="3">
        <f>(K106/K105)-1</f>
        <v>0.005128089786554435</v>
      </c>
      <c r="N106" s="4">
        <f>O106+P106</f>
        <v>1435</v>
      </c>
      <c r="O106">
        <f>O105+0</f>
        <v>1374</v>
      </c>
      <c r="P106">
        <f>P105+0</f>
        <v>61</v>
      </c>
      <c r="Q106" s="5">
        <f>(O106-O105)+(P106-P105)</f>
        <v>0</v>
      </c>
      <c r="R106">
        <f>R105+0</f>
        <v>3</v>
      </c>
      <c r="S106" s="5">
        <f>R106-R105</f>
        <v>0</v>
      </c>
      <c r="T106">
        <f>U106+V106</f>
        <v>135</v>
      </c>
      <c r="U106">
        <f>U105+0</f>
        <v>114</v>
      </c>
      <c r="V106">
        <f>V105+0</f>
        <v>21</v>
      </c>
      <c r="W106" s="5">
        <f>(U106-U105)+(V106-V105)</f>
        <v>0</v>
      </c>
      <c r="Y106" s="4">
        <f>Z106+AA106</f>
        <v>11103</v>
      </c>
      <c r="Z106">
        <f>Z105+141</f>
        <v>10455</v>
      </c>
      <c r="AA106">
        <f>AA105+-5</f>
        <v>648</v>
      </c>
      <c r="AB106" s="5">
        <f>(Z106-Z105)+(AA106-AA105)</f>
        <v>136</v>
      </c>
      <c r="AC106">
        <f>AC105+1</f>
        <v>61</v>
      </c>
      <c r="AD106" s="5">
        <f>AC106-AC105</f>
        <v>1</v>
      </c>
      <c r="AE106">
        <f>AF106+AG106</f>
        <v>1313</v>
      </c>
      <c r="AF106">
        <f>AF105+5</f>
        <v>1011</v>
      </c>
      <c r="AG106">
        <f>AG105+0</f>
        <v>302</v>
      </c>
      <c r="AH106" s="5">
        <f>(AF106-AF105)+(AG106-AG105)</f>
        <v>5</v>
      </c>
      <c r="AJ106" s="4">
        <f>AK106+AL106</f>
        <v>11979</v>
      </c>
      <c r="AK106">
        <f>AK105+48</f>
        <v>11606</v>
      </c>
      <c r="AL106">
        <f>AL105+1</f>
        <v>373</v>
      </c>
      <c r="AM106" s="5">
        <f>(AK106-AK105)+(AL106-AL105)</f>
        <v>49</v>
      </c>
      <c r="AN106">
        <f>AN105+3</f>
        <v>74</v>
      </c>
      <c r="AO106" s="5">
        <f>AN106-AN105</f>
        <v>3</v>
      </c>
      <c r="AP106">
        <f>AQ106+AR106</f>
        <v>1034</v>
      </c>
      <c r="AQ106">
        <f>AQ105+2</f>
        <v>889</v>
      </c>
      <c r="AR106">
        <f>AR105+1</f>
        <v>145</v>
      </c>
      <c r="AS106" s="5">
        <f>(AQ106-AQ105)+(AR106-AR105)</f>
        <v>3</v>
      </c>
      <c r="AU106" s="4">
        <f>AV106+AW106</f>
        <v>16178</v>
      </c>
      <c r="AV106">
        <f>AV105+24</f>
        <v>15561</v>
      </c>
      <c r="AW106">
        <f>AW105+-1</f>
        <v>617</v>
      </c>
      <c r="AX106" s="5">
        <f>(AV106-AV105)+(AW106-AW105)</f>
        <v>23</v>
      </c>
      <c r="AY106">
        <f>AY105+-8</f>
        <v>81</v>
      </c>
      <c r="AZ106" s="5">
        <f>AY106-AY105</f>
        <v>-8</v>
      </c>
      <c r="BA106">
        <f>BB106+BC106</f>
        <v>1337</v>
      </c>
      <c r="BB106">
        <f>BB105+5</f>
        <v>1044</v>
      </c>
      <c r="BC106">
        <f>BC105+-1</f>
        <v>293</v>
      </c>
      <c r="BD106" s="5">
        <f>(BB106-BB105)+(BC106-BC105)</f>
        <v>4</v>
      </c>
      <c r="BF106" s="4">
        <f>BG106+BH106</f>
        <v>1216</v>
      </c>
      <c r="BG106">
        <f>BG105+6</f>
        <v>1160</v>
      </c>
      <c r="BH106">
        <f>BH105+0</f>
        <v>56</v>
      </c>
      <c r="BI106" s="5">
        <f>(BG106-BG105)+(BH106-BH105)</f>
        <v>6</v>
      </c>
      <c r="BJ106">
        <f>BJ105+1</f>
        <v>15</v>
      </c>
      <c r="BK106" s="5">
        <f>BJ106-BJ105</f>
        <v>1</v>
      </c>
      <c r="BL106">
        <f>BM106+BN106</f>
        <v>166</v>
      </c>
      <c r="BM106">
        <f>BM105+1</f>
        <v>129</v>
      </c>
      <c r="BN106">
        <f>BN105+0</f>
        <v>37</v>
      </c>
      <c r="BO106" s="5">
        <f>(BM106-BM105)+(BN106-BN105)</f>
        <v>1</v>
      </c>
      <c r="BQ106" s="4">
        <f>BR106+BS106</f>
        <v>886</v>
      </c>
      <c r="BR106">
        <f>BR105+1</f>
        <v>815</v>
      </c>
      <c r="BS106">
        <f>BS105+2</f>
        <v>71</v>
      </c>
      <c r="BT106" s="5">
        <f>(BR106-BR105)+(BS106-BS105)</f>
        <v>3</v>
      </c>
      <c r="BU106">
        <f>BU105+0</f>
        <v>0</v>
      </c>
      <c r="BV106" s="5">
        <f>BU106-BU105</f>
        <v>0</v>
      </c>
      <c r="BW106">
        <f>BX106+BY106</f>
        <v>62</v>
      </c>
      <c r="BX106">
        <f>BX105+0</f>
        <v>48</v>
      </c>
      <c r="BY106">
        <f>BY105+0</f>
        <v>14</v>
      </c>
      <c r="BZ106" s="5">
        <f>(BX106-BX105)+(BY106-BY105)</f>
        <v>0</v>
      </c>
      <c r="CB106" s="4">
        <f>CC106+CD106</f>
        <v>453</v>
      </c>
      <c r="CC106">
        <f>CC105+12</f>
        <v>446</v>
      </c>
      <c r="CD106">
        <f>CD105+0</f>
        <v>7</v>
      </c>
      <c r="CE106" s="5">
        <f>(CC106-CC105)+(CD106-CD105)</f>
        <v>12</v>
      </c>
      <c r="CF106">
        <f>CF105+1</f>
        <v>3</v>
      </c>
      <c r="CG106" s="5">
        <f>CF106-CF105</f>
        <v>1</v>
      </c>
      <c r="CH106">
        <f>CI106+CJ106</f>
        <v>14</v>
      </c>
      <c r="CI106">
        <f>CI105+0</f>
        <v>13</v>
      </c>
      <c r="CJ106">
        <f>CJ105+0</f>
        <v>1</v>
      </c>
      <c r="CK106" s="5">
        <f>(CI106-CI105)+(CJ106-CJ105)</f>
        <v>0</v>
      </c>
      <c r="CM106" s="4">
        <f>CN106+CO106</f>
        <v>1150</v>
      </c>
      <c r="CN106">
        <f>CN105+3</f>
        <v>1088</v>
      </c>
      <c r="CO106">
        <f>CO105+0</f>
        <v>62</v>
      </c>
      <c r="CP106" s="5">
        <f>(CN106-CN105)+(CO106-CO105)</f>
        <v>3</v>
      </c>
      <c r="CQ106">
        <f>CQ105+0</f>
        <v>7</v>
      </c>
      <c r="CR106" s="5">
        <f>CQ106-CQ105</f>
        <v>0</v>
      </c>
      <c r="CS106">
        <f>CT106+CU106</f>
        <v>98</v>
      </c>
      <c r="CT106">
        <f>CT105+0</f>
        <v>73</v>
      </c>
      <c r="CU106">
        <f>CU105+0</f>
        <v>25</v>
      </c>
      <c r="CV106" s="5">
        <f>(CT106-CT105)+(CU106-CU105)</f>
        <v>0</v>
      </c>
      <c r="CX106" s="4">
        <f>CY106+CZ106</f>
        <v>289</v>
      </c>
      <c r="CY106">
        <f>CY105+-4</f>
        <v>283</v>
      </c>
      <c r="CZ106">
        <f>CZ105+0</f>
        <v>6</v>
      </c>
      <c r="DA106" s="5">
        <f>(CY106-CY105)+(CZ106-CZ105)</f>
        <v>-4</v>
      </c>
      <c r="DC106" s="5"/>
      <c r="DD106">
        <f>DE106+DF106</f>
        <v>0</v>
      </c>
      <c r="DE106">
        <f>DE105+0</f>
        <v>0</v>
      </c>
      <c r="DF106">
        <f>DF105+0</f>
        <v>0</v>
      </c>
      <c r="DG106" s="5">
        <f>(DE106-DE105)+(DF106-DF105)</f>
        <v>0</v>
      </c>
      <c r="DI106" s="4">
        <f>N106+Y106+AJ106+AU106+BF106+BQ106+CB106+CM106+CX106</f>
        <v>44689</v>
      </c>
      <c r="DJ106">
        <f>O106+Z106+AK106+AV106+BG106+BR106+CC106+CN106+CY106</f>
        <v>42788</v>
      </c>
      <c r="DK106">
        <f>P106+AA106+AL106+AW106+BH106+BS106+CD106+CO106+CZ106</f>
        <v>1901</v>
      </c>
      <c r="DL106">
        <f>Q106+AB106+AM106+AX106+BI106+BT106+CE106+CP106+DA106</f>
        <v>228</v>
      </c>
      <c r="DM106">
        <f>R106+AC106+AN106+AY106+BJ106+BU106+CF106+CQ106+DB106</f>
        <v>244</v>
      </c>
      <c r="DN106" s="3">
        <f>(DM106/DM105)-1</f>
        <v>-0.0081300813008130524</v>
      </c>
      <c r="DO106">
        <f>T106+AE106+AP106+BA106+BL106+BW106+CH106+CS106+DD106</f>
        <v>4159</v>
      </c>
      <c r="DP106">
        <f>U106+AF106+AQ106+BB106+BM106+BX106+CI106+CT106+DE106</f>
        <v>3321</v>
      </c>
      <c r="DQ106">
        <f>V106+AG106+AR106+BC106+BN106+BY106+CJ106+CU106+DF106</f>
        <v>838</v>
      </c>
      <c r="DR106" s="3">
        <f>((DP106+DQ106)/(DP105+DQ105))-1</f>
        <v>0.0031355523396043861</v>
      </c>
      <c r="DS106" s="1"/>
      <c r="DT106">
        <f>DM106-DM105</f>
        <v>-2</v>
      </c>
      <c r="DV106">
        <v>4</v>
      </c>
      <c r="DW106" t="s">
        <v>36</v>
      </c>
      <c r="DX106" s="8">
        <v>43957</v>
      </c>
      <c r="DY106">
        <v>64</v>
      </c>
      <c r="DZ106">
        <v>350</v>
      </c>
      <c r="EA106">
        <v>12</v>
      </c>
      <c r="GA106" s="10">
        <v>43946</v>
      </c>
      <c r="GB106">
        <v>938154</v>
      </c>
      <c r="GC106" s="12">
        <f>(GB106/GB105)-1</f>
        <v>0.036224344402987496</v>
      </c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8">
        <v>43939</v>
      </c>
      <c r="GW106">
        <v>12</v>
      </c>
      <c r="GX106" t="s">
        <v>41</v>
      </c>
      <c r="GY106">
        <v>9</v>
      </c>
      <c r="HB106">
        <v>184</v>
      </c>
      <c r="HC106">
        <v>2</v>
      </c>
      <c r="HR106" s="2"/>
    </row>
    <row r="107" spans="1:325" ht="20.25">
      <c r="C107">
        <f>H106*D107</f>
        <v>304.99999999802532</v>
      </c>
      <c r="D107">
        <f>0.0068249457360900004</f>
        <v>0.0068249457360900004</v>
      </c>
      <c r="E107" t="s">
        <v>40</v>
      </c>
      <c r="F107" s="10">
        <v>43995</v>
      </c>
      <c r="G107" s="2">
        <f>H107*15</f>
        <v>674909.99999535352</v>
      </c>
      <c r="H107">
        <f>H106+C107</f>
        <v>44993.999999690233</v>
      </c>
      <c r="I107">
        <v>44994</v>
      </c>
      <c r="J107">
        <v>2074526</v>
      </c>
      <c r="K107">
        <f>N107+Y107+AJ107+AU107+BF107+BQ107+CB107+CM107+CX107</f>
        <v>44994</v>
      </c>
      <c r="L107" s="3">
        <f>(K107/K106)-1</f>
        <v>0.0068249457360871624</v>
      </c>
      <c r="N107" s="4">
        <f>O107+P107</f>
        <v>1439</v>
      </c>
      <c r="O107">
        <f>O106+3</f>
        <v>1377</v>
      </c>
      <c r="P107">
        <f>P106+1</f>
        <v>62</v>
      </c>
      <c r="Q107" s="5">
        <f>(O107-O106)+(P107-P106)</f>
        <v>4</v>
      </c>
      <c r="R107">
        <f>R106+0</f>
        <v>3</v>
      </c>
      <c r="S107" s="5">
        <f>R107-R106</f>
        <v>0</v>
      </c>
      <c r="T107">
        <f>U107+V107</f>
        <v>135</v>
      </c>
      <c r="U107">
        <f>U106+0</f>
        <v>114</v>
      </c>
      <c r="V107">
        <f>V106+0</f>
        <v>21</v>
      </c>
      <c r="W107" s="5">
        <f>(U107-U106)+(V107-V106)</f>
        <v>0</v>
      </c>
      <c r="Y107" s="4">
        <f>Z107+AA107</f>
        <v>11189</v>
      </c>
      <c r="Z107">
        <f>Z106+79</f>
        <v>10534</v>
      </c>
      <c r="AA107">
        <f>AA106+7</f>
        <v>655</v>
      </c>
      <c r="AB107" s="5">
        <f>(Z107-Z106)+(AA107-AA106)</f>
        <v>86</v>
      </c>
      <c r="AC107">
        <f>AC106+-7</f>
        <v>54</v>
      </c>
      <c r="AD107" s="5">
        <f>AC107-AC106</f>
        <v>-7</v>
      </c>
      <c r="AE107">
        <f>AF107+AG107</f>
        <v>1321</v>
      </c>
      <c r="AF107">
        <f>AF106+7</f>
        <v>1018</v>
      </c>
      <c r="AG107">
        <f>AG106+1</f>
        <v>303</v>
      </c>
      <c r="AH107" s="5">
        <f>(AF107-AF106)+(AG107-AG106)</f>
        <v>8</v>
      </c>
      <c r="AJ107" s="4">
        <f>AK107+AL107</f>
        <v>12021</v>
      </c>
      <c r="AK107">
        <f>AK106+35</f>
        <v>11641</v>
      </c>
      <c r="AL107">
        <f>AL106+7</f>
        <v>380</v>
      </c>
      <c r="AM107" s="5">
        <f>(AK107-AK106)+(AL107-AL106)</f>
        <v>42</v>
      </c>
      <c r="AN107">
        <f>AN106+-1</f>
        <v>73</v>
      </c>
      <c r="AO107" s="5">
        <f>AN107-AN106</f>
        <v>-1</v>
      </c>
      <c r="AP107">
        <f>AQ107+AR107</f>
        <v>1041</v>
      </c>
      <c r="AQ107">
        <f>AQ106+4</f>
        <v>893</v>
      </c>
      <c r="AR107">
        <f>AR106+3</f>
        <v>148</v>
      </c>
      <c r="AS107" s="5">
        <f>(AQ107-AQ106)+(AR107-AR106)</f>
        <v>7</v>
      </c>
      <c r="AU107" s="4">
        <f>AV107+AW107</f>
        <v>16277</v>
      </c>
      <c r="AV107">
        <f>AV106+100</f>
        <v>15661</v>
      </c>
      <c r="AW107">
        <f>AW106+-1</f>
        <v>616</v>
      </c>
      <c r="AX107" s="5">
        <f>(AV107-AV106)+(AW107-AW106)</f>
        <v>99</v>
      </c>
      <c r="AY107">
        <f>AY106+0</f>
        <v>81</v>
      </c>
      <c r="AZ107" s="5">
        <f>AY107-AY106</f>
        <v>0</v>
      </c>
      <c r="BA107">
        <f>BB107+BC107</f>
        <v>1345</v>
      </c>
      <c r="BB107">
        <f>BB106+7</f>
        <v>1051</v>
      </c>
      <c r="BC107">
        <f>BC106+1</f>
        <v>294</v>
      </c>
      <c r="BD107" s="5">
        <f>(BB107-BB106)+(BC107-BC106)</f>
        <v>8</v>
      </c>
      <c r="BF107" s="4">
        <f>BG107+BH107</f>
        <v>1223</v>
      </c>
      <c r="BG107">
        <f>BG106+7</f>
        <v>1167</v>
      </c>
      <c r="BH107">
        <f>BH106+0</f>
        <v>56</v>
      </c>
      <c r="BI107" s="5">
        <f>(BG107-BG106)+(BH107-BH106)</f>
        <v>7</v>
      </c>
      <c r="BJ107">
        <f>BJ106+-2</f>
        <v>13</v>
      </c>
      <c r="BK107" s="5">
        <f>BJ107-BJ106</f>
        <v>-2</v>
      </c>
      <c r="BL107">
        <f>BM107+BN107</f>
        <v>168</v>
      </c>
      <c r="BM107">
        <f>BM106+2</f>
        <v>131</v>
      </c>
      <c r="BN107">
        <f>BN106+0</f>
        <v>37</v>
      </c>
      <c r="BO107" s="5">
        <f>(BM107-BM106)+(BN107-BN106)</f>
        <v>2</v>
      </c>
      <c r="BQ107" s="4">
        <f>BR107+BS107</f>
        <v>885</v>
      </c>
      <c r="BR107">
        <f>BR106+-1</f>
        <v>814</v>
      </c>
      <c r="BS107">
        <f>BS106+0</f>
        <v>71</v>
      </c>
      <c r="BT107" s="5">
        <f>(BR107-BR106)+(BS107-BS106)</f>
        <v>-1</v>
      </c>
      <c r="BU107">
        <f>BU106+0</f>
        <v>0</v>
      </c>
      <c r="BV107" s="5">
        <f>BU107-BU106</f>
        <v>0</v>
      </c>
      <c r="BW107">
        <f>BX107+BY107</f>
        <v>62</v>
      </c>
      <c r="BX107">
        <f>BX106+0</f>
        <v>48</v>
      </c>
      <c r="BY107">
        <f>BY106+0</f>
        <v>14</v>
      </c>
      <c r="BZ107" s="5">
        <f>(BX107-BX106)+(BY107-BY106)</f>
        <v>0</v>
      </c>
      <c r="CB107" s="4">
        <f>CC107+CD107</f>
        <v>463</v>
      </c>
      <c r="CC107">
        <f>CC106+10</f>
        <v>456</v>
      </c>
      <c r="CD107">
        <f>CD106+0</f>
        <v>7</v>
      </c>
      <c r="CE107" s="5">
        <f>(CC107-CC106)+(CD107-CD106)</f>
        <v>10</v>
      </c>
      <c r="CF107">
        <f>CF106+-1</f>
        <v>2</v>
      </c>
      <c r="CG107" s="5">
        <f>CF107-CF106</f>
        <v>-1</v>
      </c>
      <c r="CH107">
        <f>CI107+CJ107</f>
        <v>14</v>
      </c>
      <c r="CI107">
        <f>CI106+0</f>
        <v>13</v>
      </c>
      <c r="CJ107">
        <f>CJ106+0</f>
        <v>1</v>
      </c>
      <c r="CK107" s="5">
        <f>(CI107-CI106)+(CJ107-CJ106)</f>
        <v>0</v>
      </c>
      <c r="CM107" s="4">
        <f>CN107+CO107</f>
        <v>1198</v>
      </c>
      <c r="CN107">
        <f>CN106+47</f>
        <v>1135</v>
      </c>
      <c r="CO107">
        <f>CO106+1</f>
        <v>63</v>
      </c>
      <c r="CP107" s="5">
        <f>(CN107-CN106)+(CO107-CO106)</f>
        <v>48</v>
      </c>
      <c r="CQ107">
        <f>CQ106+0</f>
        <v>7</v>
      </c>
      <c r="CR107" s="5">
        <f>CQ107-CQ106</f>
        <v>0</v>
      </c>
      <c r="CS107">
        <f>CT107+CU107</f>
        <v>100</v>
      </c>
      <c r="CT107">
        <f>CT106+1</f>
        <v>74</v>
      </c>
      <c r="CU107">
        <f>CU106+1</f>
        <v>26</v>
      </c>
      <c r="CV107" s="5">
        <f>(CT107-CT106)+(CU107-CU106)</f>
        <v>2</v>
      </c>
      <c r="CX107" s="4">
        <f>CY107+CZ107</f>
        <v>299</v>
      </c>
      <c r="CY107">
        <f>CY106+10</f>
        <v>293</v>
      </c>
      <c r="CZ107">
        <f>CZ106+0</f>
        <v>6</v>
      </c>
      <c r="DA107" s="5">
        <f>(CY107-CY106)+(CZ107-CZ106)</f>
        <v>10</v>
      </c>
      <c r="DC107" s="5"/>
      <c r="DD107">
        <f>DE107+DF107</f>
        <v>0</v>
      </c>
      <c r="DE107">
        <f>DE106+0</f>
        <v>0</v>
      </c>
      <c r="DF107">
        <f>DF106+0</f>
        <v>0</v>
      </c>
      <c r="DG107" s="5">
        <f>(DE107-DE106)+(DF107-DF106)</f>
        <v>0</v>
      </c>
      <c r="DI107" s="4">
        <f>N107+Y107+AJ107+AU107+BF107+BQ107+CB107+CM107+CX107</f>
        <v>44994</v>
      </c>
      <c r="DJ107">
        <f>O107+Z107+AK107+AV107+BG107+BR107+CC107+CN107+CY107</f>
        <v>43078</v>
      </c>
      <c r="DK107">
        <f>P107+AA107+AL107+AW107+BH107+BS107+CD107+CO107+CZ107</f>
        <v>1916</v>
      </c>
      <c r="DL107">
        <f>Q107+AB107+AM107+AX107+BI107+BT107+CE107+CP107+DA107</f>
        <v>305</v>
      </c>
      <c r="DM107">
        <f>R107+AC107+AN107+AY107+BJ107+BU107+CF107+CQ107+DB107</f>
        <v>233</v>
      </c>
      <c r="DN107" s="3">
        <f>(DM107/DM106)-1</f>
        <v>-0.045081967213114749</v>
      </c>
      <c r="DO107">
        <f>T107+AE107+AP107+BA107+BL107+BW107+CH107+CS107+DD107</f>
        <v>4186</v>
      </c>
      <c r="DP107">
        <f>U107+AF107+AQ107+BB107+BM107+BX107+CI107+CT107+DE107</f>
        <v>3342</v>
      </c>
      <c r="DQ107">
        <f>V107+AG107+AR107+BC107+BN107+BY107+CJ107+CU107+DF107</f>
        <v>844</v>
      </c>
      <c r="DR107" s="3">
        <f>((DP107+DQ107)/(DP106+DQ106))-1</f>
        <v>0.0064919451791296545</v>
      </c>
      <c r="DS107" s="1"/>
      <c r="DT107">
        <f>DM107-DM106</f>
        <v>-11</v>
      </c>
      <c r="DV107">
        <v>4</v>
      </c>
      <c r="DW107" t="s">
        <v>36</v>
      </c>
      <c r="DX107" s="8">
        <v>43958</v>
      </c>
      <c r="DY107">
        <v>64</v>
      </c>
      <c r="DZ107">
        <v>350</v>
      </c>
      <c r="EA107">
        <v>12</v>
      </c>
      <c r="GA107" s="10">
        <v>43947</v>
      </c>
      <c r="GB107">
        <v>965785</v>
      </c>
      <c r="GC107" s="12">
        <f>(GB107/GB106)-1</f>
        <v>0.029452520588304276</v>
      </c>
      <c r="GV107" s="8">
        <v>43940</v>
      </c>
      <c r="GW107">
        <v>12</v>
      </c>
      <c r="GX107" t="s">
        <v>41</v>
      </c>
      <c r="GY107">
        <v>9</v>
      </c>
      <c r="HB107">
        <v>184</v>
      </c>
      <c r="HC107">
        <v>2</v>
      </c>
    </row>
    <row r="108" spans="1:325" ht="20.25">
      <c r="C108">
        <f>H107*D108</f>
        <v>93.999999999435545</v>
      </c>
      <c r="D108">
        <f>0.00208916744455</f>
        <v>0.00208916744455</v>
      </c>
      <c r="E108" t="s">
        <v>30</v>
      </c>
      <c r="F108" s="10">
        <v>43996</v>
      </c>
      <c r="G108" s="2">
        <f>H108*15</f>
        <v>676319.99999534502</v>
      </c>
      <c r="H108">
        <f>H107+C108</f>
        <v>45087.999999689666</v>
      </c>
      <c r="I108">
        <v>45088</v>
      </c>
      <c r="J108">
        <v>2094058</v>
      </c>
      <c r="K108">
        <f>N108+Y108+AJ108+AU108+BF108+BQ108+CB108+CM108+CX108</f>
        <v>45088</v>
      </c>
      <c r="L108" s="3">
        <f>(K108/K107)-1</f>
        <v>0.0020891674445482344</v>
      </c>
      <c r="N108" s="4">
        <f>O108+P108</f>
        <v>1442</v>
      </c>
      <c r="O108">
        <f>O107+3</f>
        <v>1380</v>
      </c>
      <c r="P108">
        <f>P107+0</f>
        <v>62</v>
      </c>
      <c r="Q108" s="5">
        <f>(O108-O107)+(P108-P107)</f>
        <v>3</v>
      </c>
      <c r="R108">
        <f>R107+0</f>
        <v>3</v>
      </c>
      <c r="S108" s="5">
        <f>R108-R107</f>
        <v>0</v>
      </c>
      <c r="T108">
        <f>U108+V108</f>
        <v>136</v>
      </c>
      <c r="U108">
        <f>U107+1</f>
        <v>115</v>
      </c>
      <c r="V108">
        <f>V107+0</f>
        <v>21</v>
      </c>
      <c r="W108" s="5">
        <f>(U108-U107)+(V108-V107)</f>
        <v>1</v>
      </c>
      <c r="Y108" s="4">
        <f>Z108+AA108</f>
        <v>11218</v>
      </c>
      <c r="Z108">
        <f>Z107+30</f>
        <v>10564</v>
      </c>
      <c r="AA108">
        <f>AA107+-1</f>
        <v>654</v>
      </c>
      <c r="AB108" s="5">
        <f>(Z108-Z107)+(AA108-AA107)</f>
        <v>29</v>
      </c>
      <c r="AC108">
        <f>AC107+-2</f>
        <v>52</v>
      </c>
      <c r="AD108" s="5">
        <f>AC108-AC107</f>
        <v>-2</v>
      </c>
      <c r="AE108">
        <f>AF108+AG108</f>
        <v>1327</v>
      </c>
      <c r="AF108">
        <f>AF107+5</f>
        <v>1023</v>
      </c>
      <c r="AG108">
        <f>AG107+1</f>
        <v>304</v>
      </c>
      <c r="AH108" s="5">
        <f>(AF108-AF107)+(AG108-AG107)</f>
        <v>6</v>
      </c>
      <c r="AJ108" s="4">
        <f>AK108+AL108</f>
        <v>12034</v>
      </c>
      <c r="AK108">
        <f>AK107+12</f>
        <v>11653</v>
      </c>
      <c r="AL108">
        <f>AL107+1</f>
        <v>381</v>
      </c>
      <c r="AM108" s="5">
        <f>(AK108-AK107)+(AL108-AL107)</f>
        <v>13</v>
      </c>
      <c r="AN108">
        <f>AN107+-10</f>
        <v>63</v>
      </c>
      <c r="AO108" s="5">
        <f>AN108-AN107</f>
        <v>-10</v>
      </c>
      <c r="AP108">
        <f>AQ108+AR108</f>
        <v>1044</v>
      </c>
      <c r="AQ108">
        <f>AQ107+2</f>
        <v>895</v>
      </c>
      <c r="AR108">
        <f>AR107+1</f>
        <v>149</v>
      </c>
      <c r="AS108" s="5">
        <f>(AQ108-AQ107)+(AR108-AR107)</f>
        <v>3</v>
      </c>
      <c r="AU108" s="4">
        <f>AV108+AW108</f>
        <v>16306</v>
      </c>
      <c r="AV108">
        <f>AV107+29</f>
        <v>15690</v>
      </c>
      <c r="AW108">
        <f>AW107+0</f>
        <v>616</v>
      </c>
      <c r="AX108" s="5">
        <f>(AV108-AV107)+(AW108-AW107)</f>
        <v>29</v>
      </c>
      <c r="AY108">
        <f>AY107+-13</f>
        <v>68</v>
      </c>
      <c r="AZ108" s="5">
        <f>AY108-AY107</f>
        <v>-13</v>
      </c>
      <c r="BA108">
        <f>BB108+BC108</f>
        <v>1346</v>
      </c>
      <c r="BB108">
        <f>BB107+1</f>
        <v>1052</v>
      </c>
      <c r="BC108">
        <f>BC107+0</f>
        <v>294</v>
      </c>
      <c r="BD108" s="5">
        <f>(BB108-BB107)+(BC108-BC107)</f>
        <v>1</v>
      </c>
      <c r="BF108" s="4">
        <f>BG108+BH108</f>
        <v>1229</v>
      </c>
      <c r="BG108">
        <f>BG107+6</f>
        <v>1173</v>
      </c>
      <c r="BH108">
        <f>BH107+0</f>
        <v>56</v>
      </c>
      <c r="BI108" s="5">
        <f>(BG108-BG107)+(BH108-BH107)</f>
        <v>6</v>
      </c>
      <c r="BJ108">
        <f>BJ107+-2</f>
        <v>11</v>
      </c>
      <c r="BK108" s="5">
        <f>BJ108-BJ107</f>
        <v>-2</v>
      </c>
      <c r="BL108">
        <f>BM108+BN108</f>
        <v>171</v>
      </c>
      <c r="BM108">
        <f>BM107+3</f>
        <v>134</v>
      </c>
      <c r="BN108">
        <f>BN107+0</f>
        <v>37</v>
      </c>
      <c r="BO108" s="5">
        <f>(BM108-BM107)+(BN108-BN107)</f>
        <v>3</v>
      </c>
      <c r="BQ108" s="4">
        <f>BR108+BS108</f>
        <v>888</v>
      </c>
      <c r="BR108">
        <f>BR107+3</f>
        <v>817</v>
      </c>
      <c r="BS108">
        <f>BS107+0</f>
        <v>71</v>
      </c>
      <c r="BT108" s="5">
        <f>(BR108-BR107)+(BS108-BS107)</f>
        <v>3</v>
      </c>
      <c r="BU108">
        <f>BU107+0</f>
        <v>0</v>
      </c>
      <c r="BV108" s="5">
        <f>BU108-BU107</f>
        <v>0</v>
      </c>
      <c r="BW108">
        <f>BX108+BY108</f>
        <v>62</v>
      </c>
      <c r="BX108">
        <f>BX107+0</f>
        <v>48</v>
      </c>
      <c r="BY108">
        <f>BY107+0</f>
        <v>14</v>
      </c>
      <c r="BZ108" s="5">
        <f>(BX108-BX107)+(BY108-BY107)</f>
        <v>0</v>
      </c>
      <c r="CB108" s="4">
        <f>CC108+CD108</f>
        <v>465</v>
      </c>
      <c r="CC108">
        <f>CC107+2</f>
        <v>458</v>
      </c>
      <c r="CD108">
        <f>CD107+0</f>
        <v>7</v>
      </c>
      <c r="CE108" s="5">
        <f>(CC108-CC107)+(CD108-CD107)</f>
        <v>2</v>
      </c>
      <c r="CF108">
        <f>CF107+0</f>
        <v>2</v>
      </c>
      <c r="CG108" s="5">
        <f>CF108-CF107</f>
        <v>0</v>
      </c>
      <c r="CH108">
        <f>CI108+CJ108</f>
        <v>14</v>
      </c>
      <c r="CI108">
        <f>CI107+0</f>
        <v>13</v>
      </c>
      <c r="CJ108">
        <f>CJ107+0</f>
        <v>1</v>
      </c>
      <c r="CK108" s="5">
        <f>(CI108-CI107)+(CJ108-CJ107)</f>
        <v>0</v>
      </c>
      <c r="CM108" s="4">
        <f>CN108+CO108</f>
        <v>1236</v>
      </c>
      <c r="CN108">
        <f>CN107+38</f>
        <v>1173</v>
      </c>
      <c r="CO108">
        <f>CO107+0</f>
        <v>63</v>
      </c>
      <c r="CP108" s="5">
        <f>(CN108-CN107)+(CO108-CO107)</f>
        <v>38</v>
      </c>
      <c r="CQ108">
        <f>CQ107+-1</f>
        <v>6</v>
      </c>
      <c r="CR108" s="5">
        <f>CQ108-CQ107</f>
        <v>-1</v>
      </c>
      <c r="CS108">
        <f>CT108+CU108</f>
        <v>101</v>
      </c>
      <c r="CT108">
        <f>CT107+1</f>
        <v>75</v>
      </c>
      <c r="CU108">
        <f>CU107+0</f>
        <v>26</v>
      </c>
      <c r="CV108" s="5">
        <f>(CT108-CT107)+(CU108-CU107)</f>
        <v>1</v>
      </c>
      <c r="CX108" s="4">
        <f>CY108+CZ108</f>
        <v>270</v>
      </c>
      <c r="CY108">
        <f>CY107+-29</f>
        <v>264</v>
      </c>
      <c r="CZ108">
        <f>CZ107+0</f>
        <v>6</v>
      </c>
      <c r="DA108" s="5">
        <f>(CY108-CY107)+(CZ108-CZ107)</f>
        <v>-29</v>
      </c>
      <c r="DC108" s="5"/>
      <c r="DD108">
        <f>DE108+DF108</f>
        <v>0</v>
      </c>
      <c r="DE108">
        <f>DE107+0</f>
        <v>0</v>
      </c>
      <c r="DF108">
        <f>DF107+0</f>
        <v>0</v>
      </c>
      <c r="DG108" s="5">
        <f>(DE108-DE107)+(DF108-DF107)</f>
        <v>0</v>
      </c>
      <c r="DI108" s="4">
        <f>N108+Y108+AJ108+AU108+BF108+BQ108+CB108+CM108+CX108</f>
        <v>45088</v>
      </c>
      <c r="DJ108">
        <f>O108+Z108+AK108+AV108+BG108+BR108+CC108+CN108+CY108</f>
        <v>43172</v>
      </c>
      <c r="DK108">
        <f>P108+AA108+AL108+AW108+BH108+BS108+CD108+CO108+CZ108</f>
        <v>1916</v>
      </c>
      <c r="DL108">
        <f>Q108+AB108+AM108+AX108+BI108+BT108+CE108+CP108+DA108</f>
        <v>94</v>
      </c>
      <c r="DM108">
        <f>R108+AC108+AN108+AY108+BJ108+BU108+CF108+CQ108+DB108</f>
        <v>205</v>
      </c>
      <c r="DN108" s="3">
        <f>(DM108/DM107)-1</f>
        <v>-0.12017167381974247</v>
      </c>
      <c r="DO108">
        <f>T108+AE108+AP108+BA108+BL108+BW108+CH108+CS108+DD108</f>
        <v>4201</v>
      </c>
      <c r="DP108">
        <f>U108+AF108+AQ108+BB108+BM108+BX108+CI108+CT108+DE108</f>
        <v>3355</v>
      </c>
      <c r="DQ108">
        <f>V108+AG108+AR108+BC108+BN108+BY108+CJ108+CU108+DF108</f>
        <v>846</v>
      </c>
      <c r="DR108" s="3">
        <f>((DP108+DQ108)/(DP107+DQ107))-1</f>
        <v>0.0035833731485905851</v>
      </c>
      <c r="DS108" s="1"/>
      <c r="DT108">
        <f>DM108-DM107</f>
        <v>-28</v>
      </c>
      <c r="DV108">
        <v>4</v>
      </c>
      <c r="DW108" t="s">
        <v>36</v>
      </c>
      <c r="DX108" s="8">
        <v>43959</v>
      </c>
      <c r="DY108">
        <v>67</v>
      </c>
      <c r="DZ108">
        <v>366</v>
      </c>
      <c r="EA108">
        <v>12</v>
      </c>
      <c r="GA108" s="10">
        <v>43948</v>
      </c>
      <c r="GB108">
        <v>988197</v>
      </c>
      <c r="GC108" s="12">
        <f>(GB108/GB107)-1</f>
        <v>0.02320599305228388</v>
      </c>
      <c r="GE108" s="2"/>
      <c r="GV108" s="8">
        <v>43941</v>
      </c>
      <c r="GW108">
        <v>12</v>
      </c>
      <c r="GX108" t="s">
        <v>41</v>
      </c>
      <c r="GY108">
        <v>9</v>
      </c>
      <c r="HB108">
        <v>184</v>
      </c>
      <c r="HC108">
        <v>2</v>
      </c>
    </row>
    <row r="109" spans="1:325" ht="20.25">
      <c r="C109">
        <f>H108*D109</f>
        <v>146.99999999920198</v>
      </c>
      <c r="D109">
        <f>0.0032602909865200001</f>
        <v>0.0032602909865200001</v>
      </c>
      <c r="E109" t="s">
        <v>33</v>
      </c>
      <c r="F109" s="10">
        <v>43997</v>
      </c>
      <c r="G109" s="2">
        <f>H109*15</f>
        <v>678524.99999533303</v>
      </c>
      <c r="H109">
        <f>H108+C109</f>
        <v>45234.999999688866</v>
      </c>
      <c r="I109">
        <v>45235</v>
      </c>
      <c r="J109">
        <v>2114026</v>
      </c>
      <c r="K109">
        <f>N109+Y109+AJ109+AU109+BF109+BQ109+CB109+CM109+CX109</f>
        <v>45235</v>
      </c>
      <c r="L109" s="3">
        <f>(K109/K108)-1</f>
        <v>0.0032602909865153684</v>
      </c>
      <c r="N109" s="4">
        <f>O109+P109</f>
        <v>1441</v>
      </c>
      <c r="O109">
        <f>O108+-1</f>
        <v>1379</v>
      </c>
      <c r="P109">
        <f>P108+0</f>
        <v>62</v>
      </c>
      <c r="Q109" s="5">
        <f>(O109-O108)+(P109-P108)</f>
        <v>-1</v>
      </c>
      <c r="R109">
        <f>R108+0</f>
        <v>3</v>
      </c>
      <c r="S109" s="5">
        <f>R109-R108</f>
        <v>0</v>
      </c>
      <c r="T109">
        <f>U109+V109</f>
        <v>135</v>
      </c>
      <c r="U109">
        <f>U108+-1</f>
        <v>114</v>
      </c>
      <c r="V109">
        <f>V108+0</f>
        <v>21</v>
      </c>
      <c r="W109" s="5">
        <f>(U109-U108)+(V109-V108)</f>
        <v>-1</v>
      </c>
      <c r="Y109" s="4">
        <f>Z109+AA109</f>
        <v>11231</v>
      </c>
      <c r="Z109">
        <f>Z108+9</f>
        <v>10573</v>
      </c>
      <c r="AA109">
        <f>AA108+4</f>
        <v>658</v>
      </c>
      <c r="AB109" s="5">
        <f>(Z109-Z108)+(AA109-AA108)</f>
        <v>13</v>
      </c>
      <c r="AC109">
        <f>AC108+0</f>
        <v>52</v>
      </c>
      <c r="AD109" s="5">
        <f>AC109-AC108</f>
        <v>0</v>
      </c>
      <c r="AE109">
        <f>AF109+AG109</f>
        <v>1328</v>
      </c>
      <c r="AF109">
        <f>AF108+0</f>
        <v>1023</v>
      </c>
      <c r="AG109">
        <f>AG108+1</f>
        <v>305</v>
      </c>
      <c r="AH109" s="5">
        <f>(AF109-AF108)+(AG109-AG108)</f>
        <v>1</v>
      </c>
      <c r="AJ109" s="4">
        <f>AK109+AL109</f>
        <v>12055</v>
      </c>
      <c r="AK109">
        <f>AK108+18</f>
        <v>11671</v>
      </c>
      <c r="AL109">
        <f>AL108+3</f>
        <v>384</v>
      </c>
      <c r="AM109" s="5">
        <f>(AK109-AK108)+(AL109-AL108)</f>
        <v>21</v>
      </c>
      <c r="AN109">
        <f>AN108+0</f>
        <v>63</v>
      </c>
      <c r="AO109" s="5">
        <f>AN109-AN108</f>
        <v>0</v>
      </c>
      <c r="AP109">
        <f>AQ109+AR109</f>
        <v>1045</v>
      </c>
      <c r="AQ109">
        <f>AQ108+1</f>
        <v>896</v>
      </c>
      <c r="AR109">
        <f>AR108+0</f>
        <v>149</v>
      </c>
      <c r="AS109" s="5">
        <f>(AQ109-AQ108)+(AR109-AR108)</f>
        <v>1</v>
      </c>
      <c r="AU109" s="4">
        <f>AV109+AW109</f>
        <v>16338</v>
      </c>
      <c r="AV109">
        <f>AV108+27</f>
        <v>15717</v>
      </c>
      <c r="AW109">
        <f>AW108+5</f>
        <v>621</v>
      </c>
      <c r="AX109" s="5">
        <f>(AV109-AV108)+(AW109-AW108)</f>
        <v>32</v>
      </c>
      <c r="AY109">
        <f>AY108+2</f>
        <v>70</v>
      </c>
      <c r="AZ109" s="5">
        <f>AY109-AY108</f>
        <v>2</v>
      </c>
      <c r="BA109">
        <f>BB109+BC109</f>
        <v>1347</v>
      </c>
      <c r="BB109">
        <f>BB108+0</f>
        <v>1052</v>
      </c>
      <c r="BC109">
        <f>BC108+1</f>
        <v>295</v>
      </c>
      <c r="BD109" s="5">
        <f>(BB109-BB108)+(BC109-BC108)</f>
        <v>1</v>
      </c>
      <c r="BF109" s="4">
        <f>BG109+BH109</f>
        <v>1233</v>
      </c>
      <c r="BG109">
        <f>BG108+2</f>
        <v>1175</v>
      </c>
      <c r="BH109">
        <f>BH108+2</f>
        <v>58</v>
      </c>
      <c r="BI109" s="5">
        <f>(BG109-BG108)+(BH109-BH108)</f>
        <v>4</v>
      </c>
      <c r="BJ109">
        <f>BJ108+-2</f>
        <v>9</v>
      </c>
      <c r="BK109" s="5">
        <f>BJ109-BJ108</f>
        <v>-2</v>
      </c>
      <c r="BL109">
        <f>BM109+BN109</f>
        <v>171</v>
      </c>
      <c r="BM109">
        <f>BM108+0</f>
        <v>134</v>
      </c>
      <c r="BN109">
        <f>BN108+0</f>
        <v>37</v>
      </c>
      <c r="BO109" s="5">
        <f>(BM109-BM108)+(BN109-BN108)</f>
        <v>0</v>
      </c>
      <c r="BQ109" s="4">
        <f>BR109+BS109</f>
        <v>888</v>
      </c>
      <c r="BR109">
        <f>BR108+0</f>
        <v>817</v>
      </c>
      <c r="BS109">
        <f>BS108+0</f>
        <v>71</v>
      </c>
      <c r="BT109" s="5">
        <f>(BR109-BR108)+(BS109-BS108)</f>
        <v>0</v>
      </c>
      <c r="BU109">
        <f>BU108+0</f>
        <v>0</v>
      </c>
      <c r="BV109" s="5">
        <f>BU109-BU108</f>
        <v>0</v>
      </c>
      <c r="BW109">
        <f>BX109+BY109</f>
        <v>62</v>
      </c>
      <c r="BX109">
        <f>BX108+0</f>
        <v>48</v>
      </c>
      <c r="BY109">
        <f>BY108+0</f>
        <v>14</v>
      </c>
      <c r="BZ109" s="5">
        <f>(BX109-BX108)+(BY109-BY108)</f>
        <v>0</v>
      </c>
      <c r="CB109" s="4">
        <f>CC109+CD109</f>
        <v>467</v>
      </c>
      <c r="CC109">
        <f>CC108+2</f>
        <v>460</v>
      </c>
      <c r="CD109">
        <f>CD108+0</f>
        <v>7</v>
      </c>
      <c r="CE109" s="5">
        <f>(CC109-CC108)+(CD109-CD108)</f>
        <v>2</v>
      </c>
      <c r="CF109">
        <f>CF108+-2</f>
        <v>0</v>
      </c>
      <c r="CG109" s="5">
        <f>CF109-CF108</f>
        <v>-2</v>
      </c>
      <c r="CH109">
        <f>CI109+CJ109</f>
        <v>14</v>
      </c>
      <c r="CI109">
        <f>CI108+0</f>
        <v>13</v>
      </c>
      <c r="CJ109">
        <f>CJ108+0</f>
        <v>1</v>
      </c>
      <c r="CK109" s="5">
        <f>(CI109-CI108)+(CJ109-CJ108)</f>
        <v>0</v>
      </c>
      <c r="CM109" s="4">
        <f>CN109+CO109</f>
        <v>1240</v>
      </c>
      <c r="CN109">
        <f>CN108+4</f>
        <v>1177</v>
      </c>
      <c r="CO109">
        <f>CO108+0</f>
        <v>63</v>
      </c>
      <c r="CP109" s="5">
        <f>(CN109-CN108)+(CO109-CO108)</f>
        <v>4</v>
      </c>
      <c r="CQ109">
        <f>CQ108+0</f>
        <v>6</v>
      </c>
      <c r="CR109" s="5">
        <f>CQ109-CQ108</f>
        <v>0</v>
      </c>
      <c r="CS109">
        <f>CT109+CU109</f>
        <v>102</v>
      </c>
      <c r="CT109">
        <f>CT108+1</f>
        <v>76</v>
      </c>
      <c r="CU109">
        <f>CU108+0</f>
        <v>26</v>
      </c>
      <c r="CV109" s="5">
        <f>(CT109-CT108)+(CU109-CU108)</f>
        <v>1</v>
      </c>
      <c r="CX109" s="4">
        <f>CY109+CZ109</f>
        <v>342</v>
      </c>
      <c r="CY109">
        <f>CY108+70</f>
        <v>334</v>
      </c>
      <c r="CZ109">
        <f>CZ108+2</f>
        <v>8</v>
      </c>
      <c r="DA109" s="5">
        <f>(CY109-CY108)+(CZ109-CZ108)</f>
        <v>72</v>
      </c>
      <c r="DC109" s="5"/>
      <c r="DD109">
        <f>DE109+DF109</f>
        <v>0</v>
      </c>
      <c r="DE109">
        <f>DE108+0</f>
        <v>0</v>
      </c>
      <c r="DF109">
        <f>DF108+0</f>
        <v>0</v>
      </c>
      <c r="DG109" s="5">
        <f>(DE109-DE108)+(DF109-DF108)</f>
        <v>0</v>
      </c>
      <c r="DI109" s="4">
        <f>N109+Y109+AJ109+AU109+BF109+BQ109+CB109+CM109+CX109</f>
        <v>45235</v>
      </c>
      <c r="DJ109">
        <f>O109+Z109+AK109+AV109+BG109+BR109+CC109+CN109+CY109</f>
        <v>43303</v>
      </c>
      <c r="DK109">
        <f>P109+AA109+AL109+AW109+BH109+BS109+CD109+CO109+CZ109</f>
        <v>1932</v>
      </c>
      <c r="DL109">
        <f>Q109+AB109+AM109+AX109+BI109+BT109+CE109+CP109+DA109</f>
        <v>147</v>
      </c>
      <c r="DM109">
        <f>R109+AC109+AN109+AY109+BJ109+BU109+CF109+CQ109+DB109</f>
        <v>203</v>
      </c>
      <c r="DN109" s="3">
        <f>(DM109/DM108)-1</f>
        <v>-0.0097560975609756184</v>
      </c>
      <c r="DO109">
        <f>T109+AE109+AP109+BA109+BL109+BW109+CH109+CS109+DD109</f>
        <v>4204</v>
      </c>
      <c r="DP109">
        <f>U109+AF109+AQ109+BB109+BM109+BX109+CI109+CT109+DE109</f>
        <v>3356</v>
      </c>
      <c r="DQ109">
        <f>V109+AG109+AR109+BC109+BN109+BY109+CJ109+CU109+DF109</f>
        <v>848</v>
      </c>
      <c r="DR109" s="3">
        <f>((DP109+DQ109)/(DP108+DQ108))-1</f>
        <v>0.00071411568674117909</v>
      </c>
      <c r="DS109" s="1"/>
      <c r="DT109">
        <f>DM109-DM108</f>
        <v>-2</v>
      </c>
      <c r="DV109">
        <v>4</v>
      </c>
      <c r="DW109" t="s">
        <v>36</v>
      </c>
      <c r="DX109" s="8">
        <v>43960</v>
      </c>
      <c r="DY109">
        <v>69</v>
      </c>
      <c r="DZ109">
        <v>377</v>
      </c>
      <c r="EA109">
        <v>12</v>
      </c>
      <c r="GA109" s="10">
        <v>43949</v>
      </c>
      <c r="GB109">
        <v>1012582</v>
      </c>
      <c r="GC109" s="12">
        <f>(GB109/GB108)-1</f>
        <v>0.024676253823883387</v>
      </c>
      <c r="GE109" s="2"/>
      <c r="GV109" s="8">
        <v>43942</v>
      </c>
      <c r="GW109">
        <v>12</v>
      </c>
      <c r="GX109" t="s">
        <v>41</v>
      </c>
      <c r="GY109">
        <v>9</v>
      </c>
      <c r="HB109">
        <v>184</v>
      </c>
      <c r="HC109">
        <v>2</v>
      </c>
    </row>
    <row r="110" spans="1:325" ht="20.25">
      <c r="C110">
        <f>H109*D110</f>
        <v>113.99999999918563</v>
      </c>
      <c r="D110">
        <f>0.00252017243285</f>
        <v>0.00252017243285</v>
      </c>
      <c r="E110" t="s">
        <v>34</v>
      </c>
      <c r="F110" s="10">
        <v>43998</v>
      </c>
      <c r="G110" s="2">
        <f>H110*15</f>
        <v>680234.9999953208</v>
      </c>
      <c r="H110">
        <f>H109+C110</f>
        <v>45348.999999688051</v>
      </c>
      <c r="I110">
        <v>45349</v>
      </c>
      <c r="J110">
        <v>2137731</v>
      </c>
      <c r="K110">
        <f>N110+Y110+AJ110+AU110+BF110+BQ110+CB110+CM110+CX110</f>
        <v>45349</v>
      </c>
      <c r="L110" s="3">
        <f>(K110/K109)-1</f>
        <v>0.0025201724328507424</v>
      </c>
      <c r="N110" s="4">
        <f>O110+P110</f>
        <v>1443</v>
      </c>
      <c r="O110">
        <f>O109+2</f>
        <v>1381</v>
      </c>
      <c r="P110">
        <f>P109+0</f>
        <v>62</v>
      </c>
      <c r="Q110" s="5">
        <f>(O110-O109)+(P110-P109)</f>
        <v>2</v>
      </c>
      <c r="R110">
        <f>R109+0</f>
        <v>3</v>
      </c>
      <c r="S110" s="5">
        <f>R110-R109</f>
        <v>0</v>
      </c>
      <c r="T110">
        <f>U110+V110</f>
        <v>135</v>
      </c>
      <c r="U110">
        <f>U109+0</f>
        <v>114</v>
      </c>
      <c r="V110">
        <f>V109+0</f>
        <v>21</v>
      </c>
      <c r="W110" s="5">
        <f>(U110-U109)+(V110-V109)</f>
        <v>0</v>
      </c>
      <c r="Y110" s="4">
        <f>Z110+AA110</f>
        <v>11261</v>
      </c>
      <c r="Z110">
        <f>Z109+28</f>
        <v>10601</v>
      </c>
      <c r="AA110">
        <f>AA109+2</f>
        <v>660</v>
      </c>
      <c r="AB110" s="5">
        <f>(Z110-Z109)+(AA110-AA109)</f>
        <v>30</v>
      </c>
      <c r="AC110">
        <f>AC109+-4</f>
        <v>48</v>
      </c>
      <c r="AD110" s="5">
        <f>AC110-AC109</f>
        <v>-4</v>
      </c>
      <c r="AE110">
        <f>AF110+AG110</f>
        <v>1330</v>
      </c>
      <c r="AF110">
        <f>AF109+2</f>
        <v>1025</v>
      </c>
      <c r="AG110">
        <f>AG109+0</f>
        <v>305</v>
      </c>
      <c r="AH110" s="5">
        <f>(AF110-AF109)+(AG110-AG109)</f>
        <v>2</v>
      </c>
      <c r="AI110" t="inlineStr">
        <is>
          <t>UPDATED - finished this line's entry and won't require further update.</t>
        </is>
      </c>
      <c r="AJ110" s="4">
        <f>AK110+AL110</f>
        <v>12078</v>
      </c>
      <c r="AK110">
        <f>AK109+24</f>
        <v>11695</v>
      </c>
      <c r="AL110">
        <f>AL109+-1</f>
        <v>383</v>
      </c>
      <c r="AM110" s="5">
        <f>(AK110-AK109)+(AL110-AL109)</f>
        <v>23</v>
      </c>
      <c r="AN110">
        <f>AN109+1</f>
        <v>64</v>
      </c>
      <c r="AO110" s="5">
        <f>AN110-AN109</f>
        <v>1</v>
      </c>
      <c r="AP110">
        <f>AQ110+AR110</f>
        <v>1046</v>
      </c>
      <c r="AQ110">
        <f>AQ109+1</f>
        <v>897</v>
      </c>
      <c r="AR110">
        <f>AR109+0</f>
        <v>149</v>
      </c>
      <c r="AS110" s="5">
        <f>(AQ110-AQ109)+(AR110-AR109)</f>
        <v>1</v>
      </c>
      <c r="AU110" s="4">
        <f>AV110+AW110</f>
        <v>16359</v>
      </c>
      <c r="AV110">
        <f>AV109+21</f>
        <v>15738</v>
      </c>
      <c r="AW110">
        <f>AW109+0</f>
        <v>621</v>
      </c>
      <c r="AX110" s="5">
        <f>(AV110-AV109)+(AW110-AW109)</f>
        <v>21</v>
      </c>
      <c r="AY110">
        <f>AY109+0</f>
        <v>70</v>
      </c>
      <c r="AZ110" s="5">
        <f>AY110-AY109</f>
        <v>0</v>
      </c>
      <c r="BA110">
        <f>BB110+BC110</f>
        <v>1350</v>
      </c>
      <c r="BB110">
        <f>BB109+3</f>
        <v>1055</v>
      </c>
      <c r="BC110">
        <f>BC109+0</f>
        <v>295</v>
      </c>
      <c r="BD110" s="5">
        <f>(BB110-BB109)+(BC110-BC109)</f>
        <v>3</v>
      </c>
      <c r="BF110" s="4">
        <f>BG110+BH110</f>
        <v>1235</v>
      </c>
      <c r="BG110">
        <f>BG109+2</f>
        <v>1177</v>
      </c>
      <c r="BH110">
        <f>BH109+0</f>
        <v>58</v>
      </c>
      <c r="BI110" s="5">
        <f>(BG110-BG109)+(BH110-BH109)</f>
        <v>2</v>
      </c>
      <c r="BJ110">
        <f>BJ109+-1</f>
        <v>8</v>
      </c>
      <c r="BK110" s="5">
        <f>BJ110-BJ109</f>
        <v>-1</v>
      </c>
      <c r="BL110">
        <f>BM110+BN110</f>
        <v>171</v>
      </c>
      <c r="BM110">
        <f>BM109+0</f>
        <v>134</v>
      </c>
      <c r="BN110">
        <f>BN109+0</f>
        <v>37</v>
      </c>
      <c r="BO110" s="5">
        <f>(BM110-BM109)+(BN110-BN109)</f>
        <v>0</v>
      </c>
      <c r="BQ110" s="4">
        <f>BR110+BS110</f>
        <v>888</v>
      </c>
      <c r="BR110">
        <f>BR109+0</f>
        <v>817</v>
      </c>
      <c r="BS110">
        <f>BS109+0</f>
        <v>71</v>
      </c>
      <c r="BT110" s="5">
        <f>(BR110-BR109)+(BS110-BS109)</f>
        <v>0</v>
      </c>
      <c r="BU110">
        <f>BU109+0</f>
        <v>0</v>
      </c>
      <c r="BV110" s="5">
        <f>BU110-BU109</f>
        <v>0</v>
      </c>
      <c r="BW110">
        <f>BX110+BY110</f>
        <v>62</v>
      </c>
      <c r="BX110">
        <f>BX109+0</f>
        <v>48</v>
      </c>
      <c r="BY110">
        <f>BY109+0</f>
        <v>14</v>
      </c>
      <c r="BZ110" s="5">
        <f>(BX110-BX109)+(BY110-BY109)</f>
        <v>0</v>
      </c>
      <c r="CB110" s="4">
        <f>CC110+CD110</f>
        <v>469</v>
      </c>
      <c r="CC110">
        <f>CC109+2</f>
        <v>462</v>
      </c>
      <c r="CD110">
        <f>CD109+0</f>
        <v>7</v>
      </c>
      <c r="CE110" s="5">
        <f>(CC110-CC109)+(CD110-CD109)</f>
        <v>2</v>
      </c>
      <c r="CF110">
        <f>CF109+1</f>
        <v>1</v>
      </c>
      <c r="CG110" s="5">
        <f>CF110-CF109</f>
        <v>1</v>
      </c>
      <c r="CH110">
        <f>CI110+CJ110</f>
        <v>14</v>
      </c>
      <c r="CI110">
        <f>CI109+0</f>
        <v>13</v>
      </c>
      <c r="CJ110">
        <f>CJ109+0</f>
        <v>1</v>
      </c>
      <c r="CK110" s="5">
        <f>(CI110-CI109)+(CJ110-CJ109)</f>
        <v>0</v>
      </c>
      <c r="CM110" s="4">
        <f>CN110+CO110</f>
        <v>1276</v>
      </c>
      <c r="CN110">
        <f>CN109+36</f>
        <v>1213</v>
      </c>
      <c r="CO110">
        <f>CO109+0</f>
        <v>63</v>
      </c>
      <c r="CP110" s="5">
        <f>(CN110-CN109)+(CO110-CO109)</f>
        <v>36</v>
      </c>
      <c r="CQ110">
        <f>CQ109+1</f>
        <v>7</v>
      </c>
      <c r="CR110" s="5">
        <f>CQ110-CQ109</f>
        <v>1</v>
      </c>
      <c r="CS110">
        <f>CT110+CU110</f>
        <v>102</v>
      </c>
      <c r="CT110">
        <f>CT109+0</f>
        <v>76</v>
      </c>
      <c r="CU110">
        <f>CU109+0</f>
        <v>26</v>
      </c>
      <c r="CV110" s="5">
        <f>(CT110-CT109)+(CU110-CU109)</f>
        <v>0</v>
      </c>
      <c r="CX110" s="4">
        <f>CY110+CZ110</f>
        <v>340</v>
      </c>
      <c r="CY110">
        <f>CY109+-3</f>
        <v>331</v>
      </c>
      <c r="CZ110">
        <f>CZ109+1</f>
        <v>9</v>
      </c>
      <c r="DA110" s="5">
        <f>(CY110-CY109)+(CZ110-CZ109)</f>
        <v>-2</v>
      </c>
      <c r="DC110" s="5"/>
      <c r="DD110">
        <f>DE110+DF110</f>
        <v>0</v>
      </c>
      <c r="DE110">
        <f>DE109+0</f>
        <v>0</v>
      </c>
      <c r="DF110">
        <f>DF109+0</f>
        <v>0</v>
      </c>
      <c r="DG110" s="5">
        <f>(DE110-DE109)+(DF110-DF109)</f>
        <v>0</v>
      </c>
      <c r="DH110" t="inlineStr">
        <is>
          <t>tue 16th</t>
        </is>
      </c>
      <c r="DI110" s="4">
        <f>N110+Y110+AJ110+AU110+BF110+BQ110+CB110+CM110+CX110</f>
        <v>45349</v>
      </c>
      <c r="DJ110">
        <f>O110+Z110+AK110+AV110+BG110+BR110+CC110+CN110+CY110</f>
        <v>43415</v>
      </c>
      <c r="DK110">
        <f>P110+AA110+AL110+AW110+BH110+BS110+CD110+CO110+CZ110</f>
        <v>1934</v>
      </c>
      <c r="DL110">
        <f>Q110+AB110+AM110+AX110+BI110+BT110+CE110+CP110+DA110</f>
        <v>114</v>
      </c>
      <c r="DM110">
        <f>R110+AC110+AN110+AY110+BJ110+BU110+CF110+CQ110+DB110</f>
        <v>201</v>
      </c>
      <c r="DN110" s="3">
        <f>(DM110/DM109)-1</f>
        <v>-0.0098522167487684609</v>
      </c>
      <c r="DO110">
        <f>T110+AE110+AP110+BA110+BL110+BW110+CH110+CS110+DD110</f>
        <v>4210</v>
      </c>
      <c r="DP110">
        <f>U110+AF110+AQ110+BB110+BM110+BX110+CI110+CT110+DE110</f>
        <v>3362</v>
      </c>
      <c r="DQ110">
        <f>V110+AG110+AR110+BC110+BN110+BY110+CJ110+CU110+DF110</f>
        <v>848</v>
      </c>
      <c r="DR110" s="3">
        <f>((DP110+DQ110)/(DP109+DQ109))-1</f>
        <v>0.0014272121788772019</v>
      </c>
      <c r="DS110" s="1"/>
      <c r="DT110">
        <f>DM110-DM109</f>
        <v>-2</v>
      </c>
      <c r="DU110" t="inlineStr">
        <is>
          <t>CORRECT - no errors seen.  Ready for permanent record.</t>
        </is>
      </c>
      <c r="DV110">
        <v>4</v>
      </c>
      <c r="DW110" t="s">
        <v>36</v>
      </c>
      <c r="DX110" s="8">
        <v>43961</v>
      </c>
      <c r="DY110">
        <v>71</v>
      </c>
      <c r="DZ110">
        <v>388</v>
      </c>
      <c r="EA110">
        <v>12</v>
      </c>
      <c r="GA110" s="10">
        <v>43950</v>
      </c>
      <c r="GB110">
        <v>1039909</v>
      </c>
      <c r="GC110" s="12">
        <f>(GB110/GB109)-1</f>
        <v>0.026987443979845649</v>
      </c>
      <c r="GE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V110" s="8">
        <v>43943</v>
      </c>
      <c r="GW110">
        <v>12</v>
      </c>
      <c r="GX110" t="s">
        <v>41</v>
      </c>
      <c r="GY110">
        <v>9</v>
      </c>
      <c r="HB110">
        <v>184</v>
      </c>
      <c r="HC110">
        <v>2</v>
      </c>
      <c r="HU110" s="2"/>
    </row>
    <row r="111" spans="1:325" ht="20.25">
      <c r="C111">
        <f>H110*D111</f>
        <v>79.999999999475733</v>
      </c>
      <c r="D111">
        <f>0.0017640962314499999</f>
        <v>0.0017640962314499999</v>
      </c>
      <c r="E111" t="s">
        <v>35</v>
      </c>
      <c r="F111" s="10">
        <v>43999</v>
      </c>
      <c r="G111" s="2">
        <f>H111*15</f>
        <v>681434.99999531289</v>
      </c>
      <c r="H111">
        <f>H110+C111</f>
        <v>45428.999999687527</v>
      </c>
      <c r="I111">
        <v>45429</v>
      </c>
      <c r="J111">
        <v>2163290</v>
      </c>
      <c r="K111">
        <f>N111+Y111+AJ111+AU111+BF111+BQ111+CB111+CM111+CX111</f>
        <v>45429</v>
      </c>
      <c r="L111" s="3">
        <f>(K111/K110)-1</f>
        <v>0.0017640962314493525</v>
      </c>
      <c r="M111" t="inlineStr">
        <is>
          <t>NEW:</t>
        </is>
      </c>
      <c r="N111" s="4">
        <f>O111+P111</f>
        <v>1444</v>
      </c>
      <c r="O111">
        <f>O110+1</f>
        <v>1382</v>
      </c>
      <c r="P111">
        <f>P110+0</f>
        <v>62</v>
      </c>
      <c r="Q111" s="5">
        <f>(O111-O110)+(P111-P110)</f>
        <v>1</v>
      </c>
      <c r="R111">
        <f>R110+2</f>
        <v>5</v>
      </c>
      <c r="S111" s="5">
        <f>R111-R110</f>
        <v>2</v>
      </c>
      <c r="T111">
        <f>U111+V111</f>
        <v>135</v>
      </c>
      <c r="U111">
        <f>U110+0</f>
        <v>114</v>
      </c>
      <c r="V111">
        <f>V110+0</f>
        <v>21</v>
      </c>
      <c r="W111" s="5">
        <f>(U111-U110)+(V111-V110)</f>
        <v>0</v>
      </c>
      <c r="Y111" s="4">
        <f>Z111+AA111</f>
        <v>11284</v>
      </c>
      <c r="Z111">
        <f>Z110+18</f>
        <v>10619</v>
      </c>
      <c r="AA111">
        <f>AA110+5</f>
        <v>665</v>
      </c>
      <c r="AB111" s="5">
        <f>(Z111-Z110)+(AA111-AA110)</f>
        <v>23</v>
      </c>
      <c r="AC111">
        <f>AC110+-6</f>
        <v>42</v>
      </c>
      <c r="AD111" s="5">
        <f>AC111-AC110</f>
        <v>-6</v>
      </c>
      <c r="AE111">
        <f>AF111+AG111</f>
        <v>1331</v>
      </c>
      <c r="AF111">
        <f>AF110+1</f>
        <v>1026</v>
      </c>
      <c r="AG111">
        <f>AG110+0</f>
        <v>305</v>
      </c>
      <c r="AH111" s="5">
        <f>(AF111-AF110)+(AG111-AG110)</f>
        <v>1</v>
      </c>
      <c r="AI111" t="inlineStr">
        <is>
          <t>PROPOSED - open to proposal now - subject to revision.</t>
        </is>
      </c>
      <c r="AJ111" s="4">
        <f>AK111+AL111</f>
        <v>12089</v>
      </c>
      <c r="AK111">
        <f>AK110+11</f>
        <v>11706</v>
      </c>
      <c r="AL111">
        <f>AL110+0</f>
        <v>383</v>
      </c>
      <c r="AM111" s="5">
        <f>(AK111-AK110)+(AL111-AL110)</f>
        <v>11</v>
      </c>
      <c r="AN111">
        <f>AN110+-4</f>
        <v>60</v>
      </c>
      <c r="AO111" s="5">
        <f>AN111-AN110</f>
        <v>-4</v>
      </c>
      <c r="AP111">
        <f>AQ111+AR111</f>
        <v>1052</v>
      </c>
      <c r="AQ111">
        <f>AQ110+6</f>
        <v>903</v>
      </c>
      <c r="AR111">
        <f>AR110+0</f>
        <v>149</v>
      </c>
      <c r="AS111" s="5">
        <f>(AQ111-AQ110)+(AR111-AR110)</f>
        <v>6</v>
      </c>
      <c r="AU111" s="4">
        <f>AV111+AW111</f>
        <v>16381</v>
      </c>
      <c r="AV111">
        <f>AV110+19</f>
        <v>15757</v>
      </c>
      <c r="AW111">
        <f>AW110+3</f>
        <v>624</v>
      </c>
      <c r="AX111" s="5">
        <f>(AV111-AV110)+(AW111-AW110)</f>
        <v>22</v>
      </c>
      <c r="AY111">
        <f>AY110+-2</f>
        <v>68</v>
      </c>
      <c r="AZ111" s="5">
        <f>AY111-AY110</f>
        <v>-2</v>
      </c>
      <c r="BA111">
        <f>BB111+BC111</f>
        <v>1352</v>
      </c>
      <c r="BB111">
        <f>BB110+3</f>
        <v>1058</v>
      </c>
      <c r="BC111">
        <f>BC110+-1</f>
        <v>294</v>
      </c>
      <c r="BD111" s="5">
        <f>(BB111-BB110)+(BC111-BC110)</f>
        <v>2</v>
      </c>
      <c r="BF111" s="4">
        <f>BG111+BH111</f>
        <v>1241</v>
      </c>
      <c r="BG111">
        <f>BG110+5</f>
        <v>1182</v>
      </c>
      <c r="BH111">
        <f>BH110+1</f>
        <v>59</v>
      </c>
      <c r="BI111" s="5">
        <f>(BG111-BG110)+(BH111-BH110)</f>
        <v>6</v>
      </c>
      <c r="BJ111">
        <f>BJ110+-1</f>
        <v>7</v>
      </c>
      <c r="BK111" s="5">
        <f>BJ111-BJ110</f>
        <v>-1</v>
      </c>
      <c r="BL111">
        <f>BM111+BN111</f>
        <v>171</v>
      </c>
      <c r="BM111">
        <f>BM110+0</f>
        <v>134</v>
      </c>
      <c r="BN111">
        <f>BN110+0</f>
        <v>37</v>
      </c>
      <c r="BO111" s="5">
        <f>(BM111-BM110)+(BN111-BN110)</f>
        <v>0</v>
      </c>
      <c r="BQ111" s="4">
        <f>BR111+BS111</f>
        <v>889</v>
      </c>
      <c r="BR111">
        <f>BR110+1</f>
        <v>818</v>
      </c>
      <c r="BS111">
        <f>BS110+0</f>
        <v>71</v>
      </c>
      <c r="BT111" s="5">
        <f>(BR111-BR110)+(BS111-BS110)</f>
        <v>1</v>
      </c>
      <c r="BU111">
        <f>BU110+0</f>
        <v>0</v>
      </c>
      <c r="BV111" s="5">
        <f>BU111-BU110</f>
        <v>0</v>
      </c>
      <c r="BW111">
        <f>BX111+BY111</f>
        <v>63</v>
      </c>
      <c r="BX111">
        <f>BX110+1</f>
        <v>49</v>
      </c>
      <c r="BY111">
        <f>BY110+0</f>
        <v>14</v>
      </c>
      <c r="BZ111" s="5">
        <f>(BX111-BX110)+(BY111-BY110)</f>
        <v>1</v>
      </c>
      <c r="CB111" s="4">
        <f>CC111+CD111</f>
        <v>471</v>
      </c>
      <c r="CC111">
        <f>CC110+2</f>
        <v>464</v>
      </c>
      <c r="CD111">
        <f>CD110+0</f>
        <v>7</v>
      </c>
      <c r="CE111" s="5">
        <f>(CC111-CC110)+(CD111-CD110)</f>
        <v>2</v>
      </c>
      <c r="CF111">
        <f>CF110+0</f>
        <v>1</v>
      </c>
      <c r="CG111" s="5">
        <f>CF111-CF110</f>
        <v>0</v>
      </c>
      <c r="CH111">
        <f>CI111+CJ111</f>
        <v>14</v>
      </c>
      <c r="CI111">
        <f>CI110+0</f>
        <v>13</v>
      </c>
      <c r="CJ111">
        <f>CJ110+0</f>
        <v>1</v>
      </c>
      <c r="CK111" s="5">
        <f>(CI111-CI110)+(CJ111-CJ110)</f>
        <v>0</v>
      </c>
      <c r="CM111" s="4">
        <f>CN111+CO111</f>
        <v>1285</v>
      </c>
      <c r="CN111">
        <f>CN110+10</f>
        <v>1223</v>
      </c>
      <c r="CO111">
        <f>CO110+-1</f>
        <v>62</v>
      </c>
      <c r="CP111" s="5">
        <f>(CN111-CN110)+(CO111-CO110)</f>
        <v>9</v>
      </c>
      <c r="CQ111">
        <f>CQ110+-4</f>
        <v>3</v>
      </c>
      <c r="CR111" s="5">
        <f>CQ111-CQ110</f>
        <v>-4</v>
      </c>
      <c r="CS111">
        <f>CT111+CU111</f>
        <v>101</v>
      </c>
      <c r="CT111">
        <f>CT110+0</f>
        <v>76</v>
      </c>
      <c r="CU111">
        <f>CU110+-1</f>
        <v>25</v>
      </c>
      <c r="CV111" s="5">
        <f>(CT111-CT110)+(CU111-CU110)</f>
        <v>-1</v>
      </c>
      <c r="CX111" s="4">
        <f>CY111+CZ111</f>
        <v>345</v>
      </c>
      <c r="CY111">
        <f>CY110+5</f>
        <v>336</v>
      </c>
      <c r="CZ111">
        <f>CZ110+0</f>
        <v>9</v>
      </c>
      <c r="DA111" s="5">
        <f>(CY111-CY110)+(CZ111-CZ110)</f>
        <v>5</v>
      </c>
      <c r="DC111" s="5"/>
      <c r="DD111">
        <f>DE111+DF111</f>
        <v>0</v>
      </c>
      <c r="DE111">
        <f>DE110+0</f>
        <v>0</v>
      </c>
      <c r="DF111">
        <f>DF110+0</f>
        <v>0</v>
      </c>
      <c r="DG111" s="5">
        <f>(DE111-DE110)+(DF111-DF110)</f>
        <v>0</v>
      </c>
      <c r="DH111" t="inlineStr">
        <is>
          <t>wed 17th</t>
        </is>
      </c>
      <c r="DI111" s="4">
        <f>N111+Y111+AJ111+AU111+BF111+BQ111+CB111+CM111+CX111</f>
        <v>45429</v>
      </c>
      <c r="DJ111">
        <f>O111+Z111+AK111+AV111+BG111+BR111+CC111+CN111+CY111</f>
        <v>43487</v>
      </c>
      <c r="DK111">
        <f>P111+AA111+AL111+AW111+BH111+BS111+CD111+CO111+CZ111</f>
        <v>1942</v>
      </c>
      <c r="DL111">
        <f>Q111+AB111+AM111+AX111+BI111+BT111+CE111+CP111+DA111</f>
        <v>80</v>
      </c>
      <c r="DM111">
        <f>R111+AC111+AN111+AY111+BJ111+BU111+CF111+CQ111+DB111</f>
        <v>186</v>
      </c>
      <c r="DN111" s="3">
        <f>(DM111/DM110)-1</f>
        <v>-0.074626865671641784</v>
      </c>
      <c r="DO111">
        <f>T111+AE111+AP111+BA111+BL111+BW111+CH111+CS111+DD111</f>
        <v>4219</v>
      </c>
      <c r="DP111">
        <f>U111+AF111+AQ111+BB111+BM111+BX111+CI111+CT111+DE111</f>
        <v>3373</v>
      </c>
      <c r="DQ111">
        <f>V111+AG111+AR111+BC111+BN111+BY111+CJ111+CU111+DF111</f>
        <v>846</v>
      </c>
      <c r="DR111" s="3">
        <f>((DP111+DQ111)/(DP110+DQ110))-1</f>
        <v>0.0021377672209026422</v>
      </c>
      <c r="DS111" s="1"/>
      <c r="DT111">
        <f>DM111-DM110</f>
        <v>-15</v>
      </c>
      <c r="DV111">
        <v>4</v>
      </c>
      <c r="DW111" t="s">
        <v>36</v>
      </c>
      <c r="DX111" s="8">
        <v>43962</v>
      </c>
      <c r="DY111">
        <v>71</v>
      </c>
      <c r="DZ111">
        <v>388</v>
      </c>
      <c r="EA111">
        <v>12</v>
      </c>
      <c r="GA111" s="10">
        <v>43951</v>
      </c>
      <c r="GB111">
        <v>1069424</v>
      </c>
      <c r="GC111" s="12">
        <f>(GB111/GB110)-1</f>
        <v>0.028382291142782679</v>
      </c>
      <c r="GE111" s="2"/>
      <c r="GV111" s="8">
        <v>43944</v>
      </c>
      <c r="GW111">
        <v>12</v>
      </c>
      <c r="GX111" t="s">
        <v>41</v>
      </c>
      <c r="GY111">
        <v>9</v>
      </c>
      <c r="HB111">
        <v>184</v>
      </c>
      <c r="HC111">
        <v>2</v>
      </c>
    </row>
    <row r="112" spans="1:325" ht="20.25">
      <c r="C112">
        <f>H111*D112</f>
        <v>80.141127697990811</v>
      </c>
      <c r="D112">
        <f>D111</f>
        <v>0.0017640962314499999</v>
      </c>
      <c r="E112" t="s">
        <v>37</v>
      </c>
      <c r="F112" t="inlineStr">
        <is>
          <t>day two</t>
        </is>
      </c>
      <c r="G112" s="2">
        <f>H112*15</f>
        <v>682637.11691078276</v>
      </c>
      <c r="H112">
        <f>H111+C112</f>
        <v>45509.141127385519</v>
      </c>
      <c r="I112" s="1"/>
      <c r="J112" s="1"/>
      <c r="K112" s="1"/>
      <c r="L112" s="1"/>
      <c r="O112" s="1"/>
      <c r="P112" s="1"/>
      <c r="Q112" s="1"/>
      <c r="R112" s="1"/>
      <c r="S112" s="1"/>
      <c r="T112" s="1"/>
      <c r="U112" s="1"/>
      <c r="V112" s="1"/>
      <c r="W112" s="1"/>
      <c r="Z112" s="1"/>
      <c r="AA112" s="1"/>
      <c r="AB112" s="1"/>
      <c r="AC112" s="1"/>
      <c r="AD112" s="1"/>
      <c r="AE112" s="1"/>
      <c r="AF112" s="1"/>
      <c r="AG112" s="1"/>
      <c r="AH112" s="1"/>
      <c r="AK112" s="1"/>
      <c r="AL112" s="1"/>
      <c r="AM112" s="1"/>
      <c r="AN112" s="1"/>
      <c r="AO112" s="1"/>
      <c r="AP112" s="1"/>
      <c r="AQ112" s="1"/>
      <c r="AR112" s="1"/>
      <c r="AS112" s="1"/>
      <c r="AV112" s="1"/>
      <c r="AW112" s="1"/>
      <c r="AX112" s="1"/>
      <c r="AY112" s="1"/>
      <c r="AZ112" s="1"/>
      <c r="BA112" s="1"/>
      <c r="BB112" s="1"/>
      <c r="BC112" s="1"/>
      <c r="BD112" s="1"/>
      <c r="BG112" s="1"/>
      <c r="BH112" s="1"/>
      <c r="BI112" s="1"/>
      <c r="BJ112" s="1"/>
      <c r="BK112" s="1"/>
      <c r="BL112" s="1"/>
      <c r="BM112" s="1"/>
      <c r="BN112" s="1"/>
      <c r="BO112" s="1"/>
      <c r="BR112" s="1"/>
      <c r="BS112" s="1"/>
      <c r="BT112" s="1"/>
      <c r="BU112" s="1"/>
      <c r="BV112" s="1"/>
      <c r="BW112" s="1"/>
      <c r="BX112" s="1"/>
      <c r="BY112" s="1"/>
      <c r="BZ112" s="1"/>
      <c r="CC112" s="1"/>
      <c r="CD112" s="1"/>
      <c r="CE112" s="1"/>
      <c r="CF112" s="1"/>
      <c r="CG112" s="1"/>
      <c r="CH112" s="1"/>
      <c r="CI112" s="1"/>
      <c r="CJ112" s="1"/>
      <c r="CK112" s="1"/>
      <c r="CN112" s="1"/>
      <c r="CO112" s="1"/>
      <c r="CP112" s="1"/>
      <c r="CQ112" s="1"/>
      <c r="CR112" s="1"/>
      <c r="CS112" s="1"/>
      <c r="CT112" s="1"/>
      <c r="CU112" s="1"/>
      <c r="CV112" s="1"/>
      <c r="CY112" s="1"/>
      <c r="CZ112" s="1"/>
      <c r="DA112" s="1"/>
      <c r="DB112" s="1"/>
      <c r="DC112" s="1"/>
      <c r="DD112" s="1"/>
      <c r="DE112" s="1"/>
      <c r="DF112" s="1"/>
      <c r="DG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V112">
        <v>4</v>
      </c>
      <c r="DW112" t="s">
        <v>36</v>
      </c>
      <c r="DX112" s="8">
        <v>43963</v>
      </c>
      <c r="DY112">
        <v>73</v>
      </c>
      <c r="DZ112">
        <v>399</v>
      </c>
      <c r="EA112">
        <v>12</v>
      </c>
      <c r="GA112" s="10">
        <v>43952</v>
      </c>
      <c r="GB112">
        <v>1103461</v>
      </c>
      <c r="GC112" s="12">
        <f>(GB112/GB111)-1</f>
        <v>0.031827413635751478</v>
      </c>
      <c r="GE112" s="2"/>
      <c r="GV112" s="8">
        <v>43945</v>
      </c>
      <c r="GW112">
        <v>12</v>
      </c>
      <c r="GX112" t="s">
        <v>41</v>
      </c>
      <c r="GY112">
        <v>9</v>
      </c>
      <c r="HB112">
        <v>184</v>
      </c>
      <c r="HC112">
        <v>2</v>
      </c>
    </row>
    <row r="113" spans="1:325" ht="20.25">
      <c r="C113">
        <f>H112*D113</f>
        <v>80.282504359347001</v>
      </c>
      <c r="D113">
        <f>D112</f>
        <v>0.0017640962314499999</v>
      </c>
      <c r="E113" t="s">
        <v>38</v>
      </c>
      <c r="F113" t="inlineStr">
        <is>
          <t>day three</t>
        </is>
      </c>
      <c r="G113" s="2">
        <f>H113*15</f>
        <v>683841.35447617294</v>
      </c>
      <c r="H113">
        <f>H112+C113</f>
        <v>45589.423631744867</v>
      </c>
      <c r="I113" s="1"/>
      <c r="K113" s="1"/>
      <c r="O113" s="1"/>
      <c r="P113" s="1"/>
      <c r="R113" s="1"/>
      <c r="U113" s="1"/>
      <c r="V113" s="1"/>
      <c r="W113" s="1"/>
      <c r="Z113" s="1"/>
      <c r="AA113" s="1"/>
      <c r="AB113" s="3"/>
      <c r="AC113" s="1"/>
      <c r="AF113" s="1"/>
      <c r="AG113" s="1"/>
      <c r="AH113" s="1"/>
      <c r="AK113" s="1"/>
      <c r="AL113" s="1"/>
      <c r="AM113" s="3"/>
      <c r="AN113" s="1"/>
      <c r="AQ113" s="1"/>
      <c r="AR113" s="1"/>
      <c r="AS113" s="1"/>
      <c r="AV113" s="1"/>
      <c r="AW113" s="1"/>
      <c r="AX113" s="3"/>
      <c r="AY113" s="1"/>
      <c r="BB113" s="1"/>
      <c r="BC113" s="1"/>
      <c r="BD113" s="1"/>
      <c r="BG113" s="1"/>
      <c r="BH113" s="1"/>
      <c r="BI113" s="3"/>
      <c r="BJ113" s="1"/>
      <c r="BM113" s="1"/>
      <c r="BN113" s="1"/>
      <c r="BO113" s="1"/>
      <c r="BR113" s="1"/>
      <c r="BS113" s="1"/>
      <c r="BT113" s="3"/>
      <c r="BU113" s="1"/>
      <c r="BX113" s="1"/>
      <c r="BY113" s="1"/>
      <c r="BZ113" s="1"/>
      <c r="CC113" s="1"/>
      <c r="CD113" s="1"/>
      <c r="CE113" s="3"/>
      <c r="CF113" s="1"/>
      <c r="CI113" s="1"/>
      <c r="CJ113" s="1"/>
      <c r="CK113" s="1"/>
      <c r="CN113" s="1"/>
      <c r="CO113" s="1"/>
      <c r="CP113" s="3"/>
      <c r="CQ113" s="1"/>
      <c r="CT113" s="1"/>
      <c r="CU113" s="1"/>
      <c r="CV113" s="1"/>
      <c r="CY113" s="1"/>
      <c r="CZ113" s="1"/>
      <c r="DA113" s="3"/>
      <c r="DB113" s="1"/>
      <c r="DE113" s="1"/>
      <c r="DF113" s="1"/>
      <c r="DG113" s="1"/>
      <c r="DJ113" s="1"/>
      <c r="DK113" s="1"/>
      <c r="DL113" s="3"/>
      <c r="DM113" s="1"/>
      <c r="DP113" s="1"/>
      <c r="DQ113" s="1"/>
      <c r="DR113" s="1"/>
      <c r="DV113">
        <v>4</v>
      </c>
      <c r="DW113" t="s">
        <v>36</v>
      </c>
      <c r="DX113" s="8">
        <v>43964</v>
      </c>
      <c r="DY113">
        <v>73</v>
      </c>
      <c r="DZ113">
        <v>399</v>
      </c>
      <c r="EA113">
        <v>12</v>
      </c>
      <c r="GA113" s="10">
        <v>43953</v>
      </c>
      <c r="GB113">
        <v>1132539</v>
      </c>
      <c r="GC113" s="12">
        <f>(GB113/GB112)-1</f>
        <v>0.026351633632724747</v>
      </c>
      <c r="GE113" s="2"/>
      <c r="GV113" s="8">
        <v>43946</v>
      </c>
      <c r="GW113">
        <v>12</v>
      </c>
      <c r="GX113" t="s">
        <v>41</v>
      </c>
      <c r="GY113">
        <v>9</v>
      </c>
      <c r="HB113">
        <v>184</v>
      </c>
      <c r="HC113">
        <v>2</v>
      </c>
    </row>
    <row r="114" spans="1:325" ht="20.25">
      <c r="C114">
        <f>H113*D114</f>
        <v>80.424130422738685</v>
      </c>
      <c r="D114">
        <f>D113</f>
        <v>0.0017640962314499999</v>
      </c>
      <c r="E114" t="s">
        <v>40</v>
      </c>
      <c r="F114" t="inlineStr">
        <is>
          <t>day four</t>
        </is>
      </c>
      <c r="G114" s="2">
        <f>H114*15</f>
        <v>685047.71643251413</v>
      </c>
      <c r="H114">
        <f>H113+C114</f>
        <v>45669.847762167607</v>
      </c>
      <c r="I114" s="1"/>
      <c r="K114" s="1"/>
      <c r="L114" s="4"/>
      <c r="W114" s="1"/>
      <c r="AB114" s="3"/>
      <c r="AH114" s="1"/>
      <c r="AM114" s="3"/>
      <c r="AS114" s="1"/>
      <c r="AX114" s="3"/>
      <c r="BD114" s="1"/>
      <c r="BI114" s="3"/>
      <c r="BO114" s="1"/>
      <c r="BT114" s="3"/>
      <c r="BZ114" s="1"/>
      <c r="CE114" s="3"/>
      <c r="CK114" s="1"/>
      <c r="CP114" s="3"/>
      <c r="CV114" s="1"/>
      <c r="DA114" s="3"/>
      <c r="DG114" s="1"/>
      <c r="DL114" s="3"/>
      <c r="DR114" s="1"/>
      <c r="DV114">
        <v>4</v>
      </c>
      <c r="DW114" t="s">
        <v>36</v>
      </c>
      <c r="DX114" s="8">
        <v>43965</v>
      </c>
      <c r="DY114">
        <v>75</v>
      </c>
      <c r="DZ114">
        <v>410</v>
      </c>
      <c r="EA114">
        <v>13</v>
      </c>
      <c r="GA114" s="10">
        <v>43954</v>
      </c>
      <c r="GB114">
        <v>1158040</v>
      </c>
      <c r="GC114" s="12">
        <f>(GB114/GB113)-1</f>
        <v>0.022516663885305599</v>
      </c>
      <c r="GV114" s="8">
        <v>43947</v>
      </c>
      <c r="GW114">
        <v>12</v>
      </c>
      <c r="GX114" t="s">
        <v>41</v>
      </c>
      <c r="GY114">
        <v>9</v>
      </c>
      <c r="HB114">
        <v>184</v>
      </c>
      <c r="HC114">
        <v>2</v>
      </c>
    </row>
    <row r="115" spans="1:325" ht="20.25">
      <c r="C115">
        <f>H114*D115</f>
        <v>80.566006328135089</v>
      </c>
      <c r="D115">
        <f>D114</f>
        <v>0.0017640962314499999</v>
      </c>
      <c r="E115" t="s">
        <v>30</v>
      </c>
      <c r="F115" t="inlineStr">
        <is>
          <t>day five</t>
        </is>
      </c>
      <c r="G115" s="2">
        <f>H115*15</f>
        <v>686256.20652743604</v>
      </c>
      <c r="H115">
        <f>H114+C115</f>
        <v>45750.413768495739</v>
      </c>
      <c r="K115" s="4"/>
      <c r="L115" s="1"/>
      <c r="O115" s="1"/>
      <c r="P115" s="1"/>
      <c r="Q115" s="1"/>
      <c r="R115" s="1"/>
      <c r="S115" s="1"/>
      <c r="T115" s="1"/>
      <c r="U115" s="1"/>
      <c r="V115" s="1"/>
      <c r="W115" s="1"/>
      <c r="Z115" s="1"/>
      <c r="AA115" s="1"/>
      <c r="AB115" s="1"/>
      <c r="AC115" s="1"/>
      <c r="AD115" s="1"/>
      <c r="AE115" s="1"/>
      <c r="AF115" s="1"/>
      <c r="AG115" s="1"/>
      <c r="AH115" s="1"/>
      <c r="AK115" s="1"/>
      <c r="AL115" s="1"/>
      <c r="AM115" s="1"/>
      <c r="AN115" s="1"/>
      <c r="AO115" s="1"/>
      <c r="AP115" s="1"/>
      <c r="AQ115" s="1"/>
      <c r="AR115" s="1"/>
      <c r="AS115" s="1"/>
      <c r="AV115" s="1"/>
      <c r="AW115" s="1"/>
      <c r="AX115" s="1"/>
      <c r="AY115" s="1"/>
      <c r="AZ115" s="1"/>
      <c r="BA115" s="1"/>
      <c r="BB115" s="1"/>
      <c r="BC115" s="1"/>
      <c r="BD115" s="1"/>
      <c r="BG115" s="1"/>
      <c r="BH115" s="1"/>
      <c r="BI115" s="1"/>
      <c r="BJ115" s="1"/>
      <c r="BK115" s="1"/>
      <c r="BL115" s="1"/>
      <c r="BM115" s="1"/>
      <c r="BN115" s="1"/>
      <c r="BO115" s="1"/>
      <c r="BR115" s="1"/>
      <c r="BS115" s="1"/>
      <c r="BT115" s="1"/>
      <c r="BU115" s="1"/>
      <c r="BV115" s="1"/>
      <c r="BW115" s="1"/>
      <c r="BX115" s="1"/>
      <c r="BY115" s="1"/>
      <c r="BZ115" s="1"/>
      <c r="CC115" s="1"/>
      <c r="CD115" s="1"/>
      <c r="CE115" s="1"/>
      <c r="CF115" s="1"/>
      <c r="CG115" s="1"/>
      <c r="CH115" s="1"/>
      <c r="CI115" s="1"/>
      <c r="CJ115" s="1"/>
      <c r="CK115" s="1"/>
      <c r="CN115" s="1"/>
      <c r="CO115" s="1"/>
      <c r="CP115" s="1"/>
      <c r="CQ115" s="1"/>
      <c r="CR115" s="1"/>
      <c r="CS115" s="1"/>
      <c r="CT115" s="1"/>
      <c r="CU115" s="1"/>
      <c r="CV115" s="1"/>
      <c r="CY115" s="1"/>
      <c r="CZ115" s="1"/>
      <c r="DA115" s="1"/>
      <c r="DB115" s="1"/>
      <c r="DC115" s="1"/>
      <c r="DD115" s="1"/>
      <c r="DE115" s="1"/>
      <c r="DF115" s="1"/>
      <c r="DG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V115">
        <v>4</v>
      </c>
      <c r="DW115" t="s">
        <v>36</v>
      </c>
      <c r="DX115" s="8">
        <v>43966</v>
      </c>
      <c r="DY115">
        <v>77</v>
      </c>
      <c r="DZ115">
        <v>421</v>
      </c>
      <c r="EA115">
        <v>13</v>
      </c>
      <c r="GA115" s="10">
        <v>43955</v>
      </c>
      <c r="GB115">
        <v>1180375</v>
      </c>
      <c r="GC115" s="13">
        <f>(GB115/GB114)-1</f>
        <v>0.019286898552727028</v>
      </c>
      <c r="GE115" t="inlineStr">
        <is>
          <t>&lt;&lt; Under two percent - add one more digit of precision for context</t>
        </is>
      </c>
      <c r="GV115" s="8">
        <v>43948</v>
      </c>
      <c r="GW115">
        <v>12</v>
      </c>
      <c r="GX115" t="s">
        <v>41</v>
      </c>
      <c r="GY115">
        <v>9</v>
      </c>
      <c r="HB115">
        <v>184</v>
      </c>
      <c r="HC115">
        <v>2</v>
      </c>
    </row>
    <row r="116" spans="1:325" ht="20.29">
      <c r="C116">
        <f>H115*D116</f>
        <v>80.708132516281523</v>
      </c>
      <c r="D116">
        <f>D115</f>
        <v>0.0017640962314499999</v>
      </c>
      <c r="E116" t="s">
        <v>33</v>
      </c>
      <c r="F116" t="inlineStr">
        <is>
          <t>above: moving target</t>
        </is>
      </c>
      <c r="G116" s="2">
        <f>H116*15</f>
        <v>687466.82851518027</v>
      </c>
      <c r="H116">
        <f>H115+C116</f>
        <v>45831.121901012018</v>
      </c>
      <c r="L116" s="1"/>
      <c r="M116" t="inlineStr">
        <is>
          <t>total (entry):</t>
        </is>
      </c>
      <c r="O116">
        <v>1382</v>
      </c>
      <c r="P116">
        <v>62</v>
      </c>
      <c r="Q116" s="5"/>
      <c r="R116">
        <v>5</v>
      </c>
      <c r="S116" s="5"/>
      <c r="U116">
        <v>114</v>
      </c>
      <c r="V116">
        <v>21</v>
      </c>
      <c r="W116" s="1"/>
      <c r="Z116">
        <v>10619</v>
      </c>
      <c r="AA116">
        <v>665</v>
      </c>
      <c r="AB116" s="5"/>
      <c r="AC116">
        <v>42</v>
      </c>
      <c r="AD116" s="5"/>
      <c r="AF116">
        <v>1026</v>
      </c>
      <c r="AG116">
        <v>305</v>
      </c>
      <c r="AH116" s="1"/>
      <c r="AK116">
        <v>11706</v>
      </c>
      <c r="AL116">
        <v>383</v>
      </c>
      <c r="AM116" s="5"/>
      <c r="AN116">
        <v>60</v>
      </c>
      <c r="AO116" s="5"/>
      <c r="AQ116">
        <v>903</v>
      </c>
      <c r="AR116">
        <v>149</v>
      </c>
      <c r="AS116" s="1"/>
      <c r="AV116">
        <v>15757</v>
      </c>
      <c r="AW116">
        <v>624</v>
      </c>
      <c r="AX116" s="5"/>
      <c r="AY116">
        <v>68</v>
      </c>
      <c r="AZ116" s="5"/>
      <c r="BB116">
        <v>1058</v>
      </c>
      <c r="BC116">
        <v>294</v>
      </c>
      <c r="BD116" s="1"/>
      <c r="BG116">
        <v>1182</v>
      </c>
      <c r="BH116">
        <v>59</v>
      </c>
      <c r="BI116" s="5"/>
      <c r="BJ116">
        <v>7</v>
      </c>
      <c r="BK116" s="5"/>
      <c r="BM116">
        <v>134</v>
      </c>
      <c r="BN116">
        <v>37</v>
      </c>
      <c r="BO116" s="1"/>
      <c r="BR116">
        <v>818</v>
      </c>
      <c r="BS116">
        <v>71</v>
      </c>
      <c r="BT116" s="5"/>
      <c r="BU116">
        <v>0</v>
      </c>
      <c r="BV116" s="5"/>
      <c r="BX116">
        <v>49</v>
      </c>
      <c r="BY116">
        <v>14</v>
      </c>
      <c r="BZ116" s="1"/>
      <c r="CC116">
        <v>464</v>
      </c>
      <c r="CD116">
        <v>7</v>
      </c>
      <c r="CE116" s="5"/>
      <c r="CF116">
        <v>1</v>
      </c>
      <c r="CG116" s="5"/>
      <c r="CI116">
        <v>13</v>
      </c>
      <c r="CJ116">
        <v>1</v>
      </c>
      <c r="CK116" s="1"/>
      <c r="CN116">
        <v>1223</v>
      </c>
      <c r="CO116">
        <v>62</v>
      </c>
      <c r="CP116" s="5"/>
      <c r="CQ116">
        <v>3</v>
      </c>
      <c r="CR116" s="5"/>
      <c r="CT116">
        <v>76</v>
      </c>
      <c r="CU116">
        <v>25</v>
      </c>
      <c r="CV116" s="1"/>
      <c r="CY116">
        <v>336</v>
      </c>
      <c r="CZ116">
        <v>9</v>
      </c>
      <c r="DA116" s="5"/>
      <c r="DC116" s="5"/>
      <c r="DE116">
        <v>0</v>
      </c>
      <c r="DF116">
        <v>0</v>
      </c>
      <c r="DG116" s="1"/>
      <c r="DJ116">
        <v>43487</v>
      </c>
      <c r="DK116">
        <v>1942</v>
      </c>
      <c r="DL116" s="5"/>
      <c r="DM116">
        <v>186</v>
      </c>
      <c r="DN116" s="5"/>
      <c r="DP116">
        <v>3373</v>
      </c>
      <c r="DQ116">
        <v>846</v>
      </c>
      <c r="DR116" s="1"/>
      <c r="DS116" s="1"/>
      <c r="DT116" s="1"/>
      <c r="DV116">
        <v>5</v>
      </c>
      <c r="DW116" t="s">
        <v>32</v>
      </c>
      <c r="DX116" s="8">
        <v>43914</v>
      </c>
      <c r="DY116">
        <v>0</v>
      </c>
      <c r="EA116">
        <v>0</v>
      </c>
      <c r="GA116" s="10">
        <v>43956</v>
      </c>
      <c r="GB116">
        <v>1204351</v>
      </c>
      <c r="GC116" s="13">
        <f>(GB116/GB115)-1</f>
        <v>0.020312188923011787</v>
      </c>
      <c r="GV116" s="8">
        <v>43949</v>
      </c>
      <c r="GW116">
        <v>12</v>
      </c>
      <c r="GX116" t="s">
        <v>41</v>
      </c>
      <c r="GY116">
        <v>9</v>
      </c>
      <c r="HB116">
        <v>184</v>
      </c>
      <c r="HC116">
        <v>2</v>
      </c>
    </row>
    <row r="117" spans="1:325" ht="20.29">
      <c r="C117">
        <f>H116*D117</f>
        <v>80.85050942870086</v>
      </c>
      <c r="D117">
        <f>D116</f>
        <v>0.0017640962314499999</v>
      </c>
      <c r="E117" t="s">
        <v>34</v>
      </c>
      <c r="F117" s="10">
        <v>44005</v>
      </c>
      <c r="G117" s="2">
        <f>H117*15</f>
        <v>688679.58615661087</v>
      </c>
      <c r="H117">
        <f>H116+C117</f>
        <v>45911.972410440721</v>
      </c>
      <c r="J117" s="1"/>
      <c r="L117" s="1"/>
      <c r="M117" t="inlineStr">
        <is>
          <t>ext. Difference:</t>
        </is>
      </c>
      <c r="O117">
        <f>O116-O110</f>
        <v>1</v>
      </c>
      <c r="P117">
        <f>P116-P110</f>
        <v>0</v>
      </c>
      <c r="R117">
        <f>R116-R110</f>
        <v>2</v>
      </c>
      <c r="S117" s="3"/>
      <c r="T117" s="3"/>
      <c r="U117">
        <f>U116-U110</f>
        <v>0</v>
      </c>
      <c r="V117">
        <f>V116-V110</f>
        <v>0</v>
      </c>
      <c r="W117" s="3"/>
      <c r="Z117">
        <f>Z116-Z110</f>
        <v>18</v>
      </c>
      <c r="AA117">
        <f>AA116-AA110</f>
        <v>5</v>
      </c>
      <c r="AB117" s="3"/>
      <c r="AC117">
        <f>AC116-AC110</f>
        <v>-6</v>
      </c>
      <c r="AD117" s="3"/>
      <c r="AE117" s="3"/>
      <c r="AF117">
        <f>AF116-AF110</f>
        <v>1</v>
      </c>
      <c r="AG117">
        <f>AG116-AG110</f>
        <v>0</v>
      </c>
      <c r="AH117" s="3"/>
      <c r="AK117">
        <f>AK116-AK110</f>
        <v>11</v>
      </c>
      <c r="AL117">
        <f>AL116-AL110</f>
        <v>0</v>
      </c>
      <c r="AM117" s="3"/>
      <c r="AN117">
        <f>AN116-AN110</f>
        <v>-4</v>
      </c>
      <c r="AO117" s="3"/>
      <c r="AP117" s="3"/>
      <c r="AQ117">
        <f>AQ116-AQ110</f>
        <v>6</v>
      </c>
      <c r="AR117">
        <f>AR116-AR110</f>
        <v>0</v>
      </c>
      <c r="AS117" s="3"/>
      <c r="AV117">
        <f>AV116-AV110</f>
        <v>19</v>
      </c>
      <c r="AW117">
        <f>AW116-AW110</f>
        <v>3</v>
      </c>
      <c r="AX117" s="3"/>
      <c r="AY117">
        <f>AY116-AY110</f>
        <v>-2</v>
      </c>
      <c r="AZ117" s="3"/>
      <c r="BA117" s="3"/>
      <c r="BB117">
        <f>BB116-BB110</f>
        <v>3</v>
      </c>
      <c r="BC117">
        <f>BC116-BC110</f>
        <v>-1</v>
      </c>
      <c r="BD117" s="3"/>
      <c r="BG117">
        <f>BG116-BG110</f>
        <v>5</v>
      </c>
      <c r="BH117">
        <f>BH116-BH110</f>
        <v>1</v>
      </c>
      <c r="BI117" s="3"/>
      <c r="BJ117">
        <f>BJ116-BJ110</f>
        <v>-1</v>
      </c>
      <c r="BK117" s="3"/>
      <c r="BL117" s="3"/>
      <c r="BM117">
        <f>BM116-BM110</f>
        <v>0</v>
      </c>
      <c r="BN117">
        <f>BN116-BN110</f>
        <v>0</v>
      </c>
      <c r="BO117" s="3"/>
      <c r="BR117">
        <f>BR116-BR110</f>
        <v>1</v>
      </c>
      <c r="BS117">
        <f>BS116-BS110</f>
        <v>0</v>
      </c>
      <c r="BT117" s="3"/>
      <c r="BU117">
        <f>BU116-BU110</f>
        <v>0</v>
      </c>
      <c r="BV117" s="3"/>
      <c r="BW117" s="3"/>
      <c r="BX117">
        <f>BX116-BX110</f>
        <v>1</v>
      </c>
      <c r="BY117">
        <f>BY116-BY110</f>
        <v>0</v>
      </c>
      <c r="BZ117" s="3"/>
      <c r="CC117">
        <f>CC116-CC110</f>
        <v>2</v>
      </c>
      <c r="CD117">
        <f>CD116-CD110</f>
        <v>0</v>
      </c>
      <c r="CE117" s="3"/>
      <c r="CF117">
        <f>CF116-CF110</f>
        <v>0</v>
      </c>
      <c r="CG117" s="3"/>
      <c r="CH117" s="3"/>
      <c r="CI117">
        <f>CI116-CI110</f>
        <v>0</v>
      </c>
      <c r="CJ117">
        <f>CJ116-CJ110</f>
        <v>0</v>
      </c>
      <c r="CK117" s="3"/>
      <c r="CN117">
        <f>CN116-CN110</f>
        <v>10</v>
      </c>
      <c r="CO117">
        <f>CO116-CO110</f>
        <v>-1</v>
      </c>
      <c r="CP117" s="3"/>
      <c r="CQ117">
        <f>CQ116-CQ110</f>
        <v>-4</v>
      </c>
      <c r="CR117" s="3"/>
      <c r="CS117" s="3"/>
      <c r="CT117">
        <f>CT116-CT110</f>
        <v>0</v>
      </c>
      <c r="CU117">
        <f>CU116-CU110</f>
        <v>-1</v>
      </c>
      <c r="CV117" s="3"/>
      <c r="CY117">
        <f>CY116-CY110</f>
        <v>5</v>
      </c>
      <c r="CZ117">
        <f>CZ116-CZ110</f>
        <v>0</v>
      </c>
      <c r="DA117" s="3"/>
      <c r="DC117" s="3"/>
      <c r="DD117" s="3"/>
      <c r="DE117">
        <f>DE116-DE110</f>
        <v>0</v>
      </c>
      <c r="DF117">
        <f>DF116-DF110</f>
        <v>0</v>
      </c>
      <c r="DG117" s="3"/>
      <c r="DJ117">
        <f>DJ116-DJ110</f>
        <v>72</v>
      </c>
      <c r="DK117">
        <f>DK116-DK110</f>
        <v>8</v>
      </c>
      <c r="DL117" s="3"/>
      <c r="DM117">
        <f>DM116-DM110</f>
        <v>-15</v>
      </c>
      <c r="DN117" s="3"/>
      <c r="DO117" s="3"/>
      <c r="DP117">
        <f>DP116-DP110</f>
        <v>11</v>
      </c>
      <c r="DQ117">
        <f>DQ116-DQ110</f>
        <v>-2</v>
      </c>
      <c r="DR117" s="3"/>
      <c r="DV117">
        <v>5</v>
      </c>
      <c r="DW117" t="s">
        <v>32</v>
      </c>
      <c r="DX117" s="8">
        <v>43915</v>
      </c>
      <c r="DY117">
        <v>0</v>
      </c>
      <c r="EA117">
        <v>0</v>
      </c>
      <c r="GA117" s="10">
        <v>43957</v>
      </c>
      <c r="GB117">
        <v>1229331</v>
      </c>
      <c r="GC117" s="13">
        <f>(GB117/GB116)-1</f>
        <v>0.02074146158387391</v>
      </c>
      <c r="GV117" s="8">
        <v>43950</v>
      </c>
      <c r="GW117">
        <v>12</v>
      </c>
      <c r="GX117" t="s">
        <v>41</v>
      </c>
      <c r="GY117">
        <v>9</v>
      </c>
      <c r="HB117">
        <v>184</v>
      </c>
      <c r="HC117">
        <v>2</v>
      </c>
    </row>
    <row r="118" spans="1:325" ht="20.29">
      <c r="C118">
        <f>H117*D118</f>
        <v>80.99313750769484</v>
      </c>
      <c r="D118">
        <f>D117</f>
        <v>0.0017640962314499999</v>
      </c>
      <c r="E118" t="s">
        <v>35</v>
      </c>
      <c r="F118" s="10">
        <v>44006</v>
      </c>
      <c r="G118" s="2">
        <f>H118*15</f>
        <v>689894.48321922624</v>
      </c>
      <c r="H118">
        <f>H117+C118</f>
        <v>45992.965547948414</v>
      </c>
      <c r="L118" s="1"/>
      <c r="M118" t="inlineStr">
        <is>
          <t>int. Difference:</t>
        </is>
      </c>
      <c r="O118">
        <f>O111-O110</f>
        <v>1</v>
      </c>
      <c r="P118">
        <f>P111-P110</f>
        <v>0</v>
      </c>
      <c r="R118">
        <f>R111-R110</f>
        <v>2</v>
      </c>
      <c r="S118" s="3"/>
      <c r="T118" s="3"/>
      <c r="U118">
        <f>U111-U110</f>
        <v>0</v>
      </c>
      <c r="V118">
        <f>V111-V110</f>
        <v>0</v>
      </c>
      <c r="W118" s="3"/>
      <c r="Z118">
        <f>Z111-Z110</f>
        <v>18</v>
      </c>
      <c r="AA118">
        <f>AA111-AA110</f>
        <v>5</v>
      </c>
      <c r="AB118" s="3"/>
      <c r="AC118">
        <f>AC111-AC110</f>
        <v>-6</v>
      </c>
      <c r="AD118" s="3"/>
      <c r="AE118" s="3"/>
      <c r="AF118">
        <f>AF111-AF110</f>
        <v>1</v>
      </c>
      <c r="AG118">
        <f>AG111-AG110</f>
        <v>0</v>
      </c>
      <c r="AH118" s="3"/>
      <c r="AK118">
        <f>AK111-AK110</f>
        <v>11</v>
      </c>
      <c r="AL118">
        <f>AL111-AL110</f>
        <v>0</v>
      </c>
      <c r="AM118" s="3"/>
      <c r="AN118">
        <f>AN111-AN110</f>
        <v>-4</v>
      </c>
      <c r="AO118" s="3"/>
      <c r="AP118" s="3"/>
      <c r="AQ118">
        <f>AQ111-AQ110</f>
        <v>6</v>
      </c>
      <c r="AR118">
        <f>AR111-AR110</f>
        <v>0</v>
      </c>
      <c r="AS118" s="3"/>
      <c r="AV118">
        <f>AV111-AV110</f>
        <v>19</v>
      </c>
      <c r="AW118">
        <f>AW111-AW110</f>
        <v>3</v>
      </c>
      <c r="AX118" s="3"/>
      <c r="AY118">
        <f>AY111-AY110</f>
        <v>-2</v>
      </c>
      <c r="AZ118" s="3"/>
      <c r="BA118" s="3"/>
      <c r="BB118">
        <f>BB111-BB110</f>
        <v>3</v>
      </c>
      <c r="BC118">
        <f>BC111-BC110</f>
        <v>-1</v>
      </c>
      <c r="BD118" s="3"/>
      <c r="BG118">
        <f>BG111-BG110</f>
        <v>5</v>
      </c>
      <c r="BH118">
        <f>BH111-BH110</f>
        <v>1</v>
      </c>
      <c r="BI118" s="3"/>
      <c r="BJ118">
        <f>BJ111-BJ110</f>
        <v>-1</v>
      </c>
      <c r="BK118" s="3"/>
      <c r="BL118" s="3"/>
      <c r="BM118">
        <f>BM111-BM110</f>
        <v>0</v>
      </c>
      <c r="BN118">
        <f>BN111-BN110</f>
        <v>0</v>
      </c>
      <c r="BO118" s="3"/>
      <c r="BR118">
        <f>BR111-BR110</f>
        <v>1</v>
      </c>
      <c r="BS118">
        <f>BS111-BS110</f>
        <v>0</v>
      </c>
      <c r="BT118" s="3"/>
      <c r="BU118">
        <f>BU111-BU110</f>
        <v>0</v>
      </c>
      <c r="BV118" s="3"/>
      <c r="BW118" s="3"/>
      <c r="BX118">
        <f>BX111-BX110</f>
        <v>1</v>
      </c>
      <c r="BY118">
        <f>BY111-BY110</f>
        <v>0</v>
      </c>
      <c r="BZ118" s="3"/>
      <c r="CC118">
        <f>CC111-CC110</f>
        <v>2</v>
      </c>
      <c r="CD118">
        <f>CD111-CD110</f>
        <v>0</v>
      </c>
      <c r="CE118" s="3"/>
      <c r="CF118">
        <f>CF111-CF110</f>
        <v>0</v>
      </c>
      <c r="CG118" s="3"/>
      <c r="CH118" s="3"/>
      <c r="CI118">
        <f>CI111-CI110</f>
        <v>0</v>
      </c>
      <c r="CJ118">
        <f>CJ111-CJ110</f>
        <v>0</v>
      </c>
      <c r="CK118" s="3"/>
      <c r="CN118">
        <f>CN111-CN110</f>
        <v>10</v>
      </c>
      <c r="CO118">
        <f>CO111-CO110</f>
        <v>-1</v>
      </c>
      <c r="CP118" s="3"/>
      <c r="CQ118">
        <f>CQ111-CQ110</f>
        <v>-4</v>
      </c>
      <c r="CR118" s="3"/>
      <c r="CS118" s="3"/>
      <c r="CT118">
        <f>CT111-CT110</f>
        <v>0</v>
      </c>
      <c r="CU118">
        <f>CU111-CU110</f>
        <v>-1</v>
      </c>
      <c r="CV118" s="3"/>
      <c r="CY118">
        <f>CY111-CY110</f>
        <v>5</v>
      </c>
      <c r="CZ118">
        <f>CZ111-CZ110</f>
        <v>0</v>
      </c>
      <c r="DA118" s="3"/>
      <c r="DC118" s="3"/>
      <c r="DD118" s="3"/>
      <c r="DE118">
        <f>DE111-DE110</f>
        <v>0</v>
      </c>
      <c r="DF118">
        <f>DF111-DF110</f>
        <v>0</v>
      </c>
      <c r="DG118" s="3"/>
      <c r="DJ118">
        <f>DJ111-DJ110</f>
        <v>72</v>
      </c>
      <c r="DK118">
        <f>DK111-DK110</f>
        <v>8</v>
      </c>
      <c r="DL118" s="3"/>
      <c r="DM118">
        <f>DM111-DM110</f>
        <v>-15</v>
      </c>
      <c r="DN118" s="3"/>
      <c r="DO118" s="3"/>
      <c r="DP118">
        <f>DP111-DP110</f>
        <v>11</v>
      </c>
      <c r="DQ118">
        <f>DQ111-DQ110</f>
        <v>-2</v>
      </c>
      <c r="DR118" s="3"/>
      <c r="DV118">
        <v>5</v>
      </c>
      <c r="DW118" t="s">
        <v>32</v>
      </c>
      <c r="DX118" s="8">
        <v>43916</v>
      </c>
      <c r="DY118">
        <v>0</v>
      </c>
      <c r="EA118">
        <v>0</v>
      </c>
      <c r="GA118" s="10">
        <v>43958</v>
      </c>
      <c r="GB118">
        <v>1257023</v>
      </c>
      <c r="GC118" s="13">
        <f>(GB118/GB117)-1</f>
        <v>0.022526073124325308</v>
      </c>
      <c r="GH118" t="s">
        <v>1</v>
      </c>
      <c r="GV118" s="8">
        <v>43951</v>
      </c>
      <c r="GW118">
        <v>12</v>
      </c>
      <c r="GX118" t="s">
        <v>41</v>
      </c>
      <c r="GY118">
        <v>10</v>
      </c>
      <c r="HB118">
        <v>204</v>
      </c>
      <c r="HC118">
        <v>2</v>
      </c>
    </row>
    <row r="119" spans="1:325" ht="20.25">
      <c r="C119">
        <f>H118*D119</f>
        <v>81.136017196345477</v>
      </c>
      <c r="D119">
        <f>D118</f>
        <v>0.0017640962314499999</v>
      </c>
      <c r="E119" t="s">
        <v>37</v>
      </c>
      <c r="F119" s="10">
        <v>44007</v>
      </c>
      <c r="G119" s="2">
        <f>H119*15</f>
        <v>691111.52347717143</v>
      </c>
      <c r="H119">
        <f>H118+C119</f>
        <v>46074.10156514476</v>
      </c>
      <c r="K119" s="1"/>
      <c r="L119" s="1"/>
      <c r="S119" s="3"/>
      <c r="T119" s="3"/>
      <c r="W119" s="3"/>
      <c r="AB119" s="3"/>
      <c r="AD119" s="3"/>
      <c r="AE119" s="3"/>
      <c r="AH119" s="3"/>
      <c r="AM119" s="3"/>
      <c r="AO119" s="3"/>
      <c r="AP119" s="3"/>
      <c r="AS119" s="3"/>
      <c r="AX119" s="3"/>
      <c r="AZ119" s="3"/>
      <c r="BA119" s="3"/>
      <c r="BD119" s="3"/>
      <c r="BI119" s="3"/>
      <c r="BK119" s="3"/>
      <c r="BL119" s="3"/>
      <c r="BO119" s="3"/>
      <c r="BT119" s="3"/>
      <c r="BV119" s="3"/>
      <c r="BW119" s="3"/>
      <c r="BZ119" s="3"/>
      <c r="CE119" s="3"/>
      <c r="CG119" s="3"/>
      <c r="CH119" s="3"/>
      <c r="CK119" s="3"/>
      <c r="CP119" s="3"/>
      <c r="CR119" s="3"/>
      <c r="CS119" s="3"/>
      <c r="CV119" s="3"/>
      <c r="DA119" s="3"/>
      <c r="DC119" s="3"/>
      <c r="DD119" s="3"/>
      <c r="DG119" s="3"/>
      <c r="DL119" s="3"/>
      <c r="DN119" s="3"/>
      <c r="DO119" s="3"/>
      <c r="DR119" s="3"/>
      <c r="DV119">
        <v>5</v>
      </c>
      <c r="DW119" t="s">
        <v>32</v>
      </c>
      <c r="DX119" s="8">
        <v>43917</v>
      </c>
      <c r="DY119">
        <v>0</v>
      </c>
      <c r="EA119">
        <v>0</v>
      </c>
      <c r="GA119" s="10">
        <v>43959</v>
      </c>
      <c r="GB119">
        <v>1283929</v>
      </c>
      <c r="GC119" s="13">
        <f>(GB119/GB118)-1</f>
        <v>0.021404540728371613</v>
      </c>
      <c r="GV119" s="8">
        <v>43952</v>
      </c>
      <c r="GW119">
        <v>12</v>
      </c>
      <c r="GX119" t="s">
        <v>41</v>
      </c>
      <c r="GY119">
        <v>11</v>
      </c>
      <c r="HB119">
        <v>225</v>
      </c>
      <c r="HC119">
        <v>2</v>
      </c>
    </row>
    <row r="120" spans="1:325" ht="20.25">
      <c r="C120">
        <f>H119*D120</f>
        <v>81.279148938516414</v>
      </c>
      <c r="D120">
        <f>D119</f>
        <v>0.0017640962314499999</v>
      </c>
      <c r="E120" t="s">
        <v>38</v>
      </c>
      <c r="F120" s="10">
        <v>44008</v>
      </c>
      <c r="G120" s="2">
        <f>H120*15</f>
        <v>692330.71071124915</v>
      </c>
      <c r="H120">
        <f>H119+C120</f>
        <v>46155.38071408328</v>
      </c>
      <c r="L120" s="1"/>
      <c r="O120" s="1"/>
      <c r="P120" s="1"/>
      <c r="Q120" s="1"/>
      <c r="R120" s="1"/>
      <c r="S120" s="1"/>
      <c r="T120" s="1"/>
      <c r="U120" s="1"/>
      <c r="V120" s="1"/>
      <c r="W120" s="1"/>
      <c r="Z120" s="1"/>
      <c r="AA120" s="1"/>
      <c r="AB120" s="1"/>
      <c r="AC120" s="1"/>
      <c r="AD120" s="1"/>
      <c r="AE120" s="1"/>
      <c r="AF120" s="1"/>
      <c r="AG120" s="1"/>
      <c r="AH120" s="1"/>
      <c r="AK120" s="1"/>
      <c r="AL120" s="1"/>
      <c r="AM120" s="1"/>
      <c r="AN120" s="1"/>
      <c r="AO120" s="1"/>
      <c r="AP120" s="1"/>
      <c r="AQ120" s="1"/>
      <c r="AR120" s="1"/>
      <c r="AS120" s="1"/>
      <c r="AV120" s="1"/>
      <c r="AW120" s="1"/>
      <c r="AX120" s="1"/>
      <c r="AY120" s="1"/>
      <c r="AZ120" s="1"/>
      <c r="BA120" s="1"/>
      <c r="BB120" s="1"/>
      <c r="BC120" s="1"/>
      <c r="BD120" s="1"/>
      <c r="BG120" s="1"/>
      <c r="BH120" s="1"/>
      <c r="BI120" s="1"/>
      <c r="BJ120" s="1"/>
      <c r="BK120" s="1"/>
      <c r="BL120" s="1"/>
      <c r="BM120" s="1"/>
      <c r="BN120" s="1"/>
      <c r="BO120" s="1"/>
      <c r="BR120" s="1"/>
      <c r="BS120" s="1"/>
      <c r="BT120" s="1"/>
      <c r="BU120" s="1"/>
      <c r="BV120" s="1"/>
      <c r="BW120" s="1"/>
      <c r="BX120" s="1"/>
      <c r="BY120" s="1"/>
      <c r="BZ120" s="1"/>
      <c r="CC120" s="1"/>
      <c r="CD120" s="1"/>
      <c r="CE120" s="1"/>
      <c r="CF120" s="1"/>
      <c r="CG120" s="1"/>
      <c r="CH120" s="1"/>
      <c r="CI120" s="1"/>
      <c r="CJ120" s="1"/>
      <c r="CK120" s="1"/>
      <c r="CN120" s="1"/>
      <c r="CO120" s="1"/>
      <c r="CP120" s="1"/>
      <c r="CQ120" s="1"/>
      <c r="CR120" s="1"/>
      <c r="CS120" s="1"/>
      <c r="CT120" s="1"/>
      <c r="CU120" s="1"/>
      <c r="CV120" s="1"/>
      <c r="CY120" s="1"/>
      <c r="CZ120" s="1"/>
      <c r="DA120" s="1"/>
      <c r="DB120" s="1"/>
      <c r="DC120" s="1"/>
      <c r="DD120" s="1"/>
      <c r="DE120" s="1"/>
      <c r="DF120" s="1"/>
      <c r="DG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V120">
        <v>5</v>
      </c>
      <c r="DW120" t="s">
        <v>32</v>
      </c>
      <c r="DX120" s="8">
        <v>43918</v>
      </c>
      <c r="DY120">
        <v>0</v>
      </c>
      <c r="EA120">
        <v>0</v>
      </c>
      <c r="GA120" s="10">
        <v>43960</v>
      </c>
      <c r="GB120">
        <v>1309550</v>
      </c>
      <c r="GC120" s="13">
        <f>(GB120/GB119)-1</f>
        <v>0.019955153283398142</v>
      </c>
      <c r="GV120" s="8">
        <v>43953</v>
      </c>
      <c r="GW120">
        <v>12</v>
      </c>
      <c r="GX120" t="s">
        <v>41</v>
      </c>
      <c r="GY120">
        <v>13</v>
      </c>
      <c r="HB120">
        <v>266</v>
      </c>
      <c r="HC120">
        <v>3</v>
      </c>
    </row>
    <row r="121" spans="1:325" ht="20.29">
      <c r="C121">
        <f>H120*D121</f>
        <v>81.422533178854323</v>
      </c>
      <c r="D121">
        <f>D120</f>
        <v>0.0017640962314499999</v>
      </c>
      <c r="E121" t="s">
        <v>40</v>
      </c>
      <c r="F121" s="10">
        <v>44009</v>
      </c>
      <c r="G121" s="2">
        <f>H121*15</f>
        <v>693552.04870893201</v>
      </c>
      <c r="H121">
        <f>H120+C121</f>
        <v>46236.803247262134</v>
      </c>
      <c r="M121" s="2" t="inlineStr">
        <is>
          <t>TODAY:</t>
        </is>
      </c>
      <c r="N121" s="2"/>
      <c r="O121" s="3">
        <f>(O111/O110)-1</f>
        <v>0.00072411296162200323</v>
      </c>
      <c r="P121" s="3">
        <f>(P111/P110)-1</f>
        <v>0</v>
      </c>
      <c r="R121" s="3">
        <f>(R111/R110)-1</f>
        <v>0.66666666666666674</v>
      </c>
      <c r="S121" s="3"/>
      <c r="T121" s="3"/>
      <c r="U121" s="3">
        <f>(U111/U110)-1</f>
        <v>0</v>
      </c>
      <c r="V121" s="3">
        <f>(V111/V110)-1</f>
        <v>0</v>
      </c>
      <c r="W121" s="3"/>
      <c r="X121" s="3"/>
      <c r="Y121" s="2"/>
      <c r="Z121" s="3">
        <f>(Z111/Z110)-1</f>
        <v>0.0016979530232996698</v>
      </c>
      <c r="AA121" s="3">
        <f>(AA111/AA110)-1</f>
        <v>0.007575757575757569</v>
      </c>
      <c r="AB121" s="3"/>
      <c r="AC121" s="3">
        <f>(AC111/AC110)-1</f>
        <v>-0.125</v>
      </c>
      <c r="AD121" s="3"/>
      <c r="AE121" s="3"/>
      <c r="AF121" s="3">
        <f>(AF111/AF110)-1</f>
        <v>0.00097560975609756184</v>
      </c>
      <c r="AG121" s="3">
        <f>(AG111/AG110)-1</f>
        <v>0</v>
      </c>
      <c r="AH121" s="3"/>
      <c r="AI121" s="3"/>
      <c r="AJ121" s="2"/>
      <c r="AK121" s="3">
        <f>(AK111/AK110)-1</f>
        <v>0.00094057289439941627</v>
      </c>
      <c r="AL121" s="3">
        <f>(AL111/AL110)-1</f>
        <v>0</v>
      </c>
      <c r="AM121" s="3"/>
      <c r="AN121" s="3">
        <f>(AN111/AN110)-1</f>
        <v>-0.0625</v>
      </c>
      <c r="AO121" s="3"/>
      <c r="AP121" s="3"/>
      <c r="AQ121" s="3">
        <f>(AQ111/AQ110)-1</f>
        <v>0.0066889632107023367</v>
      </c>
      <c r="AR121" s="3">
        <f>(AR111/AR110)-1</f>
        <v>0</v>
      </c>
      <c r="AS121" s="3"/>
      <c r="AT121" s="3"/>
      <c r="AU121" s="2"/>
      <c r="AV121" s="3">
        <f>(AV111/AV110)-1</f>
        <v>0.0012072690303723821</v>
      </c>
      <c r="AW121" s="3">
        <f>(AW111/AW110)-1</f>
        <v>0.0048309178743961567</v>
      </c>
      <c r="AX121" s="3"/>
      <c r="AY121" s="3">
        <f>(AY111/AY110)-1</f>
        <v>-0.028571428571428581</v>
      </c>
      <c r="AZ121" s="3"/>
      <c r="BA121" s="3"/>
      <c r="BB121" s="3">
        <f>(BB111/BB110)-1</f>
        <v>0.0028436018957345155</v>
      </c>
      <c r="BC121" s="3">
        <f>(BC111/BC110)-1</f>
        <v>-0.0033898305084745228</v>
      </c>
      <c r="BD121" s="3"/>
      <c r="BE121" s="3"/>
      <c r="BF121" s="2"/>
      <c r="BG121" s="3">
        <f>(BG111/BG110)-1</f>
        <v>0.0042480883602378228</v>
      </c>
      <c r="BH121" s="3">
        <f>(BH111/BH110)-1</f>
        <v>0.017241379310344751</v>
      </c>
      <c r="BI121" s="3"/>
      <c r="BJ121" s="3">
        <f>(BJ111/BJ110)-1</f>
        <v>-0.125</v>
      </c>
      <c r="BK121" s="3"/>
      <c r="BL121" s="3"/>
      <c r="BM121" s="3">
        <f>(BM111/BM110)-1</f>
        <v>0</v>
      </c>
      <c r="BN121" s="3">
        <f>(BN111/BN110)-1</f>
        <v>0</v>
      </c>
      <c r="BO121" s="3"/>
      <c r="BP121" s="3"/>
      <c r="BQ121" s="2"/>
      <c r="BR121" s="3">
        <f>(BR111/BR110)-1</f>
        <v>0.001223990208078396</v>
      </c>
      <c r="BS121" s="3">
        <f>(BS111/BS110)-1</f>
        <v>0</v>
      </c>
      <c r="BT121" s="3"/>
      <c r="BU121" s="3">
        <f>0.0001</f>
        <v>0.0001</v>
      </c>
      <c r="BV121" s="3"/>
      <c r="BW121" s="3"/>
      <c r="BX121" s="3">
        <f>(BX111/BX110)-1</f>
        <v>0.020833333333333259</v>
      </c>
      <c r="BY121" s="3">
        <f>(BY111/BY110)-1</f>
        <v>0</v>
      </c>
      <c r="BZ121" s="3"/>
      <c r="CA121" s="3"/>
      <c r="CB121" s="2"/>
      <c r="CC121" s="3">
        <f>(CC111/CC110)-1</f>
        <v>0.0043290043290042934</v>
      </c>
      <c r="CD121" s="3">
        <f>(CD111/CD110)-1</f>
        <v>0</v>
      </c>
      <c r="CE121" s="3"/>
      <c r="CF121" s="3">
        <f>(CF111/CF110)-1</f>
        <v>0</v>
      </c>
      <c r="CG121" s="3"/>
      <c r="CH121" s="3"/>
      <c r="CI121" s="3">
        <f>(CI111/CI110)-1</f>
        <v>0</v>
      </c>
      <c r="CJ121" s="3">
        <f>(CJ111/CJ110)-1</f>
        <v>0</v>
      </c>
      <c r="CK121" s="3"/>
      <c r="CL121" s="3"/>
      <c r="CM121" s="2"/>
      <c r="CN121" s="3">
        <f>(CN111/CN110)-1</f>
        <v>0.0082440230832645511</v>
      </c>
      <c r="CO121" s="3">
        <f>(CO111/CO110)-1</f>
        <v>-0.015873015873015928</v>
      </c>
      <c r="CP121" s="3"/>
      <c r="CQ121" s="3">
        <f>(CQ111/CQ110)-1</f>
        <v>-0.5714285714285714</v>
      </c>
      <c r="CR121" s="3"/>
      <c r="CS121" s="3"/>
      <c r="CT121" s="3">
        <f>(CT111/CT110)-1</f>
        <v>0</v>
      </c>
      <c r="CU121" s="3">
        <f>(CU111/CU110)-1</f>
        <v>-0.038461538461538436</v>
      </c>
      <c r="CV121" s="3"/>
      <c r="CW121" s="3"/>
      <c r="CX121" s="2"/>
      <c r="CY121" s="3">
        <f>(CY111/CY110)-1</f>
        <v>0.015105740181268867</v>
      </c>
      <c r="CZ121" s="3">
        <f>(CZ111/CZ110)-1</f>
        <v>0</v>
      </c>
      <c r="DA121" s="3"/>
      <c r="DB121" s="3"/>
      <c r="DC121" s="3"/>
      <c r="DD121" s="3"/>
      <c r="DE121" s="3">
        <f>0.0001</f>
        <v>0.0001</v>
      </c>
      <c r="DF121" s="3">
        <f>0.0001</f>
        <v>0.0001</v>
      </c>
      <c r="DG121" s="3"/>
      <c r="DH121" s="3"/>
      <c r="DI121" s="2"/>
      <c r="DJ121" s="3">
        <f>(DJ111/DJ110)-1</f>
        <v>0.0016584129909018586</v>
      </c>
      <c r="DK121" s="3">
        <f>(DK111/DK110)-1</f>
        <v>0.0041365046535677408</v>
      </c>
      <c r="DL121" s="3"/>
      <c r="DM121" s="3">
        <f>(DM111/DM110)-1</f>
        <v>-0.074626865671641784</v>
      </c>
      <c r="DN121" s="3"/>
      <c r="DO121" s="3"/>
      <c r="DP121" s="3">
        <f>(DP111/DP110)-1</f>
        <v>0.0032718619869125387</v>
      </c>
      <c r="DQ121" s="3">
        <f>(DQ111/DQ110)-1</f>
        <v>-0.0023584905660377631</v>
      </c>
      <c r="DR121" s="3"/>
      <c r="DS121" s="3"/>
      <c r="DT121" s="3"/>
      <c r="DV121">
        <v>5</v>
      </c>
      <c r="DW121" t="s">
        <v>32</v>
      </c>
      <c r="DX121" s="8">
        <v>43919</v>
      </c>
      <c r="DY121">
        <v>0</v>
      </c>
      <c r="EA121">
        <v>0</v>
      </c>
      <c r="GA121" s="10">
        <v>43961</v>
      </c>
      <c r="GB121">
        <v>1329260</v>
      </c>
      <c r="GC121" s="13">
        <f>(GB121/GB120)-1</f>
        <v>0.015050971707838645</v>
      </c>
      <c r="GV121" s="8">
        <v>43954</v>
      </c>
      <c r="GW121">
        <v>12</v>
      </c>
      <c r="GX121" t="s">
        <v>41</v>
      </c>
      <c r="GY121">
        <v>13</v>
      </c>
      <c r="HB121">
        <v>266</v>
      </c>
      <c r="HC121">
        <v>3</v>
      </c>
    </row>
    <row r="122" spans="1:325" ht="20.25">
      <c r="C122">
        <f>H121*D122</f>
        <v>81.566170362790245</v>
      </c>
      <c r="D122">
        <f>D121</f>
        <v>0.0017640962314499999</v>
      </c>
      <c r="E122" t="s">
        <v>30</v>
      </c>
      <c r="F122" s="10">
        <v>44010</v>
      </c>
      <c r="G122" s="2">
        <f>H122*15</f>
        <v>694775.54126437393</v>
      </c>
      <c r="H122">
        <f>H121+C122</f>
        <v>46318.369417624926</v>
      </c>
      <c r="M122" s="2"/>
      <c r="N122" s="2"/>
      <c r="Y122" s="2"/>
      <c r="AB122" s="3"/>
      <c r="AJ122" s="2"/>
      <c r="AM122" s="3"/>
      <c r="AU122" s="2"/>
      <c r="AX122" s="3"/>
      <c r="BF122" s="2"/>
      <c r="BI122" s="3"/>
      <c r="BQ122" s="2"/>
      <c r="BT122" s="3"/>
      <c r="CB122" s="2"/>
      <c r="CE122" s="3"/>
      <c r="CM122" s="2"/>
      <c r="CP122" s="3"/>
      <c r="CX122" s="2"/>
      <c r="DA122" s="3"/>
      <c r="DI122" s="2"/>
      <c r="DL122" s="3"/>
      <c r="DV122">
        <v>5</v>
      </c>
      <c r="DW122" t="s">
        <v>32</v>
      </c>
      <c r="DX122" s="8">
        <v>43920</v>
      </c>
      <c r="DY122">
        <v>0</v>
      </c>
      <c r="EA122">
        <v>0</v>
      </c>
      <c r="GA122" s="10">
        <v>43962</v>
      </c>
      <c r="GB122">
        <v>1347881</v>
      </c>
      <c r="GC122" s="13">
        <f>(GB122/GB121)-1</f>
        <v>0.014008546108360997</v>
      </c>
      <c r="GV122" s="8">
        <v>43955</v>
      </c>
      <c r="GW122">
        <v>12</v>
      </c>
      <c r="GX122" t="s">
        <v>41</v>
      </c>
      <c r="GY122">
        <v>14</v>
      </c>
      <c r="HB122">
        <v>286</v>
      </c>
      <c r="HC122">
        <v>3</v>
      </c>
    </row>
    <row r="123" spans="1:325" ht="20.25">
      <c r="C123">
        <f>H122*D123</f>
        <v>81.710060936541055</v>
      </c>
      <c r="D123">
        <f>D122</f>
        <v>0.0017640962314499999</v>
      </c>
      <c r="E123" t="s">
        <v>33</v>
      </c>
      <c r="F123" s="10">
        <v>44011</v>
      </c>
      <c r="G123" s="2">
        <f>H123*15</f>
        <v>696001.19217842212</v>
      </c>
      <c r="H123">
        <f>H122+C123</f>
        <v>46400.079478561471</v>
      </c>
      <c r="M123" s="2"/>
      <c r="N123" s="2"/>
      <c r="Y123" s="2"/>
      <c r="AB123" s="3"/>
      <c r="AJ123" s="2"/>
      <c r="AM123" s="3"/>
      <c r="AU123" s="2"/>
      <c r="AX123" s="3"/>
      <c r="BF123" s="2"/>
      <c r="BI123" s="3"/>
      <c r="BQ123" s="2"/>
      <c r="BT123" s="3"/>
      <c r="CB123" s="2"/>
      <c r="CE123" s="3"/>
      <c r="CM123" s="2"/>
      <c r="CP123" s="3"/>
      <c r="CX123" s="2"/>
      <c r="DA123" s="3"/>
      <c r="DI123" s="2"/>
      <c r="DL123" s="3"/>
      <c r="DV123">
        <v>5</v>
      </c>
      <c r="DW123" t="s">
        <v>32</v>
      </c>
      <c r="DX123" s="8">
        <v>43921</v>
      </c>
      <c r="DY123">
        <v>0</v>
      </c>
      <c r="EA123">
        <v>0</v>
      </c>
      <c r="GA123" s="10">
        <v>43963</v>
      </c>
      <c r="GB123">
        <v>1369376</v>
      </c>
      <c r="GC123" s="13">
        <f>(GB123/GB122)-1</f>
        <v>0.01594725350383297</v>
      </c>
      <c r="GV123" s="8">
        <v>43956</v>
      </c>
      <c r="GW123">
        <v>12</v>
      </c>
      <c r="GX123" t="s">
        <v>41</v>
      </c>
      <c r="GY123">
        <v>15</v>
      </c>
      <c r="HB123">
        <v>307</v>
      </c>
      <c r="HC123">
        <v>3</v>
      </c>
    </row>
    <row r="124" spans="1:325" ht="20.29">
      <c r="C124">
        <f>H123*D124</f>
        <v>81.854205347110764</v>
      </c>
      <c r="D124">
        <f>D123</f>
        <v>0.0017640962314499999</v>
      </c>
      <c r="E124" t="s">
        <v>34</v>
      </c>
      <c r="F124" s="10">
        <v>44012</v>
      </c>
      <c r="G124" s="2">
        <f>H124*15</f>
        <v>697229.00525862875</v>
      </c>
      <c r="H124">
        <f>H123+C124</f>
        <v>46481.933683908581</v>
      </c>
      <c r="M124" s="2" t="inlineStr">
        <is>
          <t>Yesterday:</t>
        </is>
      </c>
      <c r="N124" s="2"/>
      <c r="O124" s="3">
        <f>0.001</f>
        <v>0.001</v>
      </c>
      <c r="P124" s="3">
        <f>0.0001</f>
        <v>0.0001</v>
      </c>
      <c r="R124" s="3">
        <f>1.0000000000000001e-05</f>
        <v>1.0000000000000001e-05</v>
      </c>
      <c r="S124" s="3"/>
      <c r="T124" s="3"/>
      <c r="U124" s="3">
        <f>0.0001</f>
        <v>0.0001</v>
      </c>
      <c r="V124" s="3">
        <f>1.0000000000000001e-05</f>
        <v>1.0000000000000001e-05</v>
      </c>
      <c r="W124" s="3"/>
      <c r="X124" s="3"/>
      <c r="Y124" s="2"/>
      <c r="Z124" s="3">
        <f>0.0030000000000000001</f>
        <v>0.0030000000000000001</v>
      </c>
      <c r="AA124" s="3">
        <f>0.0030000000000000001</f>
        <v>0.0030000000000000001</v>
      </c>
      <c r="AB124" s="3"/>
      <c r="AC124" s="3">
        <f>-0.076999999999999999</f>
        <v>-0.076999999999999999</v>
      </c>
      <c r="AD124" s="3"/>
      <c r="AE124" s="3"/>
      <c r="AF124" s="3">
        <f>0.002</f>
        <v>0.002</v>
      </c>
      <c r="AG124" s="3">
        <f>0.0001</f>
        <v>0.0001</v>
      </c>
      <c r="AH124" s="3"/>
      <c r="AI124" s="3"/>
      <c r="AJ124" s="2"/>
      <c r="AK124" s="3">
        <f>0.002</f>
        <v>0.002</v>
      </c>
      <c r="AL124" s="3">
        <f>-0.0030000000000000001</f>
        <v>-0.0030000000000000001</v>
      </c>
      <c r="AM124" s="3"/>
      <c r="AN124" s="3">
        <f>0.016</f>
        <v>0.016</v>
      </c>
      <c r="AO124" s="3"/>
      <c r="AP124" s="3"/>
      <c r="AQ124" s="3">
        <f>0.001</f>
        <v>0.001</v>
      </c>
      <c r="AR124" s="3">
        <f>1.0000000000000001e-05</f>
        <v>1.0000000000000001e-05</v>
      </c>
      <c r="AS124" s="3"/>
      <c r="AT124" s="3"/>
      <c r="AU124" s="2"/>
      <c r="AV124" s="3">
        <f>0.001</f>
        <v>0.001</v>
      </c>
      <c r="AW124" s="3">
        <f>0.0001</f>
        <v>0.0001</v>
      </c>
      <c r="AX124" s="3"/>
      <c r="AY124" s="3">
        <f>0.0001</f>
        <v>0.0001</v>
      </c>
      <c r="AZ124" s="3"/>
      <c r="BA124" s="3"/>
      <c r="BB124" s="3">
        <f>0.0030000000000000001</f>
        <v>0.0030000000000000001</v>
      </c>
      <c r="BC124" s="3">
        <f>0.0001</f>
        <v>0.0001</v>
      </c>
      <c r="BD124" s="3"/>
      <c r="BE124" s="3"/>
      <c r="BF124" s="2"/>
      <c r="BG124" s="3">
        <f>0.002</f>
        <v>0.002</v>
      </c>
      <c r="BH124" s="3">
        <f>0.0001</f>
        <v>0.0001</v>
      </c>
      <c r="BI124" s="3"/>
      <c r="BJ124" s="3">
        <f>-0.111</f>
        <v>-0.111</v>
      </c>
      <c r="BK124" s="3"/>
      <c r="BL124" s="3"/>
      <c r="BM124" s="3">
        <f>1.0000000000000001e-05</f>
        <v>1.0000000000000001e-05</v>
      </c>
      <c r="BN124" s="3">
        <f>1.0000000000000001e-05</f>
        <v>1.0000000000000001e-05</v>
      </c>
      <c r="BO124" s="3"/>
      <c r="BP124" s="3"/>
      <c r="BQ124" s="2"/>
      <c r="BR124" s="3">
        <f>1.0000000000000001e-05</f>
        <v>1.0000000000000001e-05</v>
      </c>
      <c r="BS124" s="3">
        <f>0</f>
        <v>0</v>
      </c>
      <c r="BT124" s="3"/>
      <c r="BU124" s="3">
        <f>1.0000000000000001e-05</f>
        <v>1.0000000000000001e-05</v>
      </c>
      <c r="BV124" s="3"/>
      <c r="BW124" s="3"/>
      <c r="BX124" s="3">
        <f>1.0000000000000001e-05</f>
        <v>1.0000000000000001e-05</v>
      </c>
      <c r="BY124" s="3">
        <f>1.0000000000000001e-05</f>
        <v>1.0000000000000001e-05</v>
      </c>
      <c r="BZ124" s="3"/>
      <c r="CA124" s="3"/>
      <c r="CB124" s="2"/>
      <c r="CC124" s="3">
        <f>0.0040000000000000001</f>
        <v>0.0040000000000000001</v>
      </c>
      <c r="CD124" s="3">
        <f>1.0000000000000001e-05</f>
        <v>1.0000000000000001e-05</v>
      </c>
      <c r="CE124" s="3"/>
      <c r="CF124" s="3" t="inlineStr">
        <is>
          <t>r: +1</t>
        </is>
      </c>
      <c r="CG124" s="3"/>
      <c r="CH124" s="3"/>
      <c r="CI124" s="3">
        <f>1.0000000000000001e-05</f>
        <v>1.0000000000000001e-05</v>
      </c>
      <c r="CJ124" s="3">
        <f>1.0000000000000001e-05</f>
        <v>1.0000000000000001e-05</v>
      </c>
      <c r="CK124" s="3"/>
      <c r="CL124" s="3"/>
      <c r="CM124" s="2"/>
      <c r="CN124" s="3">
        <f>0.031</f>
        <v>0.031</v>
      </c>
      <c r="CO124" s="3">
        <f>0.0001</f>
        <v>0.0001</v>
      </c>
      <c r="CP124" s="3"/>
      <c r="CQ124" s="3">
        <f>0.16700000000000001</f>
        <v>0.16700000000000001</v>
      </c>
      <c r="CR124" s="3"/>
      <c r="CS124" s="3"/>
      <c r="CT124" s="3">
        <f>0.0001</f>
        <v>0.0001</v>
      </c>
      <c r="CU124" s="3">
        <f>0.0001</f>
        <v>0.0001</v>
      </c>
      <c r="CV124" s="3"/>
      <c r="CW124" s="3"/>
      <c r="CX124" s="2"/>
      <c r="CY124" s="3">
        <f>-0.0089999999999999993</f>
        <v>-0.0089999999999999993</v>
      </c>
      <c r="CZ124" s="3">
        <f>0.125</f>
        <v>0.125</v>
      </c>
      <c r="DA124" s="3"/>
      <c r="DB124" s="3"/>
      <c r="DC124" s="3"/>
      <c r="DD124" s="3"/>
      <c r="DE124" s="3">
        <f>1.0000000000000001e-05</f>
        <v>1.0000000000000001e-05</v>
      </c>
      <c r="DF124" s="3">
        <f>1.0000000000000001e-05</f>
        <v>1.0000000000000001e-05</v>
      </c>
      <c r="DG124" s="3"/>
      <c r="DH124" s="3"/>
      <c r="DI124" s="2"/>
      <c r="DJ124" s="3">
        <f>0.0030000000000000001</f>
        <v>0.0030000000000000001</v>
      </c>
      <c r="DK124" s="3">
        <f>0.001</f>
        <v>0.001</v>
      </c>
      <c r="DL124" s="3"/>
      <c r="DM124" s="3">
        <f>-0.01</f>
        <v>-0.01</v>
      </c>
      <c r="DN124" s="3"/>
      <c r="DO124" s="3"/>
      <c r="DP124" s="3">
        <f>0.002</f>
        <v>0.002</v>
      </c>
      <c r="DQ124" s="3">
        <f>0.0001</f>
        <v>0.0001</v>
      </c>
      <c r="DR124" s="3"/>
      <c r="DS124" s="3"/>
      <c r="DT124" s="3"/>
      <c r="DV124">
        <v>5</v>
      </c>
      <c r="DW124" t="s">
        <v>32</v>
      </c>
      <c r="DX124" s="8">
        <v>43922</v>
      </c>
      <c r="DY124">
        <v>1</v>
      </c>
      <c r="EA124">
        <v>0</v>
      </c>
      <c r="GA124" s="10">
        <v>43964</v>
      </c>
      <c r="GB124">
        <v>1390406</v>
      </c>
      <c r="GC124" s="13">
        <f>(GB124/GB123)-1</f>
        <v>0.015357359848573449</v>
      </c>
      <c r="GV124" s="8">
        <v>43957</v>
      </c>
      <c r="GW124">
        <v>12</v>
      </c>
      <c r="GX124" t="s">
        <v>41</v>
      </c>
      <c r="GY124">
        <v>15</v>
      </c>
      <c r="HB124">
        <v>307</v>
      </c>
      <c r="HC124">
        <v>3</v>
      </c>
    </row>
    <row r="125" spans="1:325" ht="20.25">
      <c r="C125">
        <f>H124*D125</f>
        <v>81.998604042291944</v>
      </c>
      <c r="D125">
        <f>D124</f>
        <v>0.0017640962314499999</v>
      </c>
      <c r="E125" t="s">
        <v>35</v>
      </c>
      <c r="F125" s="10">
        <v>44013</v>
      </c>
      <c r="G125" s="2">
        <f>H125*15</f>
        <v>698458.98431926314</v>
      </c>
      <c r="H125">
        <f>H124+C125</f>
        <v>46563.932287950876</v>
      </c>
      <c r="U125" s="1"/>
      <c r="V125" s="1"/>
      <c r="W125" s="1"/>
      <c r="AB125" s="3"/>
      <c r="AF125" s="1"/>
      <c r="AG125" s="1"/>
      <c r="AH125" s="1"/>
      <c r="AM125" s="3"/>
      <c r="AQ125" s="1"/>
      <c r="AR125" s="1"/>
      <c r="AS125" s="1"/>
      <c r="AX125" s="3"/>
      <c r="BB125" s="1"/>
      <c r="BC125" s="1"/>
      <c r="BD125" s="1"/>
      <c r="BI125" s="3"/>
      <c r="BM125" s="1"/>
      <c r="BN125" s="1"/>
      <c r="BO125" s="1"/>
      <c r="BT125" s="3"/>
      <c r="BX125" s="1"/>
      <c r="BY125" s="1"/>
      <c r="BZ125" s="1"/>
      <c r="CE125" s="3"/>
      <c r="CI125" s="1"/>
      <c r="CJ125" s="1"/>
      <c r="CK125" s="1"/>
      <c r="CP125" s="3"/>
      <c r="CT125" s="1"/>
      <c r="CU125" s="1"/>
      <c r="CV125" s="1"/>
      <c r="DA125" s="3"/>
      <c r="DE125" s="1"/>
      <c r="DF125" s="1"/>
      <c r="DG125" s="1"/>
      <c r="DL125" s="3"/>
      <c r="DP125" s="1"/>
      <c r="DQ125" s="1"/>
      <c r="DR125" s="1"/>
      <c r="DV125">
        <v>5</v>
      </c>
      <c r="DW125" t="s">
        <v>32</v>
      </c>
      <c r="DX125" s="8">
        <v>43923</v>
      </c>
      <c r="DY125">
        <v>1</v>
      </c>
      <c r="EA125">
        <v>0</v>
      </c>
      <c r="GA125" s="10">
        <v>43965</v>
      </c>
      <c r="GB125">
        <v>1417774</v>
      </c>
      <c r="GC125" s="13">
        <f>(GB125/GB124)-1</f>
        <v>0.019683459363667888</v>
      </c>
      <c r="GV125" s="8">
        <v>43958</v>
      </c>
      <c r="GW125">
        <v>12</v>
      </c>
      <c r="GX125" t="s">
        <v>41</v>
      </c>
      <c r="GY125">
        <v>15</v>
      </c>
      <c r="HB125">
        <v>307</v>
      </c>
      <c r="HC125">
        <v>3</v>
      </c>
    </row>
    <row r="126" spans="1:325" ht="19.57">
      <c r="C126">
        <f>H125*D126</f>
        <v>82.143257470667109</v>
      </c>
      <c r="D126">
        <f>D125</f>
        <v>0.0017640962314499999</v>
      </c>
      <c r="E126" t="s">
        <v>37</v>
      </c>
      <c r="F126" s="10">
        <v>44014</v>
      </c>
      <c r="G126" s="2">
        <f>H126*15</f>
        <v>699691.13318132318</v>
      </c>
      <c r="H126">
        <f>H125+C126</f>
        <v>46646.075545421547</v>
      </c>
      <c r="O126" s="1"/>
      <c r="P126" s="1"/>
      <c r="U126" s="1"/>
      <c r="V126" s="1"/>
      <c r="W126" s="1"/>
      <c r="Z126" s="1"/>
      <c r="AA126" s="1"/>
      <c r="AB126" s="1"/>
      <c r="AC126" s="1"/>
      <c r="AD126" s="1"/>
      <c r="AE126" s="1"/>
      <c r="AF126" s="1"/>
      <c r="AG126" s="1"/>
      <c r="AH126" s="1"/>
      <c r="AK126" s="1"/>
      <c r="AL126" s="1"/>
      <c r="AM126" s="1"/>
      <c r="AN126" s="1"/>
      <c r="AO126" s="1"/>
      <c r="AP126" s="1"/>
      <c r="AQ126" s="1"/>
      <c r="AR126" s="1"/>
      <c r="AS126" s="1"/>
      <c r="AV126" s="1"/>
      <c r="AW126" s="1"/>
      <c r="AX126" s="5"/>
      <c r="AY126" s="1"/>
      <c r="AZ126" s="1"/>
      <c r="BA126" s="1"/>
      <c r="BB126" s="1"/>
      <c r="BC126" s="1"/>
      <c r="BD126" s="1"/>
      <c r="BG126" s="1"/>
      <c r="BH126" s="1"/>
      <c r="BI126" s="1"/>
      <c r="BJ126" s="1"/>
      <c r="BK126" s="1"/>
      <c r="BL126" s="1"/>
      <c r="BM126" s="1"/>
      <c r="BN126" s="1"/>
      <c r="BO126" s="1"/>
      <c r="BR126" s="1"/>
      <c r="BS126" s="1"/>
      <c r="BT126" s="1"/>
      <c r="BU126" s="1"/>
      <c r="BV126" s="1"/>
      <c r="BW126" s="1"/>
      <c r="BX126" s="1"/>
      <c r="BY126" s="1"/>
      <c r="BZ126" s="1"/>
      <c r="DE126" t="inlineStr">
        <is>
          <t>r: +3</t>
        </is>
      </c>
      <c r="DV126">
        <v>5</v>
      </c>
      <c r="DW126" t="s">
        <v>32</v>
      </c>
      <c r="DX126" s="8">
        <v>43924</v>
      </c>
      <c r="DY126">
        <v>1</v>
      </c>
      <c r="EA126">
        <v>0</v>
      </c>
      <c r="GA126" s="10">
        <v>43966</v>
      </c>
      <c r="GB126">
        <v>1442824</v>
      </c>
      <c r="GC126" s="13">
        <f>(GB126/GB125)-1</f>
        <v>0.017668542376993779</v>
      </c>
      <c r="GV126" s="8">
        <v>43959</v>
      </c>
      <c r="GW126">
        <v>12</v>
      </c>
      <c r="GX126" t="s">
        <v>41</v>
      </c>
      <c r="GY126">
        <v>16</v>
      </c>
      <c r="HB126">
        <v>327</v>
      </c>
      <c r="HC126">
        <v>3</v>
      </c>
    </row>
    <row r="127" spans="1:325" ht="19.57">
      <c r="C127">
        <f>H126*D127</f>
        <v>82.288166081610157</v>
      </c>
      <c r="D127">
        <f>D126</f>
        <v>0.0017640962314499999</v>
      </c>
      <c r="E127" t="s">
        <v>38</v>
      </c>
      <c r="F127" s="10">
        <v>44015</v>
      </c>
      <c r="G127" s="2">
        <f>H127*15</f>
        <v>700925.45567254745</v>
      </c>
      <c r="H127">
        <f>H126+C127</f>
        <v>46728.36371150316</v>
      </c>
      <c r="N127" s="4">
        <f>O127+P127</f>
        <v>0</v>
      </c>
      <c r="O127">
        <f>O126+0</f>
        <v>0</v>
      </c>
      <c r="P127">
        <f>P126+0</f>
        <v>0</v>
      </c>
      <c r="Q127" s="5">
        <f>(O127-O126)+(P127-P126)</f>
        <v>0</v>
      </c>
      <c r="R127">
        <f>R126+0</f>
        <v>0</v>
      </c>
      <c r="S127" s="5">
        <f>R127-R126</f>
        <v>0</v>
      </c>
      <c r="T127">
        <f>U127+V127</f>
        <v>0</v>
      </c>
      <c r="U127">
        <f>U126+0</f>
        <v>0</v>
      </c>
      <c r="V127">
        <f>V126+0</f>
        <v>0</v>
      </c>
      <c r="W127" s="5">
        <f>(U127-U126)+(V127-V126)</f>
        <v>0</v>
      </c>
      <c r="Z127" s="1"/>
      <c r="AA127" s="1"/>
      <c r="AB127" s="1"/>
      <c r="AC127" s="1"/>
      <c r="AD127" s="1"/>
      <c r="AE127" s="1"/>
      <c r="AF127" s="1"/>
      <c r="AG127" s="1"/>
      <c r="AH127" s="1"/>
      <c r="AK127" s="1"/>
      <c r="AL127" s="1"/>
      <c r="AM127" s="1"/>
      <c r="AN127" s="1"/>
      <c r="AO127" s="1"/>
      <c r="AP127" s="1"/>
      <c r="AQ127" s="1"/>
      <c r="AR127" s="1"/>
      <c r="AS127" s="1"/>
      <c r="AV127" s="1"/>
      <c r="AW127" s="1"/>
      <c r="AX127" s="1"/>
      <c r="BG127" s="1"/>
      <c r="BH127" s="1"/>
      <c r="BR127" s="1"/>
      <c r="BS127" s="1"/>
      <c r="CF127" t="inlineStr">
        <is>
          <t>any zero-to-positive int gets the 'r: +n' entry.</t>
        </is>
      </c>
      <c r="CY127" s="1"/>
      <c r="CZ127" s="1"/>
      <c r="DV127">
        <v>5</v>
      </c>
      <c r="DW127" t="s">
        <v>32</v>
      </c>
      <c r="DX127" s="8">
        <v>43925</v>
      </c>
      <c r="DY127">
        <v>1</v>
      </c>
      <c r="EA127">
        <v>0</v>
      </c>
      <c r="GA127" s="10">
        <v>43967</v>
      </c>
      <c r="GB127">
        <v>1467820</v>
      </c>
      <c r="GC127" s="13">
        <f>(GB127/GB126)-1</f>
        <v>0.017324358341696655</v>
      </c>
      <c r="GD127" s="2"/>
      <c r="GV127" s="8">
        <v>43960</v>
      </c>
      <c r="GW127">
        <v>12</v>
      </c>
      <c r="GX127" t="s">
        <v>41</v>
      </c>
      <c r="GY127">
        <v>16</v>
      </c>
      <c r="HB127">
        <v>327</v>
      </c>
      <c r="HC127">
        <v>3</v>
      </c>
    </row>
    <row r="128" spans="1:325" ht="19.57">
      <c r="C128">
        <f>H127*D128</f>
        <v>82.433330325287656</v>
      </c>
      <c r="D128">
        <f>D127</f>
        <v>0.0017640962314499999</v>
      </c>
      <c r="E128" t="s">
        <v>40</v>
      </c>
      <c r="F128" s="10">
        <v>44016</v>
      </c>
      <c r="G128" s="2">
        <f>H128*15</f>
        <v>702161.95562742674</v>
      </c>
      <c r="H128">
        <f>H127+C128</f>
        <v>46810.797041828446</v>
      </c>
      <c r="W128" s="1"/>
      <c r="Z128" s="1"/>
      <c r="AA128" s="1"/>
      <c r="AB128" s="1"/>
      <c r="AC128" s="1"/>
      <c r="AD128" s="1"/>
      <c r="AE128" s="1"/>
      <c r="AF128" s="1"/>
      <c r="AG128" s="1"/>
      <c r="AH128" s="1"/>
      <c r="AK128" s="1"/>
      <c r="AL128" s="1"/>
      <c r="AM128" s="1"/>
      <c r="AN128" s="1"/>
      <c r="AO128" s="1"/>
      <c r="AP128" s="1"/>
      <c r="AQ128" s="1"/>
      <c r="AR128" s="1"/>
      <c r="AS128" s="1"/>
      <c r="AV128" s="1"/>
      <c r="AW128" s="1"/>
      <c r="DV128">
        <v>5</v>
      </c>
      <c r="DW128" t="s">
        <v>32</v>
      </c>
      <c r="DX128" s="8">
        <v>43926</v>
      </c>
      <c r="DY128">
        <v>1</v>
      </c>
      <c r="EA128">
        <v>0</v>
      </c>
      <c r="GA128" s="10">
        <v>43968</v>
      </c>
      <c r="GB128">
        <v>1486757</v>
      </c>
      <c r="GC128" s="13">
        <f>(GB128/GB127)-1</f>
        <v>0.012901445681350543</v>
      </c>
      <c r="GD128" s="2"/>
      <c r="GV128" s="8">
        <v>43961</v>
      </c>
      <c r="GW128">
        <v>12</v>
      </c>
      <c r="GX128" t="s">
        <v>41</v>
      </c>
      <c r="GY128">
        <v>16</v>
      </c>
      <c r="HB128">
        <v>327</v>
      </c>
      <c r="HC128">
        <v>3</v>
      </c>
    </row>
    <row r="129" spans="1:325" ht="19.57">
      <c r="C129">
        <f>H128*D129</f>
        <v>82.578750652660361</v>
      </c>
      <c r="D129">
        <f>D128</f>
        <v>0.0017640962314499999</v>
      </c>
      <c r="E129" t="s">
        <v>30</v>
      </c>
      <c r="F129" s="10">
        <v>44017</v>
      </c>
      <c r="G129" s="2">
        <f>H129*15</f>
        <v>703400.63688721659</v>
      </c>
      <c r="H129">
        <f>H128+C129</f>
        <v>46893.375792481107</v>
      </c>
      <c r="J129" s="1"/>
      <c r="W129" s="1"/>
      <c r="Z129" s="1"/>
      <c r="AA129" s="1"/>
      <c r="AB129" s="1"/>
      <c r="AC129" s="1"/>
      <c r="AD129" s="1"/>
      <c r="AE129" s="1"/>
      <c r="AF129" s="1"/>
      <c r="AG129" s="1"/>
      <c r="AH129" s="1"/>
      <c r="AK129" s="1"/>
      <c r="AL129" s="1"/>
      <c r="AM129" s="1"/>
      <c r="AN129" s="1"/>
      <c r="AO129" s="1"/>
      <c r="AP129" s="1"/>
      <c r="AQ129" s="1"/>
      <c r="AR129" s="1"/>
      <c r="AS129" s="1"/>
      <c r="AV129" s="1"/>
      <c r="AW129" s="1"/>
      <c r="DI129" s="2"/>
      <c r="DV129">
        <v>5</v>
      </c>
      <c r="DW129" t="s">
        <v>32</v>
      </c>
      <c r="DX129" s="8">
        <v>43927</v>
      </c>
      <c r="DY129">
        <v>2</v>
      </c>
      <c r="EA129">
        <v>0</v>
      </c>
      <c r="GA129" s="10">
        <v>43969</v>
      </c>
      <c r="GB129">
        <v>1508308</v>
      </c>
      <c r="GC129" s="13">
        <f>(GB129/GB128)-1</f>
        <v>0.014495307572118366</v>
      </c>
      <c r="GD129" s="2"/>
      <c r="GV129" s="8">
        <v>43962</v>
      </c>
      <c r="GW129">
        <v>12</v>
      </c>
      <c r="GX129" t="s">
        <v>41</v>
      </c>
      <c r="GY129">
        <v>16</v>
      </c>
      <c r="HB129">
        <v>327</v>
      </c>
      <c r="HC129">
        <v>3</v>
      </c>
    </row>
    <row r="130" spans="1:325" ht="19.57">
      <c r="C130">
        <f>H129*D130</f>
        <v>82.724427515484578</v>
      </c>
      <c r="D130">
        <f>D129</f>
        <v>0.0017640962314499999</v>
      </c>
      <c r="E130" t="s">
        <v>33</v>
      </c>
      <c r="F130" s="10">
        <v>44018</v>
      </c>
      <c r="G130" s="2">
        <f>H130*15</f>
        <v>704641.50329994888</v>
      </c>
      <c r="H130">
        <f>H129+C130</f>
        <v>46976.100219996595</v>
      </c>
      <c r="W130" s="1"/>
      <c r="Z130" s="1"/>
      <c r="AA130" s="1"/>
      <c r="AB130" s="1"/>
      <c r="AC130" s="1"/>
      <c r="AD130" s="1"/>
      <c r="AE130" s="1"/>
      <c r="AF130" s="1"/>
      <c r="AG130" s="1"/>
      <c r="AH130" s="1"/>
      <c r="AK130" s="1"/>
      <c r="AL130" s="1"/>
      <c r="AM130" s="1"/>
      <c r="AN130" s="1"/>
      <c r="AO130" s="1"/>
      <c r="AP130" s="1"/>
      <c r="AQ130" s="1"/>
      <c r="AR130" s="1"/>
      <c r="AS130" s="1"/>
      <c r="AV130" s="1"/>
      <c r="AW130" s="1"/>
      <c r="DB130" s="1"/>
      <c r="DV130">
        <v>5</v>
      </c>
      <c r="DW130" t="s">
        <v>32</v>
      </c>
      <c r="DX130" s="8">
        <v>43928</v>
      </c>
      <c r="DY130">
        <v>2</v>
      </c>
      <c r="EA130">
        <v>0</v>
      </c>
      <c r="GA130" s="10">
        <v>43970</v>
      </c>
      <c r="GB130">
        <v>1528568</v>
      </c>
      <c r="GC130" s="13">
        <f>(GB130/GB129)-1</f>
        <v>0.013432269801658459</v>
      </c>
      <c r="GD130" s="2"/>
      <c r="GV130" s="8">
        <v>43963</v>
      </c>
      <c r="GW130">
        <v>12</v>
      </c>
      <c r="GX130" t="s">
        <v>41</v>
      </c>
      <c r="GY130">
        <v>16</v>
      </c>
      <c r="HB130">
        <v>327</v>
      </c>
      <c r="HC130">
        <v>3</v>
      </c>
    </row>
    <row r="131" spans="1:325" ht="19.57">
      <c r="C131">
        <f>H130*D131</f>
        <v>82.870361366313503</v>
      </c>
      <c r="D131">
        <f>D130</f>
        <v>0.0017640962314499999</v>
      </c>
      <c r="E131" t="s">
        <v>34</v>
      </c>
      <c r="F131" s="10">
        <v>44019</v>
      </c>
      <c r="G131" s="2">
        <f>H131*15</f>
        <v>705884.55872044363</v>
      </c>
      <c r="H131">
        <f>H130+C131</f>
        <v>47058.970581362912</v>
      </c>
      <c r="J131" s="1"/>
      <c r="K131" s="1"/>
      <c r="L131" s="1"/>
      <c r="W131" s="1"/>
      <c r="Z131" s="1"/>
      <c r="AA131" s="1"/>
      <c r="AB131" s="1"/>
      <c r="AC131" s="1"/>
      <c r="AD131" s="1"/>
      <c r="AE131" s="1"/>
      <c r="AF131" s="1"/>
      <c r="AG131" s="1"/>
      <c r="AH131" s="1"/>
      <c r="AK131" s="1"/>
      <c r="AL131" s="1"/>
      <c r="AM131" s="1"/>
      <c r="AN131" s="1"/>
      <c r="AO131" s="1"/>
      <c r="AP131" s="1"/>
      <c r="AQ131" s="1"/>
      <c r="AR131" s="1"/>
      <c r="AS131" s="1"/>
      <c r="AV131" s="1"/>
      <c r="AW131" s="1"/>
      <c r="DI131" t="inlineStr">
        <is>
          <t>Older:</t>
        </is>
      </c>
      <c r="DV131">
        <v>5</v>
      </c>
      <c r="DW131" t="s">
        <v>32</v>
      </c>
      <c r="DX131" s="8">
        <v>43929</v>
      </c>
      <c r="DY131">
        <v>3</v>
      </c>
      <c r="EA131">
        <v>0</v>
      </c>
      <c r="GA131" s="10">
        <v>43971</v>
      </c>
      <c r="GB131">
        <v>1551853</v>
      </c>
      <c r="GC131" s="13">
        <f>(GB131/GB130)-1</f>
        <v>0.015233211738044927</v>
      </c>
      <c r="GD131" s="2"/>
      <c r="GV131" s="8">
        <v>43964</v>
      </c>
      <c r="GW131">
        <v>12</v>
      </c>
      <c r="GX131" t="s">
        <v>41</v>
      </c>
      <c r="GY131">
        <v>16</v>
      </c>
      <c r="HB131">
        <v>327</v>
      </c>
      <c r="HC131">
        <v>3</v>
      </c>
    </row>
    <row r="132" spans="1:325" ht="19.57">
      <c r="C132">
        <f>H131*D132</f>
        <v>83.016552658498725</v>
      </c>
      <c r="D132">
        <f>D131</f>
        <v>0.0017640962314499999</v>
      </c>
      <c r="E132" t="s">
        <v>35</v>
      </c>
      <c r="F132" s="10">
        <v>44020</v>
      </c>
      <c r="G132" s="2">
        <f>H132*15</f>
        <v>707129.80701032118</v>
      </c>
      <c r="H132">
        <f>H131+C132</f>
        <v>47141.987134021409</v>
      </c>
      <c r="J132" s="1"/>
      <c r="K132" s="1"/>
      <c r="L132" s="1"/>
      <c r="W132" s="1"/>
      <c r="Z132" s="1"/>
      <c r="AA132" s="1"/>
      <c r="AB132" s="1"/>
      <c r="AC132" s="1"/>
      <c r="AD132" s="1"/>
      <c r="AE132" s="1"/>
      <c r="AF132" s="1"/>
      <c r="AG132" s="1"/>
      <c r="AH132" s="1"/>
      <c r="AK132" s="1"/>
      <c r="AL132" s="1"/>
      <c r="AM132" s="1"/>
      <c r="AN132" s="1"/>
      <c r="AO132" s="1"/>
      <c r="AP132" s="1"/>
      <c r="AQ132" s="1"/>
      <c r="AR132" s="1"/>
      <c r="AS132" s="1"/>
      <c r="AV132" s="1"/>
      <c r="AW132" s="1"/>
      <c r="DV132">
        <v>5</v>
      </c>
      <c r="DW132" t="s">
        <v>32</v>
      </c>
      <c r="DX132" s="8">
        <v>43930</v>
      </c>
      <c r="DY132">
        <v>4</v>
      </c>
      <c r="EA132">
        <v>0</v>
      </c>
      <c r="GA132" s="10">
        <v>43972</v>
      </c>
      <c r="GB132">
        <v>1577147</v>
      </c>
      <c r="GC132" s="13">
        <f>(GB132/GB131)-1</f>
        <v>0.016299224217757757</v>
      </c>
      <c r="GD132" s="2"/>
      <c r="GV132" s="8">
        <v>43965</v>
      </c>
      <c r="GW132">
        <v>12</v>
      </c>
      <c r="GX132" t="s">
        <v>41</v>
      </c>
      <c r="GY132">
        <v>17</v>
      </c>
      <c r="HB132">
        <v>348</v>
      </c>
      <c r="HC132">
        <v>3</v>
      </c>
    </row>
    <row r="133" spans="1:325" ht="19.57">
      <c r="C133">
        <f>H132*D133</f>
        <v>83.163001846191548</v>
      </c>
      <c r="D133">
        <f>D132</f>
        <v>0.0017640962314499999</v>
      </c>
      <c r="E133" t="s">
        <v>37</v>
      </c>
      <c r="F133" s="10">
        <v>44021</v>
      </c>
      <c r="G133" s="2">
        <f>H133*15</f>
        <v>708377.252038014</v>
      </c>
      <c r="H133">
        <f>H132+C133</f>
        <v>47225.150135867603</v>
      </c>
      <c r="J133" s="1"/>
      <c r="K133" s="1"/>
      <c r="L133" s="1"/>
      <c r="W133" s="1"/>
      <c r="Z133" s="1"/>
      <c r="AA133" s="1"/>
      <c r="AB133" s="1"/>
      <c r="AC133" s="1"/>
      <c r="AD133" s="1"/>
      <c r="AE133" s="1"/>
      <c r="AF133" s="1"/>
      <c r="AG133" s="1"/>
      <c r="AH133" s="1"/>
      <c r="AK133" s="1"/>
      <c r="AL133" s="1"/>
      <c r="AM133" s="1"/>
      <c r="AN133" s="1"/>
      <c r="AO133" s="1"/>
      <c r="AP133" s="1"/>
      <c r="AQ133" s="1"/>
      <c r="AR133" s="1"/>
      <c r="AS133" s="1"/>
      <c r="AV133" s="1"/>
      <c r="AW133" s="1"/>
      <c r="DV133">
        <v>5</v>
      </c>
      <c r="DW133" t="s">
        <v>32</v>
      </c>
      <c r="DX133" s="8">
        <v>43931</v>
      </c>
      <c r="DY133">
        <v>5</v>
      </c>
      <c r="EA133">
        <v>0</v>
      </c>
      <c r="GA133" s="10">
        <v>43973</v>
      </c>
      <c r="GB133">
        <v>1600937</v>
      </c>
      <c r="GC133" s="13">
        <f>(GB133/GB132)-1</f>
        <v>0.015084199507084728</v>
      </c>
      <c r="GD133" s="2"/>
      <c r="GV133" s="8">
        <v>43966</v>
      </c>
      <c r="GW133">
        <v>12</v>
      </c>
      <c r="GX133" t="s">
        <v>41</v>
      </c>
      <c r="GY133">
        <v>17</v>
      </c>
      <c r="HB133">
        <v>348</v>
      </c>
      <c r="HC133">
        <v>3</v>
      </c>
    </row>
    <row r="134" spans="1:325" ht="19.57">
      <c r="C134">
        <f>H133*D134</f>
        <v>83.309709384344487</v>
      </c>
      <c r="D134">
        <f>D133</f>
        <v>0.0017640962314499999</v>
      </c>
      <c r="E134" t="s">
        <v>38</v>
      </c>
      <c r="F134" s="10">
        <v>44022</v>
      </c>
      <c r="G134" s="2">
        <f>H134*15</f>
        <v>709626.89767877921</v>
      </c>
      <c r="H134">
        <f>H133+C134</f>
        <v>47308.459845251949</v>
      </c>
      <c r="J134" s="1"/>
      <c r="K134" s="1"/>
      <c r="L134" s="1"/>
      <c r="W134" s="1"/>
      <c r="Z134" s="1"/>
      <c r="AA134" s="1"/>
      <c r="AB134" s="1"/>
      <c r="AC134" s="1"/>
      <c r="AD134" s="1"/>
      <c r="AE134" s="1"/>
      <c r="AF134" s="1"/>
      <c r="AG134" s="1"/>
      <c r="AH134" s="1"/>
      <c r="AK134" s="1"/>
      <c r="AL134" s="1"/>
      <c r="AM134" s="1"/>
      <c r="AN134" s="1"/>
      <c r="AO134" s="1"/>
      <c r="AP134" s="1"/>
      <c r="AQ134" s="1"/>
      <c r="AR134" s="1"/>
      <c r="AS134" s="1"/>
      <c r="AV134" s="1"/>
      <c r="AW134" s="1"/>
      <c r="DI134" t="inlineStr">
        <is>
          <t>addl: first time hysteresis figures included (to supplement next day's stats)</t>
        </is>
      </c>
      <c r="DV134">
        <v>5</v>
      </c>
      <c r="DW134" t="s">
        <v>32</v>
      </c>
      <c r="DX134" s="8">
        <v>43932</v>
      </c>
      <c r="DY134">
        <v>6</v>
      </c>
      <c r="EA134">
        <v>0</v>
      </c>
      <c r="GA134" s="10">
        <v>43974</v>
      </c>
      <c r="GB134">
        <v>1622612</v>
      </c>
      <c r="GC134" s="13">
        <f>(GB134/GB133)-1</f>
        <v>0.013538946254599615</v>
      </c>
      <c r="GD134" s="2"/>
      <c r="GV134" s="8">
        <v>43967</v>
      </c>
      <c r="GW134">
        <v>12</v>
      </c>
      <c r="GX134" t="s">
        <v>41</v>
      </c>
      <c r="GY134">
        <v>18</v>
      </c>
      <c r="HB134">
        <v>368</v>
      </c>
      <c r="HC134">
        <v>3</v>
      </c>
      <c r="HF134">
        <v>79</v>
      </c>
    </row>
    <row r="135" spans="1:325" ht="19.57">
      <c r="C135">
        <f>H134*D135</f>
        <v>83.456675728712611</v>
      </c>
      <c r="D135">
        <f>D134</f>
        <v>0.0017640962314499999</v>
      </c>
      <c r="E135" t="s">
        <v>40</v>
      </c>
      <c r="F135" s="10">
        <v>44023</v>
      </c>
      <c r="G135" s="2">
        <f>H135*15</f>
        <v>710878.7478147099</v>
      </c>
      <c r="H135">
        <f>H134+C135</f>
        <v>47391.91652098066</v>
      </c>
      <c r="J135" s="1"/>
      <c r="K135" s="1"/>
      <c r="L135" s="1"/>
      <c r="W135" s="1"/>
      <c r="Z135" s="1"/>
      <c r="AA135" s="1"/>
      <c r="AB135" s="1"/>
      <c r="AC135" s="1"/>
      <c r="AD135" s="1"/>
      <c r="AE135" s="1"/>
      <c r="AF135" s="1"/>
      <c r="AG135" s="1"/>
      <c r="AH135" s="1"/>
      <c r="AK135" s="1"/>
      <c r="AL135" s="1"/>
      <c r="AM135" s="1"/>
      <c r="AN135" s="1"/>
      <c r="AO135" s="1"/>
      <c r="AP135" s="1"/>
      <c r="AQ135" s="1"/>
      <c r="AR135" s="1"/>
      <c r="AS135" s="1"/>
      <c r="AV135" s="1"/>
      <c r="AW135" s="1"/>
      <c r="DI135" t="inlineStr">
        <is>
          <t>addl: Line 102 now fully prepped for new data entry.</t>
        </is>
      </c>
      <c r="DV135">
        <v>5</v>
      </c>
      <c r="DW135" t="s">
        <v>32</v>
      </c>
      <c r="DX135" s="8">
        <v>43933</v>
      </c>
      <c r="DY135">
        <v>7</v>
      </c>
      <c r="EA135">
        <v>0</v>
      </c>
      <c r="GA135" s="10">
        <v>43975</v>
      </c>
      <c r="GB135">
        <v>1643246</v>
      </c>
      <c r="GC135" s="13">
        <f>(GB135/GB134)-1</f>
        <v>0.01271653358905267</v>
      </c>
      <c r="GD135" s="2"/>
      <c r="GV135" s="8">
        <v>43968</v>
      </c>
      <c r="GW135">
        <v>12</v>
      </c>
      <c r="GX135" t="s">
        <v>41</v>
      </c>
      <c r="GY135">
        <v>18</v>
      </c>
      <c r="HB135">
        <v>368</v>
      </c>
      <c r="HC135">
        <v>3</v>
      </c>
      <c r="HF135">
        <v>82</v>
      </c>
    </row>
    <row r="136" spans="1:325" ht="19.57">
      <c r="C136">
        <f>H135*D136</f>
        <v>83.603901335854971</v>
      </c>
      <c r="D136">
        <f>D135</f>
        <v>0.0017640962314499999</v>
      </c>
      <c r="E136" t="s">
        <v>30</v>
      </c>
      <c r="F136" s="10">
        <v>44024</v>
      </c>
      <c r="G136" s="2">
        <f>H136*15</f>
        <v>712132.8063347477</v>
      </c>
      <c r="H136">
        <f>H135+C136</f>
        <v>47475.520422316513</v>
      </c>
      <c r="J136" s="1"/>
      <c r="K136" s="1"/>
      <c r="L136" s="1"/>
      <c r="W136" s="1"/>
      <c r="Z136" s="1"/>
      <c r="AA136" s="1"/>
      <c r="AB136" s="1"/>
      <c r="AC136" s="1"/>
      <c r="AD136" s="1"/>
      <c r="AE136" s="1"/>
      <c r="AF136" s="1"/>
      <c r="AG136" s="1"/>
      <c r="AH136" s="1"/>
      <c r="AK136" s="1"/>
      <c r="AL136" s="1"/>
      <c r="AM136" s="1"/>
      <c r="AN136" s="1"/>
      <c r="AO136" s="1"/>
      <c r="AP136" s="1"/>
      <c r="AQ136" s="1"/>
      <c r="AR136" s="1"/>
      <c r="AS136" s="1"/>
      <c r="AV136" s="1"/>
      <c r="AW136" s="1"/>
      <c r="DI136" t="inlineStr">
        <is>
          <t>Status: all non-formulae data already entered for Monday, June 8th, on Line 105 - intended for xfer to Line 102.  Tue 9 June 21:22z</t>
        </is>
      </c>
      <c r="DV136">
        <v>5</v>
      </c>
      <c r="DW136" t="s">
        <v>32</v>
      </c>
      <c r="DX136" s="8">
        <v>43934</v>
      </c>
      <c r="DY136">
        <v>7</v>
      </c>
      <c r="EA136">
        <v>0</v>
      </c>
      <c r="GA136" s="10">
        <v>43976</v>
      </c>
      <c r="GB136">
        <v>1662302</v>
      </c>
      <c r="GC136" s="13">
        <f>(GB136/GB135)-1</f>
        <v>0.011596559492613956</v>
      </c>
      <c r="GD136" s="2"/>
      <c r="GV136" s="8">
        <v>43969</v>
      </c>
      <c r="GW136">
        <v>12</v>
      </c>
      <c r="GX136" t="s">
        <v>41</v>
      </c>
      <c r="GY136">
        <v>19</v>
      </c>
      <c r="HB136">
        <v>389</v>
      </c>
      <c r="HC136">
        <v>3</v>
      </c>
      <c r="HF136">
        <v>89</v>
      </c>
    </row>
    <row r="137" spans="1:325" ht="19.57">
      <c r="C137">
        <f>H136*D137</f>
        <v>83.751386663136074</v>
      </c>
      <c r="D137">
        <f>D136</f>
        <v>0.0017640962314499999</v>
      </c>
      <c r="E137" t="s">
        <v>33</v>
      </c>
      <c r="F137" s="10">
        <v>44025</v>
      </c>
      <c r="G137" s="2">
        <f>H137*15</f>
        <v>713389.07713469467</v>
      </c>
      <c r="H137">
        <f>H136+C137</f>
        <v>47559.271808979647</v>
      </c>
      <c r="W137" s="1"/>
      <c r="Z137" s="1"/>
      <c r="AA137" s="1"/>
      <c r="AB137" s="1"/>
      <c r="AC137" s="1"/>
      <c r="AD137" s="1"/>
      <c r="AE137" s="1"/>
      <c r="AF137" s="1"/>
      <c r="AG137" s="1"/>
      <c r="AH137" s="1"/>
      <c r="AK137" s="1"/>
      <c r="AL137" s="1"/>
      <c r="AM137" s="1"/>
      <c r="AN137" s="1"/>
      <c r="AO137" s="1"/>
      <c r="AP137" s="1"/>
      <c r="AQ137" s="1"/>
      <c r="AR137" s="1"/>
      <c r="AS137" s="1"/>
      <c r="AV137" s="1"/>
      <c r="AW137" s="1"/>
      <c r="DV137">
        <v>5</v>
      </c>
      <c r="DW137" t="s">
        <v>32</v>
      </c>
      <c r="DX137" s="8">
        <v>43935</v>
      </c>
      <c r="DY137">
        <v>7</v>
      </c>
      <c r="EA137">
        <v>0</v>
      </c>
      <c r="GA137" s="10">
        <v>43977</v>
      </c>
      <c r="GB137">
        <v>1680913</v>
      </c>
      <c r="GC137" s="13">
        <f>(GB137/GB136)-1</f>
        <v>0.011195919874968485</v>
      </c>
      <c r="GD137" s="2"/>
      <c r="GV137" s="8">
        <v>43970</v>
      </c>
      <c r="GW137">
        <v>12</v>
      </c>
      <c r="GX137" t="s">
        <v>41</v>
      </c>
      <c r="GY137">
        <v>19</v>
      </c>
      <c r="HB137">
        <v>389</v>
      </c>
      <c r="HC137">
        <v>3</v>
      </c>
      <c r="HF137">
        <v>94</v>
      </c>
    </row>
    <row r="138" spans="1:325" ht="19.57">
      <c r="C138">
        <f>H137*D138</f>
        <v>83.89913216872722</v>
      </c>
      <c r="D138">
        <f>D137</f>
        <v>0.0017640962314499999</v>
      </c>
      <c r="E138" t="s">
        <v>34</v>
      </c>
      <c r="F138" s="10">
        <v>44026</v>
      </c>
      <c r="G138" s="2">
        <f>H138*15</f>
        <v>714647.56411722559</v>
      </c>
      <c r="H138">
        <f>H137+C138</f>
        <v>47643.170941148375</v>
      </c>
      <c r="W138" s="1"/>
      <c r="Z138" s="1"/>
      <c r="AA138" s="1"/>
      <c r="AB138" s="1"/>
      <c r="AC138" s="1"/>
      <c r="AD138" s="1"/>
      <c r="AE138" s="1"/>
      <c r="AF138" s="1"/>
      <c r="AG138" s="1"/>
      <c r="AH138" s="1"/>
      <c r="AK138" s="1"/>
      <c r="AL138" s="1"/>
      <c r="AM138" s="1"/>
      <c r="AN138" s="1"/>
      <c r="AO138" s="1"/>
      <c r="AP138" s="1"/>
      <c r="AQ138" s="1"/>
      <c r="AR138" s="1"/>
      <c r="AS138" s="1"/>
      <c r="AV138" s="1"/>
      <c r="AW138" s="1"/>
      <c r="DV138">
        <v>5</v>
      </c>
      <c r="DW138" t="s">
        <v>32</v>
      </c>
      <c r="DX138" s="8">
        <v>43936</v>
      </c>
      <c r="DY138">
        <v>8</v>
      </c>
      <c r="EA138">
        <v>0</v>
      </c>
      <c r="GA138" s="10">
        <v>43978</v>
      </c>
      <c r="GB138">
        <v>1699176</v>
      </c>
      <c r="GC138" s="13">
        <f>(GB138/GB137)-1</f>
        <v>0.010864928761928683</v>
      </c>
      <c r="GD138" s="2"/>
      <c r="GV138" s="8">
        <v>43971</v>
      </c>
      <c r="GW138">
        <v>12</v>
      </c>
      <c r="GX138" t="s">
        <v>41</v>
      </c>
      <c r="GY138">
        <v>19</v>
      </c>
      <c r="HB138">
        <v>389</v>
      </c>
      <c r="HC138">
        <v>3</v>
      </c>
      <c r="HF138">
        <v>94</v>
      </c>
      <c r="HG138">
        <v>1922</v>
      </c>
    </row>
    <row r="139" spans="1:325" ht="19.57">
      <c r="C139">
        <f>H138*D139</f>
        <v>84.047138311607995</v>
      </c>
      <c r="D139">
        <f>D138</f>
        <v>0.0017640962314499999</v>
      </c>
      <c r="E139" t="s">
        <v>35</v>
      </c>
      <c r="F139" s="10">
        <v>44027</v>
      </c>
      <c r="H139">
        <f>H138+C139</f>
        <v>47727.218079459984</v>
      </c>
      <c r="W139" s="1"/>
      <c r="Z139" s="1"/>
      <c r="AA139" s="1"/>
      <c r="AB139" s="1"/>
      <c r="AC139" s="1"/>
      <c r="AD139" s="1"/>
      <c r="AE139" s="1"/>
      <c r="AF139" s="1"/>
      <c r="AG139" s="1"/>
      <c r="AH139" s="1"/>
      <c r="AK139" s="1"/>
      <c r="AL139" s="1"/>
      <c r="AM139" s="1"/>
      <c r="AN139" s="1"/>
      <c r="AO139" s="1"/>
      <c r="AP139" s="1"/>
      <c r="AQ139" s="1"/>
      <c r="AR139" s="1"/>
      <c r="AS139" s="1"/>
      <c r="AV139" s="1"/>
      <c r="AW139" s="1"/>
      <c r="DV139">
        <v>5</v>
      </c>
      <c r="DW139" t="s">
        <v>32</v>
      </c>
      <c r="DX139" s="8">
        <v>43937</v>
      </c>
      <c r="DY139">
        <v>9</v>
      </c>
      <c r="DZ139">
        <v>248</v>
      </c>
      <c r="EA139">
        <v>0</v>
      </c>
      <c r="GA139" s="10">
        <v>43979</v>
      </c>
      <c r="GB139">
        <v>1721753</v>
      </c>
      <c r="GC139" s="13">
        <f>(GB139/GB138)-1</f>
        <v>0.013287028536184575</v>
      </c>
      <c r="GD139" s="2"/>
      <c r="GV139" s="8">
        <v>43972</v>
      </c>
      <c r="GW139">
        <v>12</v>
      </c>
      <c r="GX139" t="s">
        <v>41</v>
      </c>
      <c r="GY139">
        <v>19</v>
      </c>
      <c r="HB139">
        <v>389</v>
      </c>
      <c r="HC139">
        <v>3</v>
      </c>
      <c r="HF139">
        <v>96</v>
      </c>
      <c r="HG139">
        <v>1963</v>
      </c>
    </row>
    <row r="140" spans="1:325" ht="19.57">
      <c r="C140">
        <f>H139*D140</f>
        <v>84.19540555156766</v>
      </c>
      <c r="D140">
        <f>D139</f>
        <v>0.0017640962314499999</v>
      </c>
      <c r="E140" t="s">
        <v>37</v>
      </c>
      <c r="F140" s="10">
        <v>44028</v>
      </c>
      <c r="H140">
        <f>H139+C140</f>
        <v>47811.413485011552</v>
      </c>
      <c r="W140" s="1"/>
      <c r="Z140" s="1"/>
      <c r="AA140" s="1"/>
      <c r="AB140" s="1"/>
      <c r="AC140" s="1"/>
      <c r="AD140" s="1"/>
      <c r="AE140" s="1"/>
      <c r="AF140" s="1"/>
      <c r="AG140" s="1"/>
      <c r="AH140" s="1"/>
      <c r="AK140" s="1"/>
      <c r="AL140" s="1"/>
      <c r="AM140" s="1"/>
      <c r="AN140" s="1"/>
      <c r="AO140" s="1"/>
      <c r="AP140" s="1"/>
      <c r="AQ140" s="1"/>
      <c r="AR140" s="1"/>
      <c r="AS140" s="1"/>
      <c r="AV140" s="1"/>
      <c r="AW140" s="1"/>
      <c r="DV140">
        <v>5</v>
      </c>
      <c r="DW140" t="s">
        <v>32</v>
      </c>
      <c r="DX140" s="8">
        <v>43938</v>
      </c>
      <c r="DY140">
        <v>10</v>
      </c>
      <c r="DZ140">
        <v>276</v>
      </c>
      <c r="EA140">
        <v>0</v>
      </c>
      <c r="GA140" s="10">
        <v>43980</v>
      </c>
      <c r="GB140">
        <v>1746019</v>
      </c>
      <c r="GC140" s="13">
        <f>(GB140/GB139)-1</f>
        <v>0.014093775355698446</v>
      </c>
      <c r="GD140" s="2"/>
      <c r="GV140" s="8">
        <v>43973</v>
      </c>
      <c r="GW140">
        <v>12</v>
      </c>
      <c r="GX140" t="s">
        <v>41</v>
      </c>
      <c r="GY140">
        <v>20</v>
      </c>
      <c r="HB140">
        <v>409</v>
      </c>
      <c r="HC140">
        <v>3</v>
      </c>
      <c r="HF140">
        <v>102</v>
      </c>
      <c r="HG140">
        <v>2086</v>
      </c>
    </row>
    <row r="141" spans="1:325" ht="19.57">
      <c r="C141">
        <f>H140*D141</f>
        <v>84.343934349206592</v>
      </c>
      <c r="D141">
        <f>D140</f>
        <v>0.0017640962314499999</v>
      </c>
      <c r="E141" t="s">
        <v>38</v>
      </c>
      <c r="F141" s="10">
        <v>44029</v>
      </c>
      <c r="H141">
        <f>H140+C141</f>
        <v>47895.757419360758</v>
      </c>
      <c r="W141" s="1"/>
      <c r="Z141" s="1"/>
      <c r="AA141" s="1"/>
      <c r="AB141" s="1"/>
      <c r="AC141" s="1"/>
      <c r="AD141" s="1"/>
      <c r="AE141" s="1"/>
      <c r="AF141" s="1"/>
      <c r="AG141" s="1"/>
      <c r="AH141" s="1"/>
      <c r="AK141" s="1"/>
      <c r="AL141" s="1"/>
      <c r="AM141" s="1"/>
      <c r="AN141" s="1"/>
      <c r="AO141" s="1"/>
      <c r="AP141" s="1"/>
      <c r="AQ141" s="1"/>
      <c r="AR141" s="1"/>
      <c r="AS141" s="1"/>
      <c r="AV141" s="1"/>
      <c r="AW141" s="1"/>
      <c r="DV141">
        <v>5</v>
      </c>
      <c r="DW141" t="s">
        <v>32</v>
      </c>
      <c r="DX141" s="8">
        <v>43939</v>
      </c>
      <c r="DY141">
        <v>11</v>
      </c>
      <c r="DZ141">
        <v>304</v>
      </c>
      <c r="EA141">
        <v>0</v>
      </c>
      <c r="GA141" s="10">
        <v>43981</v>
      </c>
      <c r="GB141">
        <v>1770165</v>
      </c>
      <c r="GC141" s="13">
        <f>(GB141/GB140)-1</f>
        <v>0.013829173680240503</v>
      </c>
      <c r="GD141" s="2"/>
      <c r="GV141" s="8">
        <v>43974</v>
      </c>
      <c r="GW141">
        <v>12</v>
      </c>
      <c r="GX141" t="s">
        <v>41</v>
      </c>
      <c r="GY141">
        <v>23</v>
      </c>
      <c r="HB141">
        <v>470</v>
      </c>
      <c r="HC141">
        <v>3</v>
      </c>
      <c r="HF141">
        <v>107</v>
      </c>
      <c r="HG141">
        <v>2188</v>
      </c>
    </row>
    <row r="142" spans="1:325" ht="19.57">
      <c r="C142">
        <f>H141*D142</f>
        <v>84.492725165937685</v>
      </c>
      <c r="D142">
        <f>D141</f>
        <v>0.0017640962314499999</v>
      </c>
      <c r="E142" t="s">
        <v>40</v>
      </c>
      <c r="F142" s="10">
        <v>44030</v>
      </c>
      <c r="H142">
        <f>H141+C142</f>
        <v>47980.250144526697</v>
      </c>
      <c r="W142" s="1"/>
      <c r="Z142" s="1"/>
      <c r="AA142" s="1"/>
      <c r="AB142" s="1"/>
      <c r="AC142" s="1"/>
      <c r="AD142" s="1"/>
      <c r="AE142" s="1"/>
      <c r="AF142" s="1"/>
      <c r="AG142" s="1"/>
      <c r="AH142" s="1"/>
      <c r="AK142" s="1"/>
      <c r="AL142" s="1"/>
      <c r="AM142" s="1"/>
      <c r="AN142" s="1"/>
      <c r="AO142" s="1"/>
      <c r="AP142" s="1"/>
      <c r="AQ142" s="1"/>
      <c r="AR142" s="1"/>
      <c r="AS142" s="1"/>
      <c r="AV142" s="1"/>
      <c r="AW142" s="1"/>
      <c r="DV142">
        <v>5</v>
      </c>
      <c r="DW142" t="s">
        <v>32</v>
      </c>
      <c r="DX142" s="8">
        <v>43940</v>
      </c>
      <c r="DY142">
        <v>11</v>
      </c>
      <c r="DZ142">
        <v>304</v>
      </c>
      <c r="EA142">
        <v>0</v>
      </c>
      <c r="GA142" s="10">
        <v>43982</v>
      </c>
      <c r="GB142">
        <v>1790172</v>
      </c>
      <c r="GC142" s="13">
        <f>(GB142/GB141)-1</f>
        <v>0.01130233622289456</v>
      </c>
      <c r="GD142" s="2"/>
      <c r="GV142" s="8">
        <v>43975</v>
      </c>
      <c r="GW142">
        <v>12</v>
      </c>
      <c r="GX142" t="s">
        <v>41</v>
      </c>
      <c r="GY142">
        <v>23</v>
      </c>
      <c r="HB142">
        <v>470</v>
      </c>
      <c r="HC142">
        <v>3</v>
      </c>
      <c r="HF142">
        <v>111</v>
      </c>
      <c r="HG142">
        <v>2270</v>
      </c>
    </row>
    <row r="143" spans="1:325" ht="19.57">
      <c r="C143">
        <f>H142*D143</f>
        <v>84.641778463987862</v>
      </c>
      <c r="D143">
        <f>D142</f>
        <v>0.0017640962314499999</v>
      </c>
      <c r="E143" t="s">
        <v>30</v>
      </c>
      <c r="F143" s="10">
        <v>44031</v>
      </c>
      <c r="H143">
        <f>H142+C143</f>
        <v>48064.891922990682</v>
      </c>
      <c r="W143" s="1"/>
      <c r="Z143" s="1"/>
      <c r="AA143" s="1"/>
      <c r="AB143" s="1"/>
      <c r="AC143" s="1"/>
      <c r="AD143" s="1"/>
      <c r="AE143" s="1"/>
      <c r="AF143" s="1"/>
      <c r="AG143" s="1"/>
      <c r="AH143" s="1"/>
      <c r="AK143" s="1"/>
      <c r="AL143" s="1"/>
      <c r="AM143" s="1"/>
      <c r="AN143" s="1"/>
      <c r="AO143" s="1"/>
      <c r="AP143" s="1"/>
      <c r="AQ143" s="1"/>
      <c r="AR143" s="1"/>
      <c r="AS143" s="1"/>
      <c r="AV143" s="1"/>
      <c r="AW143" s="1"/>
      <c r="DV143">
        <v>5</v>
      </c>
      <c r="DW143" t="s">
        <v>32</v>
      </c>
      <c r="DX143" s="8">
        <v>43941</v>
      </c>
      <c r="DY143">
        <v>10</v>
      </c>
      <c r="DZ143">
        <v>276</v>
      </c>
      <c r="EA143">
        <v>0</v>
      </c>
      <c r="GA143" s="10">
        <v>43983</v>
      </c>
      <c r="GB143">
        <v>1811020</v>
      </c>
      <c r="GC143" s="13">
        <f>(GB143/GB142)-1</f>
        <v>0.011645808335735364</v>
      </c>
      <c r="GD143" s="2"/>
      <c r="GV143" s="8">
        <v>43976</v>
      </c>
      <c r="GW143">
        <v>12</v>
      </c>
      <c r="GX143" t="s">
        <v>41</v>
      </c>
      <c r="GY143">
        <v>23</v>
      </c>
      <c r="HB143">
        <v>470</v>
      </c>
      <c r="HC143">
        <v>3</v>
      </c>
      <c r="HF143">
        <v>114</v>
      </c>
      <c r="HG143">
        <v>2331</v>
      </c>
    </row>
    <row r="144" spans="1:325" ht="19.57">
      <c r="C144">
        <f>H143*D144</f>
        <v>84.791094706399406</v>
      </c>
      <c r="D144">
        <f>D143</f>
        <v>0.0017640962314499999</v>
      </c>
      <c r="E144" t="s">
        <v>33</v>
      </c>
      <c r="F144" s="10">
        <v>44032</v>
      </c>
      <c r="H144">
        <f>H143+C144</f>
        <v>48149.683017697083</v>
      </c>
      <c r="W144" s="1"/>
      <c r="Z144" s="1"/>
      <c r="AA144" s="1"/>
      <c r="AB144" s="1"/>
      <c r="AC144" s="1"/>
      <c r="AD144" s="1"/>
      <c r="AE144" s="1"/>
      <c r="AF144" s="1"/>
      <c r="AG144" s="1"/>
      <c r="AH144" s="1"/>
      <c r="AK144" s="1"/>
      <c r="AL144" s="1"/>
      <c r="AM144" s="1"/>
      <c r="AN144" s="1"/>
      <c r="AO144" s="1"/>
      <c r="AP144" s="1"/>
      <c r="AQ144" s="1"/>
      <c r="AR144" s="1"/>
      <c r="AS144" s="1"/>
      <c r="AV144" s="1"/>
      <c r="AW144" s="1"/>
      <c r="DV144">
        <v>5</v>
      </c>
      <c r="DW144" t="s">
        <v>32</v>
      </c>
      <c r="DX144" s="8">
        <v>43942</v>
      </c>
      <c r="DY144">
        <v>9</v>
      </c>
      <c r="DZ144">
        <v>248</v>
      </c>
      <c r="EA144">
        <v>0</v>
      </c>
      <c r="GA144" s="10">
        <v>43984</v>
      </c>
      <c r="GB144">
        <v>1831821</v>
      </c>
      <c r="GC144" s="13">
        <f>(GB144/GB143)-1</f>
        <v>0.011485792536802375</v>
      </c>
      <c r="GD144" s="2"/>
      <c r="GV144" s="8">
        <v>43977</v>
      </c>
      <c r="GW144">
        <v>12</v>
      </c>
      <c r="GX144" t="s">
        <v>41</v>
      </c>
      <c r="GY144">
        <v>23</v>
      </c>
      <c r="HB144">
        <v>470</v>
      </c>
      <c r="HC144">
        <v>3</v>
      </c>
      <c r="HF144">
        <v>117</v>
      </c>
      <c r="HG144">
        <v>2393</v>
      </c>
    </row>
    <row r="145" spans="1:325" ht="19.57">
      <c r="C145">
        <f>H144*D145</f>
        <v>84.940674357031483</v>
      </c>
      <c r="D145">
        <f>D144</f>
        <v>0.0017640962314499999</v>
      </c>
      <c r="E145" t="s">
        <v>34</v>
      </c>
      <c r="F145" s="10">
        <v>44033</v>
      </c>
      <c r="H145">
        <f>H144+C145</f>
        <v>48234.623692054112</v>
      </c>
      <c r="W145" s="1"/>
      <c r="Z145" s="1"/>
      <c r="AA145" s="1"/>
      <c r="AB145" s="1"/>
      <c r="AC145" s="1"/>
      <c r="AD145" s="1"/>
      <c r="AE145" s="1"/>
      <c r="AF145" s="1"/>
      <c r="AG145" s="1"/>
      <c r="AH145" s="1"/>
      <c r="AK145" s="1"/>
      <c r="AL145" s="1"/>
      <c r="AM145" s="1"/>
      <c r="AN145" s="1"/>
      <c r="AO145" s="1"/>
      <c r="AP145" s="1"/>
      <c r="AQ145" s="1"/>
      <c r="AR145" s="1"/>
      <c r="AS145" s="1"/>
      <c r="AV145" s="1"/>
      <c r="AW145" s="1"/>
      <c r="BR145" s="1"/>
      <c r="BS145" s="1"/>
      <c r="BT145" s="1"/>
      <c r="DV145">
        <v>5</v>
      </c>
      <c r="DW145" t="s">
        <v>32</v>
      </c>
      <c r="DX145" s="8">
        <v>43943</v>
      </c>
      <c r="DY145">
        <v>10</v>
      </c>
      <c r="DZ145">
        <v>276</v>
      </c>
      <c r="EA145">
        <v>0</v>
      </c>
      <c r="GA145" s="10">
        <v>43985</v>
      </c>
      <c r="GB145">
        <v>1851520</v>
      </c>
      <c r="GC145" s="13">
        <f>(GB145/GB144)-1</f>
        <v>0.010753779981777623</v>
      </c>
      <c r="GD145" s="2"/>
      <c r="GV145" s="8">
        <v>43978</v>
      </c>
      <c r="GW145">
        <v>12</v>
      </c>
      <c r="GX145" t="s">
        <v>41</v>
      </c>
      <c r="GY145">
        <v>23</v>
      </c>
      <c r="HB145">
        <v>470</v>
      </c>
      <c r="HC145">
        <v>3</v>
      </c>
      <c r="HF145">
        <v>121</v>
      </c>
      <c r="HG145">
        <v>2474</v>
      </c>
    </row>
    <row r="146" spans="1:325" ht="19.57">
      <c r="C146">
        <f>H145*D146</f>
        <v>85.090517880561549</v>
      </c>
      <c r="D146">
        <f>D145</f>
        <v>0.0017640962314499999</v>
      </c>
      <c r="E146" t="s">
        <v>35</v>
      </c>
      <c r="F146" s="10">
        <v>44034</v>
      </c>
      <c r="H146">
        <f>H145+C146</f>
        <v>48319.714209934675</v>
      </c>
      <c r="W146" s="1"/>
      <c r="Z146" s="1"/>
      <c r="AA146" s="1"/>
      <c r="AB146" s="1"/>
      <c r="AC146" s="1"/>
      <c r="AD146" s="1"/>
      <c r="AE146" s="1"/>
      <c r="AF146" s="1"/>
      <c r="AG146" s="1"/>
      <c r="AH146" s="1"/>
      <c r="AK146" s="1"/>
      <c r="AL146" s="1"/>
      <c r="AM146" s="1"/>
      <c r="AN146" s="1"/>
      <c r="AO146" s="1"/>
      <c r="AP146" s="1"/>
      <c r="AQ146" s="1"/>
      <c r="AR146" s="1"/>
      <c r="AS146" s="1"/>
      <c r="AV146" s="1"/>
      <c r="AW146" s="1"/>
      <c r="DV146">
        <v>5</v>
      </c>
      <c r="DW146" t="s">
        <v>32</v>
      </c>
      <c r="DX146" s="8">
        <v>43944</v>
      </c>
      <c r="DY146">
        <v>12</v>
      </c>
      <c r="DZ146">
        <v>331</v>
      </c>
      <c r="EA146">
        <v>0</v>
      </c>
      <c r="GA146" s="10">
        <v>43986</v>
      </c>
      <c r="GB146">
        <v>1872660</v>
      </c>
      <c r="GC146" s="13">
        <f>(GB146/GB145)-1</f>
        <v>0.011417646042170659</v>
      </c>
      <c r="GD146" s="2"/>
      <c r="GV146" s="8">
        <v>43979</v>
      </c>
      <c r="GW146">
        <v>12</v>
      </c>
      <c r="GX146" t="s">
        <v>41</v>
      </c>
      <c r="GY146">
        <v>23</v>
      </c>
      <c r="HB146">
        <v>470</v>
      </c>
      <c r="HC146">
        <v>3</v>
      </c>
      <c r="HF146">
        <v>124</v>
      </c>
      <c r="HG146">
        <v>2536</v>
      </c>
    </row>
    <row r="147" spans="1:325" ht="19.57">
      <c r="C147">
        <f>H146*D147</f>
        <v>85.24062574248677</v>
      </c>
      <c r="D147">
        <f>D146</f>
        <v>0.0017640962314499999</v>
      </c>
      <c r="E147" t="s">
        <v>37</v>
      </c>
      <c r="F147" s="10">
        <v>44035</v>
      </c>
      <c r="H147">
        <f>H146+C147</f>
        <v>48404.954835677163</v>
      </c>
      <c r="W147" s="1"/>
      <c r="Z147" s="1"/>
      <c r="AA147" s="1"/>
      <c r="AB147" s="1"/>
      <c r="AC147" s="1"/>
      <c r="AD147" s="1"/>
      <c r="AE147" s="1"/>
      <c r="AF147" s="1"/>
      <c r="AG147" s="1"/>
      <c r="AH147" s="1"/>
      <c r="AK147" s="1"/>
      <c r="AL147" s="1"/>
      <c r="AM147" s="1"/>
      <c r="AN147" s="1"/>
      <c r="AO147" s="1"/>
      <c r="AP147" s="1"/>
      <c r="AQ147" s="1"/>
      <c r="AR147" s="1"/>
      <c r="AS147" s="1"/>
      <c r="AV147" s="1"/>
      <c r="AW147" s="1"/>
      <c r="DV147">
        <v>5</v>
      </c>
      <c r="DW147" t="s">
        <v>32</v>
      </c>
      <c r="DX147" s="8">
        <v>43945</v>
      </c>
      <c r="DY147">
        <v>13</v>
      </c>
      <c r="DZ147">
        <v>359</v>
      </c>
      <c r="EA147">
        <v>0</v>
      </c>
      <c r="GA147" s="10">
        <v>43987</v>
      </c>
      <c r="GB147">
        <v>1897380</v>
      </c>
      <c r="GC147" s="13">
        <f>(GB147/GB146)-1</f>
        <v>0.013200474191791267</v>
      </c>
      <c r="GD147" s="2"/>
      <c r="GV147" s="8">
        <v>43980</v>
      </c>
      <c r="GW147">
        <v>12</v>
      </c>
      <c r="GX147" t="s">
        <v>41</v>
      </c>
      <c r="GY147">
        <v>23</v>
      </c>
      <c r="HB147">
        <v>470</v>
      </c>
      <c r="HC147">
        <v>3</v>
      </c>
      <c r="HF147">
        <v>134</v>
      </c>
      <c r="HG147">
        <v>2740</v>
      </c>
    </row>
    <row r="148" spans="1:325" ht="19.57">
      <c r="C148">
        <f>H147*D148</f>
        <v>85.39099840912553</v>
      </c>
      <c r="D148">
        <f>D147</f>
        <v>0.0017640962314499999</v>
      </c>
      <c r="E148" t="s">
        <v>38</v>
      </c>
      <c r="F148" s="10">
        <v>44036</v>
      </c>
      <c r="H148">
        <f>H147+C148</f>
        <v>48490.345834086285</v>
      </c>
      <c r="W148" s="1"/>
      <c r="Z148" s="1"/>
      <c r="AA148" s="1"/>
      <c r="AB148" s="1"/>
      <c r="AC148" s="1"/>
      <c r="AD148" s="1"/>
      <c r="AE148" s="1"/>
      <c r="AF148" s="1"/>
      <c r="AG148" s="1"/>
      <c r="AH148" s="1"/>
      <c r="AK148" s="1"/>
      <c r="AL148" s="1"/>
      <c r="AM148" s="1"/>
      <c r="AN148" s="1"/>
      <c r="AO148" s="1"/>
      <c r="AP148" s="1"/>
      <c r="AQ148" s="1"/>
      <c r="AR148" s="1"/>
      <c r="AS148" s="1"/>
      <c r="AV148" s="1"/>
      <c r="AW148" s="1"/>
      <c r="DV148">
        <v>5</v>
      </c>
      <c r="DW148" t="s">
        <v>32</v>
      </c>
      <c r="DX148" s="8">
        <v>43946</v>
      </c>
      <c r="DY148">
        <v>13</v>
      </c>
      <c r="DZ148">
        <v>359</v>
      </c>
      <c r="EA148">
        <v>0</v>
      </c>
      <c r="GA148" s="10">
        <v>43988</v>
      </c>
      <c r="GB148">
        <v>1920061</v>
      </c>
      <c r="GC148" s="13">
        <f>(GB148/GB147)-1</f>
        <v>0.011953852154023004</v>
      </c>
      <c r="GD148" s="2"/>
      <c r="GV148" s="8">
        <v>43981</v>
      </c>
      <c r="GW148">
        <v>12</v>
      </c>
      <c r="GX148" t="s">
        <v>41</v>
      </c>
      <c r="GY148">
        <v>23</v>
      </c>
      <c r="HB148">
        <v>470</v>
      </c>
      <c r="HC148">
        <v>3</v>
      </c>
      <c r="HF148">
        <v>135</v>
      </c>
      <c r="HG148">
        <v>2761</v>
      </c>
    </row>
    <row r="149" spans="1:325" ht="19.57">
      <c r="C149">
        <f>H148*D149</f>
        <v>85.54163634761882</v>
      </c>
      <c r="D149">
        <f>D148</f>
        <v>0.0017640962314499999</v>
      </c>
      <c r="E149" t="s">
        <v>40</v>
      </c>
      <c r="F149" s="10">
        <v>44037</v>
      </c>
      <c r="H149">
        <f>H148+C149</f>
        <v>48575.887470433903</v>
      </c>
      <c r="W149" s="1"/>
      <c r="Z149" s="1"/>
      <c r="AA149" s="1"/>
      <c r="AB149" s="1"/>
      <c r="AC149" s="1"/>
      <c r="AD149" s="1"/>
      <c r="AE149" s="1"/>
      <c r="AF149" s="1"/>
      <c r="AG149" s="1"/>
      <c r="AH149" s="1"/>
      <c r="AK149" s="1"/>
      <c r="AL149" s="1"/>
      <c r="AM149" s="1"/>
      <c r="AN149" s="1"/>
      <c r="AO149" s="1"/>
      <c r="AP149" s="1"/>
      <c r="AQ149" s="1"/>
      <c r="AR149" s="1"/>
      <c r="AS149" s="1"/>
      <c r="AV149" s="1"/>
      <c r="AW149" s="1"/>
      <c r="DV149">
        <v>5</v>
      </c>
      <c r="DW149" t="s">
        <v>32</v>
      </c>
      <c r="DX149" s="8">
        <v>43947</v>
      </c>
      <c r="DY149">
        <v>14</v>
      </c>
      <c r="DZ149">
        <v>386</v>
      </c>
      <c r="EA149">
        <v>0</v>
      </c>
      <c r="GA149" s="10">
        <v>43989</v>
      </c>
      <c r="GB149">
        <v>1943988</v>
      </c>
      <c r="GC149" s="13">
        <f>(GB149/GB148)-1</f>
        <v>0.012461583251782038</v>
      </c>
      <c r="GD149" s="2"/>
      <c r="GV149" s="8">
        <v>43982</v>
      </c>
      <c r="GW149">
        <v>12</v>
      </c>
      <c r="GX149" t="s">
        <v>41</v>
      </c>
      <c r="GY149">
        <v>23</v>
      </c>
      <c r="GZ149">
        <v>21</v>
      </c>
      <c r="HA149">
        <v>2</v>
      </c>
      <c r="HB149">
        <v>470</v>
      </c>
      <c r="HC149">
        <v>3</v>
      </c>
      <c r="HD149">
        <v>2</v>
      </c>
      <c r="HE149">
        <v>1</v>
      </c>
      <c r="HF149">
        <v>140</v>
      </c>
      <c r="HG149">
        <v>2863</v>
      </c>
      <c r="HH149">
        <v>162</v>
      </c>
      <c r="HI149">
        <v>29</v>
      </c>
      <c r="HJ149">
        <v>133</v>
      </c>
      <c r="HK149">
        <v>0</v>
      </c>
    </row>
    <row r="150" spans="1:325" ht="19.57">
      <c r="C150">
        <f>H149*D150</f>
        <v>85.69254002593172</v>
      </c>
      <c r="D150">
        <f>D149</f>
        <v>0.0017640962314499999</v>
      </c>
      <c r="E150" t="s">
        <v>30</v>
      </c>
      <c r="F150" s="10">
        <v>44038</v>
      </c>
      <c r="H150">
        <f>H149+C150</f>
        <v>48661.580010459838</v>
      </c>
      <c r="DV150">
        <v>5</v>
      </c>
      <c r="DW150" t="s">
        <v>32</v>
      </c>
      <c r="DX150" s="8">
        <v>43948</v>
      </c>
      <c r="DY150">
        <v>14</v>
      </c>
      <c r="DZ150">
        <v>386</v>
      </c>
      <c r="EA150">
        <v>0</v>
      </c>
      <c r="GA150" s="10">
        <v>43990</v>
      </c>
      <c r="GB150">
        <v>1961621</v>
      </c>
      <c r="GC150" s="13">
        <f>(GB150/GB149)-1</f>
        <v>0.0090705292419499539</v>
      </c>
      <c r="GD150" s="2"/>
      <c r="GV150" s="8">
        <v>43983</v>
      </c>
      <c r="GW150">
        <v>12</v>
      </c>
      <c r="GX150" t="s">
        <v>41</v>
      </c>
      <c r="GY150">
        <v>23</v>
      </c>
      <c r="GZ150">
        <v>21</v>
      </c>
      <c r="HA150">
        <v>2</v>
      </c>
      <c r="HB150">
        <v>470</v>
      </c>
      <c r="HC150">
        <v>3</v>
      </c>
      <c r="HD150">
        <v>2</v>
      </c>
      <c r="HE150">
        <v>1</v>
      </c>
      <c r="HF150">
        <v>143</v>
      </c>
      <c r="HG150">
        <v>2924</v>
      </c>
      <c r="HH150">
        <v>166</v>
      </c>
      <c r="HI150">
        <v>30</v>
      </c>
      <c r="HJ150">
        <v>136</v>
      </c>
      <c r="HK150">
        <v>0</v>
      </c>
      <c r="ID150" t="s">
        <v>1</v>
      </c>
    </row>
    <row r="151" spans="1:325" ht="20.25">
      <c r="C151">
        <f>H150*D151</f>
        <v>85.843709912854848</v>
      </c>
      <c r="D151">
        <f>D150</f>
        <v>0.0017640962314499999</v>
      </c>
      <c r="E151" t="s">
        <v>33</v>
      </c>
      <c r="F151" s="10">
        <v>44039</v>
      </c>
      <c r="H151">
        <f>H150+C151</f>
        <v>48747.423720372695</v>
      </c>
      <c r="DV151">
        <v>5</v>
      </c>
      <c r="DW151" t="s">
        <v>32</v>
      </c>
      <c r="DX151" s="8">
        <v>43949</v>
      </c>
      <c r="DY151">
        <v>14</v>
      </c>
      <c r="DZ151">
        <v>386</v>
      </c>
      <c r="EA151">
        <v>0</v>
      </c>
      <c r="GA151" s="10">
        <v>43991</v>
      </c>
      <c r="GB151">
        <v>1979699</v>
      </c>
      <c r="GC151" s="13">
        <f>(GB151/GB150)-1</f>
        <v>0.0092158475057109168</v>
      </c>
      <c r="GV151" s="8">
        <v>43984</v>
      </c>
      <c r="GW151">
        <v>12</v>
      </c>
      <c r="GX151" t="s">
        <v>41</v>
      </c>
      <c r="GY151">
        <v>22</v>
      </c>
      <c r="GZ151">
        <v>20</v>
      </c>
      <c r="HA151">
        <v>2</v>
      </c>
      <c r="HB151">
        <v>450</v>
      </c>
      <c r="HC151">
        <v>3</v>
      </c>
      <c r="HD151">
        <v>2</v>
      </c>
      <c r="HE151">
        <v>1</v>
      </c>
      <c r="HF151">
        <v>144</v>
      </c>
      <c r="HG151">
        <v>2945</v>
      </c>
      <c r="HH151">
        <v>167</v>
      </c>
      <c r="HI151">
        <v>29</v>
      </c>
      <c r="HJ151">
        <v>138</v>
      </c>
      <c r="HK151">
        <v>0</v>
      </c>
    </row>
    <row r="152" spans="1:325" ht="20.25">
      <c r="C152">
        <f>H151*D152</f>
        <v>85.995146478005807</v>
      </c>
      <c r="D152">
        <f>D151</f>
        <v>0.0017640962314499999</v>
      </c>
      <c r="E152" t="s">
        <v>34</v>
      </c>
      <c r="F152" s="10">
        <v>44040</v>
      </c>
      <c r="H152">
        <f>H151+C152</f>
        <v>48833.418866850698</v>
      </c>
      <c r="DV152">
        <v>5</v>
      </c>
      <c r="DW152" t="s">
        <v>32</v>
      </c>
      <c r="DX152" s="8">
        <v>43950</v>
      </c>
      <c r="DY152">
        <v>14</v>
      </c>
      <c r="DZ152">
        <v>386</v>
      </c>
      <c r="EA152">
        <v>0</v>
      </c>
      <c r="GA152" s="10">
        <v>43992</v>
      </c>
      <c r="GB152">
        <v>2000702</v>
      </c>
      <c r="GC152" s="13">
        <f>(GB152/GB151)-1</f>
        <v>0.010609188568565298</v>
      </c>
      <c r="GV152" s="8">
        <v>43914</v>
      </c>
      <c r="GW152">
        <v>30</v>
      </c>
      <c r="GX152" t="s">
        <v>104</v>
      </c>
      <c r="GY152">
        <v>1</v>
      </c>
      <c r="HC152">
        <v>0</v>
      </c>
    </row>
    <row r="153" spans="1:325" ht="20.25">
      <c r="C153">
        <f>H152*D153</f>
        <v>86.146850191830637</v>
      </c>
      <c r="D153">
        <f>D152</f>
        <v>0.0017640962314499999</v>
      </c>
      <c r="E153" t="s">
        <v>35</v>
      </c>
      <c r="F153" s="10">
        <v>44041</v>
      </c>
      <c r="H153">
        <f>H152+C153</f>
        <v>48919.565717042526</v>
      </c>
      <c r="DV153">
        <v>5</v>
      </c>
      <c r="DW153" t="s">
        <v>32</v>
      </c>
      <c r="DX153" s="8">
        <v>43951</v>
      </c>
      <c r="DY153">
        <v>16</v>
      </c>
      <c r="DZ153">
        <v>442</v>
      </c>
      <c r="EA153">
        <v>0</v>
      </c>
      <c r="GA153" s="10">
        <v>43993</v>
      </c>
      <c r="GB153">
        <v>2023590</v>
      </c>
      <c r="GC153" s="13">
        <f>(GB153/GB152)-1</f>
        <v>0.011439984565417616</v>
      </c>
      <c r="GV153" s="8">
        <v>43915</v>
      </c>
      <c r="GW153">
        <v>30</v>
      </c>
      <c r="GX153" t="s">
        <v>104</v>
      </c>
      <c r="GY153">
        <v>1</v>
      </c>
      <c r="HC153">
        <v>0</v>
      </c>
    </row>
    <row r="154" spans="1:325" ht="20.25">
      <c r="C154">
        <f>H153*D154</f>
        <v>86.298821525605334</v>
      </c>
      <c r="D154">
        <f>D153</f>
        <v>0.0017640962314499999</v>
      </c>
      <c r="E154" t="s">
        <v>37</v>
      </c>
      <c r="F154" s="10">
        <v>44042</v>
      </c>
      <c r="H154">
        <f>H153+C154</f>
        <v>49005.86453856813</v>
      </c>
      <c r="W154" s="1"/>
      <c r="Z154" s="1"/>
      <c r="AA154" s="1"/>
      <c r="AB154" s="1"/>
      <c r="AC154" s="1"/>
      <c r="AD154" s="1"/>
      <c r="AE154" s="1"/>
      <c r="AF154" s="1"/>
      <c r="AG154" s="1"/>
      <c r="AH154" s="1"/>
      <c r="AK154" s="1"/>
      <c r="AL154" s="1"/>
      <c r="AM154" s="1"/>
      <c r="AN154" s="1"/>
      <c r="AO154" s="1"/>
      <c r="AP154" s="1"/>
      <c r="AQ154" s="1"/>
      <c r="AR154" s="1"/>
      <c r="AS154" s="1"/>
      <c r="AV154" s="1"/>
      <c r="AW154" s="1"/>
      <c r="DV154">
        <v>5</v>
      </c>
      <c r="DW154" t="s">
        <v>32</v>
      </c>
      <c r="DX154" s="8">
        <v>43952</v>
      </c>
      <c r="DY154">
        <v>16</v>
      </c>
      <c r="DZ154">
        <v>442</v>
      </c>
      <c r="EA154">
        <v>0</v>
      </c>
      <c r="GA154" s="10">
        <v>43994</v>
      </c>
      <c r="GB154">
        <v>2048986</v>
      </c>
      <c r="GC154" s="13">
        <f>(GB154/GB153)-1</f>
        <v>0.012549973067666809</v>
      </c>
      <c r="GV154" s="8">
        <v>43916</v>
      </c>
      <c r="GW154">
        <v>30</v>
      </c>
      <c r="GX154" t="s">
        <v>104</v>
      </c>
      <c r="GY154">
        <v>1</v>
      </c>
      <c r="HC154">
        <v>0</v>
      </c>
    </row>
    <row r="155" spans="1:325" ht="20.25">
      <c r="C155">
        <f>H154*D155</f>
        <v>86.451060951437228</v>
      </c>
      <c r="D155">
        <f>D154</f>
        <v>0.0017640962314499999</v>
      </c>
      <c r="E155" t="s">
        <v>38</v>
      </c>
      <c r="F155" s="10">
        <v>44043</v>
      </c>
      <c r="H155">
        <f>H154+C155</f>
        <v>49092.31559951957</v>
      </c>
      <c r="W155" s="1"/>
      <c r="Z155" s="1"/>
      <c r="AA155" s="1"/>
      <c r="AB155" s="1"/>
      <c r="AC155" s="1"/>
      <c r="AD155" s="1"/>
      <c r="AE155" s="1"/>
      <c r="AF155" s="1"/>
      <c r="AG155" s="1"/>
      <c r="AH155" s="1"/>
      <c r="AK155" s="1"/>
      <c r="AL155" s="1"/>
      <c r="AM155" s="1"/>
      <c r="AN155" s="1"/>
      <c r="AO155" s="1"/>
      <c r="AP155" s="1"/>
      <c r="AQ155" s="1"/>
      <c r="AR155" s="1"/>
      <c r="AS155" s="1"/>
      <c r="AV155" s="1"/>
      <c r="AW155" s="1"/>
      <c r="DV155">
        <v>5</v>
      </c>
      <c r="DW155" t="s">
        <v>32</v>
      </c>
      <c r="DX155" s="8">
        <v>43953</v>
      </c>
      <c r="DY155">
        <v>16</v>
      </c>
      <c r="DZ155">
        <v>442</v>
      </c>
      <c r="EA155">
        <v>0</v>
      </c>
      <c r="GA155" s="10">
        <v>43995</v>
      </c>
      <c r="GB155">
        <v>2074526</v>
      </c>
      <c r="GC155" s="13">
        <f>(GB155/GB154)-1</f>
        <v>0.012464702052624954</v>
      </c>
      <c r="GD155" s="2"/>
      <c r="GV155" s="8">
        <v>43917</v>
      </c>
      <c r="GW155">
        <v>30</v>
      </c>
      <c r="GX155" t="s">
        <v>104</v>
      </c>
      <c r="GY155">
        <v>2</v>
      </c>
      <c r="HC155">
        <v>0</v>
      </c>
    </row>
    <row r="156" spans="1:325" ht="20.25">
      <c r="C156">
        <f>H155*D156</f>
        <v>86.60356894226652</v>
      </c>
      <c r="D156">
        <f>D155</f>
        <v>0.0017640962314499999</v>
      </c>
      <c r="E156" t="s">
        <v>40</v>
      </c>
      <c r="F156" s="10">
        <v>44044</v>
      </c>
      <c r="H156">
        <f>H155+C156</f>
        <v>49178.919168461834</v>
      </c>
      <c r="W156" s="1"/>
      <c r="Z156" s="1"/>
      <c r="AA156" s="1"/>
      <c r="AB156" s="1"/>
      <c r="AC156" s="1"/>
      <c r="AD156" s="1"/>
      <c r="AE156" s="1"/>
      <c r="AF156" s="1"/>
      <c r="AG156" s="1"/>
      <c r="AH156" s="1"/>
      <c r="AK156" s="1"/>
      <c r="AL156" s="1"/>
      <c r="AM156" s="1"/>
      <c r="AN156" s="1"/>
      <c r="AO156" s="1"/>
      <c r="AP156" s="1"/>
      <c r="AQ156" s="1"/>
      <c r="AR156" s="1"/>
      <c r="AS156" s="1"/>
      <c r="AV156" s="1"/>
      <c r="AW156" s="1"/>
      <c r="DV156">
        <v>5</v>
      </c>
      <c r="DW156" t="s">
        <v>32</v>
      </c>
      <c r="DX156" s="8">
        <v>43954</v>
      </c>
      <c r="DY156">
        <v>16</v>
      </c>
      <c r="DZ156">
        <v>442</v>
      </c>
      <c r="EA156">
        <v>0</v>
      </c>
      <c r="GA156" s="10">
        <v>43996</v>
      </c>
      <c r="GB156">
        <v>2094058</v>
      </c>
      <c r="GC156" s="13">
        <f>(GB156/GB155)-1</f>
        <v>0.0094151627889937917</v>
      </c>
      <c r="GV156" s="8">
        <v>43918</v>
      </c>
      <c r="GW156">
        <v>30</v>
      </c>
      <c r="GX156" t="s">
        <v>104</v>
      </c>
      <c r="GY156">
        <v>2</v>
      </c>
      <c r="HC156">
        <v>0</v>
      </c>
    </row>
    <row r="157" spans="1:325" ht="20.25">
      <c r="C157">
        <f>H156*D157</f>
        <v>86.756345971867688</v>
      </c>
      <c r="D157">
        <f>D156</f>
        <v>0.0017640962314499999</v>
      </c>
      <c r="E157" t="s">
        <v>30</v>
      </c>
      <c r="F157" s="10">
        <v>44045</v>
      </c>
      <c r="H157">
        <f>H156+C157</f>
        <v>49265.6755144337</v>
      </c>
      <c r="W157" s="1"/>
      <c r="Z157" s="1"/>
      <c r="AA157" s="1"/>
      <c r="AB157" s="1"/>
      <c r="AC157" s="1"/>
      <c r="AD157" s="1"/>
      <c r="AE157" s="1"/>
      <c r="AF157" s="1"/>
      <c r="AG157" s="1"/>
      <c r="AH157" s="1"/>
      <c r="AK157" s="1"/>
      <c r="AL157" s="1"/>
      <c r="AM157" s="1"/>
      <c r="AN157" s="1"/>
      <c r="AO157" s="1"/>
      <c r="AP157" s="1"/>
      <c r="AQ157" s="1"/>
      <c r="AR157" s="1"/>
      <c r="AS157" s="1"/>
      <c r="AV157" s="1"/>
      <c r="AW157" s="1"/>
      <c r="DV157">
        <v>5</v>
      </c>
      <c r="DW157" t="s">
        <v>32</v>
      </c>
      <c r="DX157" s="8">
        <v>43955</v>
      </c>
      <c r="DY157">
        <v>18</v>
      </c>
      <c r="DZ157">
        <v>497</v>
      </c>
      <c r="EA157">
        <v>0</v>
      </c>
      <c r="GA157" s="10">
        <v>43997</v>
      </c>
      <c r="GB157">
        <v>2114026</v>
      </c>
      <c r="GC157" s="13">
        <f>(GB157/GB156)-1</f>
        <v>0.0095355525014111375</v>
      </c>
      <c r="GV157" s="8">
        <v>43919</v>
      </c>
      <c r="GW157">
        <v>30</v>
      </c>
      <c r="GX157" t="s">
        <v>104</v>
      </c>
      <c r="GY157">
        <v>2</v>
      </c>
      <c r="HC157">
        <v>0</v>
      </c>
    </row>
    <row r="158" spans="1:325" ht="20.25">
      <c r="C158">
        <f>H157*D158</f>
        <v>86.909392514851035</v>
      </c>
      <c r="D158">
        <f>D157</f>
        <v>0.0017640962314499999</v>
      </c>
      <c r="E158" t="s">
        <v>33</v>
      </c>
      <c r="F158" s="10">
        <v>44046</v>
      </c>
      <c r="H158">
        <f>H157+C158</f>
        <v>49352.584906948548</v>
      </c>
      <c r="W158" s="1"/>
      <c r="Z158" s="1"/>
      <c r="AA158" s="1"/>
      <c r="AB158" s="1"/>
      <c r="AC158" s="1"/>
      <c r="AD158" s="1"/>
      <c r="AE158" s="1"/>
      <c r="AF158" s="1"/>
      <c r="AG158" s="1"/>
      <c r="AH158" s="1"/>
      <c r="AK158" s="1"/>
      <c r="AL158" s="1"/>
      <c r="AM158" s="1"/>
      <c r="AN158" s="1"/>
      <c r="AO158" s="1"/>
      <c r="AP158" s="1"/>
      <c r="AQ158" s="1"/>
      <c r="AR158" s="1"/>
      <c r="AS158" s="1"/>
      <c r="AV158" s="1"/>
      <c r="AW158" s="1"/>
      <c r="DV158">
        <v>5</v>
      </c>
      <c r="DW158" t="s">
        <v>32</v>
      </c>
      <c r="DX158" s="8">
        <v>43956</v>
      </c>
      <c r="DY158">
        <v>19</v>
      </c>
      <c r="DZ158">
        <v>524</v>
      </c>
      <c r="EA158">
        <v>0</v>
      </c>
      <c r="FZ158" t="inlineStr">
        <is>
          <t>May be current (likely to be):</t>
        </is>
      </c>
      <c r="GA158" s="10">
        <v>43998</v>
      </c>
      <c r="GB158">
        <v>2137731</v>
      </c>
      <c r="GC158" s="13">
        <f>(GB158/GB157)-1</f>
        <v>0.011213201729780131</v>
      </c>
      <c r="GE158" t="s">
        <v>105</v>
      </c>
      <c r="GV158" s="8">
        <v>43920</v>
      </c>
      <c r="GW158">
        <v>30</v>
      </c>
      <c r="GX158" t="s">
        <v>104</v>
      </c>
      <c r="GY158">
        <v>2</v>
      </c>
      <c r="HC158">
        <v>0</v>
      </c>
    </row>
    <row r="159" spans="1:325" ht="20.25">
      <c r="C159">
        <f>H158*D159</f>
        <v>87.062709046664082</v>
      </c>
      <c r="D159">
        <f>D158</f>
        <v>0.0017640962314499999</v>
      </c>
      <c r="E159" t="s">
        <v>34</v>
      </c>
      <c r="F159" s="10">
        <v>44047</v>
      </c>
      <c r="H159">
        <f>H158+C159</f>
        <v>49439.647615995214</v>
      </c>
      <c r="W159" s="1"/>
      <c r="Z159" s="1"/>
      <c r="AA159" s="1"/>
      <c r="AB159" s="1"/>
      <c r="AC159" s="1"/>
      <c r="AD159" s="1"/>
      <c r="AE159" s="1"/>
      <c r="AF159" s="1"/>
      <c r="AG159" s="1"/>
      <c r="AH159" s="1"/>
      <c r="AK159" s="1"/>
      <c r="AL159" s="1"/>
      <c r="AM159" s="1"/>
      <c r="AN159" s="1"/>
      <c r="AO159" s="1"/>
      <c r="AP159" s="1"/>
      <c r="AQ159" s="1"/>
      <c r="AR159" s="1"/>
      <c r="AS159" s="1"/>
      <c r="AV159" s="1"/>
      <c r="AW159" s="1"/>
      <c r="BT159" s="1"/>
      <c r="BU159" s="1"/>
      <c r="BV159" s="1"/>
      <c r="BW159" s="1"/>
      <c r="BX159" s="1"/>
      <c r="BY159" s="1"/>
      <c r="DV159">
        <v>5</v>
      </c>
      <c r="DW159" t="s">
        <v>32</v>
      </c>
      <c r="DX159" s="8">
        <v>43957</v>
      </c>
      <c r="DY159">
        <v>19</v>
      </c>
      <c r="DZ159">
        <v>524</v>
      </c>
      <c r="EA159">
        <v>0</v>
      </c>
      <c r="FZ159" t="inlineStr">
        <is>
          <t>TENTATIVE</t>
        </is>
      </c>
      <c r="GA159" s="10">
        <v>43999</v>
      </c>
      <c r="GB159">
        <v>2163290</v>
      </c>
      <c r="GC159" s="13">
        <f>(GB159/GB158)-1</f>
        <v>0.011956134798999596</v>
      </c>
      <c r="GE159" t="s">
        <v>105</v>
      </c>
      <c r="GV159" s="8">
        <v>43921</v>
      </c>
      <c r="GW159">
        <v>30</v>
      </c>
      <c r="GX159" t="s">
        <v>104</v>
      </c>
      <c r="GY159">
        <v>2</v>
      </c>
      <c r="HC159">
        <v>0</v>
      </c>
    </row>
    <row r="160" spans="1:325" ht="20.25">
      <c r="C160">
        <f>H159*D160</f>
        <v>87.216296043593132</v>
      </c>
      <c r="D160">
        <f>D159</f>
        <v>0.0017640962314499999</v>
      </c>
      <c r="E160" t="s">
        <v>35</v>
      </c>
      <c r="F160" s="10">
        <v>44048</v>
      </c>
      <c r="H160">
        <f>H159+C160</f>
        <v>49526.863912038811</v>
      </c>
      <c r="W160" s="1"/>
      <c r="Z160" s="1"/>
      <c r="AA160" s="1"/>
      <c r="AB160" s="1"/>
      <c r="AC160" s="1"/>
      <c r="AD160" s="1"/>
      <c r="AE160" s="1"/>
      <c r="AF160" s="1"/>
      <c r="AG160" s="1"/>
      <c r="AH160" s="1"/>
      <c r="AK160" s="1"/>
      <c r="AL160" s="1"/>
      <c r="AM160" s="1"/>
      <c r="AN160" s="1"/>
      <c r="AO160" s="1"/>
      <c r="AP160" s="1"/>
      <c r="AQ160" s="1"/>
      <c r="AR160" s="1"/>
      <c r="AS160" s="1"/>
      <c r="AV160" s="1"/>
      <c r="AW160" s="1"/>
      <c r="BT160" s="1"/>
      <c r="BU160" s="1"/>
      <c r="BV160" s="1"/>
      <c r="BW160" s="1"/>
      <c r="BX160" s="1"/>
      <c r="BY160" s="1"/>
      <c r="DV160">
        <v>5</v>
      </c>
      <c r="DW160" t="s">
        <v>32</v>
      </c>
      <c r="DX160" s="8">
        <v>43958</v>
      </c>
      <c r="DY160">
        <v>19</v>
      </c>
      <c r="DZ160">
        <v>524</v>
      </c>
      <c r="EA160">
        <v>0</v>
      </c>
      <c r="GB160" s="1"/>
      <c r="GV160" s="8">
        <v>43922</v>
      </c>
      <c r="GW160">
        <v>30</v>
      </c>
      <c r="GX160" t="s">
        <v>104</v>
      </c>
      <c r="GY160">
        <v>2</v>
      </c>
      <c r="HC160">
        <v>0</v>
      </c>
    </row>
    <row r="161" spans="1:325" ht="20.25">
      <c r="C161">
        <f>H160*D161</f>
        <v>87.370153982764663</v>
      </c>
      <c r="D161">
        <f>D160</f>
        <v>0.0017640962314499999</v>
      </c>
      <c r="E161" t="s">
        <v>37</v>
      </c>
      <c r="F161" s="10">
        <v>44049</v>
      </c>
      <c r="H161">
        <f>H160+C161</f>
        <v>49614.234066021578</v>
      </c>
      <c r="W161" s="1"/>
      <c r="Z161" s="1"/>
      <c r="AA161" s="1"/>
      <c r="AB161" s="1"/>
      <c r="AC161" s="1"/>
      <c r="AD161" s="1"/>
      <c r="AE161" s="1"/>
      <c r="AF161" s="1"/>
      <c r="AG161" s="1"/>
      <c r="AH161" s="1"/>
      <c r="AK161" s="1"/>
      <c r="AL161" s="1"/>
      <c r="AM161" s="1"/>
      <c r="AN161" s="1"/>
      <c r="AO161" s="1"/>
      <c r="AP161" s="1"/>
      <c r="AQ161" s="1"/>
      <c r="AR161" s="1"/>
      <c r="AS161" s="1"/>
      <c r="AV161" s="1"/>
      <c r="AW161" s="1"/>
      <c r="BT161" s="1"/>
      <c r="BU161" s="1"/>
      <c r="BV161" s="1"/>
      <c r="BW161" s="1"/>
      <c r="BX161" s="1"/>
      <c r="BY161" s="1"/>
      <c r="DV161">
        <v>5</v>
      </c>
      <c r="DW161" t="s">
        <v>32</v>
      </c>
      <c r="DX161" s="8">
        <v>43959</v>
      </c>
      <c r="DY161">
        <v>19</v>
      </c>
      <c r="DZ161">
        <v>524</v>
      </c>
      <c r="EA161">
        <v>0</v>
      </c>
      <c r="GB161" s="4"/>
      <c r="GV161" s="8">
        <v>43923</v>
      </c>
      <c r="GW161">
        <v>30</v>
      </c>
      <c r="GX161" t="s">
        <v>104</v>
      </c>
      <c r="GY161">
        <v>2</v>
      </c>
      <c r="HC161">
        <v>0</v>
      </c>
    </row>
    <row r="162" spans="1:325" ht="20.25">
      <c r="C162">
        <f>H161*D162</f>
        <v>87.524283342146873</v>
      </c>
      <c r="D162">
        <f>D161</f>
        <v>0.0017640962314499999</v>
      </c>
      <c r="E162" t="s">
        <v>38</v>
      </c>
      <c r="F162" s="10">
        <v>44050</v>
      </c>
      <c r="H162">
        <f>H161+C162</f>
        <v>49701.758349363721</v>
      </c>
      <c r="W162" s="1"/>
      <c r="Z162" s="1"/>
      <c r="AA162" s="1"/>
      <c r="AB162" s="1"/>
      <c r="AC162" s="1"/>
      <c r="AD162" s="1"/>
      <c r="AE162" s="1"/>
      <c r="AF162" s="1"/>
      <c r="AG162" s="1"/>
      <c r="AH162" s="1"/>
      <c r="AK162" s="1"/>
      <c r="AL162" s="1"/>
      <c r="AM162" s="1"/>
      <c r="AN162" s="1"/>
      <c r="AO162" s="1"/>
      <c r="AP162" s="1"/>
      <c r="AQ162" s="1"/>
      <c r="AR162" s="1"/>
      <c r="AS162" s="1"/>
      <c r="AV162" s="1"/>
      <c r="AW162" s="1"/>
      <c r="BT162" s="1"/>
      <c r="BU162" s="1"/>
      <c r="BV162" s="1"/>
      <c r="BW162" s="1"/>
      <c r="BX162" s="1"/>
      <c r="BY162" s="1"/>
      <c r="DV162">
        <v>5</v>
      </c>
      <c r="DW162" t="s">
        <v>32</v>
      </c>
      <c r="DX162" s="8">
        <v>43960</v>
      </c>
      <c r="DY162">
        <v>19</v>
      </c>
      <c r="DZ162">
        <v>524</v>
      </c>
      <c r="EA162">
        <v>0</v>
      </c>
      <c r="GB162" s="4"/>
      <c r="GV162" s="8">
        <v>43924</v>
      </c>
      <c r="GW162">
        <v>30</v>
      </c>
      <c r="GX162" t="s">
        <v>104</v>
      </c>
      <c r="GY162">
        <v>2</v>
      </c>
      <c r="HC162">
        <v>0</v>
      </c>
    </row>
    <row r="163" spans="1:325" ht="20.25">
      <c r="C163">
        <f>H162*D163</f>
        <v>87.678684600551108</v>
      </c>
      <c r="D163">
        <f>D162</f>
        <v>0.0017640962314499999</v>
      </c>
      <c r="E163" t="s">
        <v>40</v>
      </c>
      <c r="F163" s="10">
        <v>44051</v>
      </c>
      <c r="H163">
        <f>H162+C163</f>
        <v>49789.43703396427</v>
      </c>
      <c r="W163" s="1"/>
      <c r="Z163" s="1"/>
      <c r="AA163" s="1"/>
      <c r="AB163" s="1"/>
      <c r="AC163" s="1"/>
      <c r="AD163" s="1"/>
      <c r="AE163" s="1"/>
      <c r="AF163" s="1"/>
      <c r="AG163" s="1"/>
      <c r="AH163" s="1"/>
      <c r="AK163" s="1"/>
      <c r="AL163" s="1"/>
      <c r="AM163" s="1"/>
      <c r="AN163" s="1"/>
      <c r="AO163" s="1"/>
      <c r="AP163" s="1"/>
      <c r="AQ163" s="1"/>
      <c r="AR163" s="1"/>
      <c r="AS163" s="1"/>
      <c r="AV163" s="1"/>
      <c r="AW163" s="1"/>
      <c r="BT163" s="1"/>
      <c r="BU163" s="1"/>
      <c r="BV163" s="1"/>
      <c r="BW163" s="1"/>
      <c r="BX163" s="1"/>
      <c r="BY163" s="1"/>
      <c r="DV163">
        <v>5</v>
      </c>
      <c r="DW163" t="s">
        <v>32</v>
      </c>
      <c r="DX163" s="8">
        <v>43961</v>
      </c>
      <c r="DY163">
        <v>19</v>
      </c>
      <c r="DZ163">
        <v>524</v>
      </c>
      <c r="EA163">
        <v>0</v>
      </c>
      <c r="GB163" s="4"/>
      <c r="GC163" s="4"/>
      <c r="GD163" s="4"/>
      <c r="GE163" s="4"/>
      <c r="GG163" s="4"/>
      <c r="GV163" s="8">
        <v>43925</v>
      </c>
      <c r="GW163">
        <v>30</v>
      </c>
      <c r="GX163" t="s">
        <v>104</v>
      </c>
      <c r="GY163">
        <v>2</v>
      </c>
      <c r="HC163">
        <v>0</v>
      </c>
    </row>
    <row r="164" spans="1:325" ht="20.25">
      <c r="C164">
        <f>H163*D164</f>
        <v>87.833358237633433</v>
      </c>
      <c r="D164">
        <f>D163</f>
        <v>0.0017640962314499999</v>
      </c>
      <c r="E164" t="s">
        <v>30</v>
      </c>
      <c r="F164" s="10">
        <v>44052</v>
      </c>
      <c r="H164">
        <f>H163+C164</f>
        <v>49877.270392201906</v>
      </c>
      <c r="W164" s="1"/>
      <c r="Z164" s="1"/>
      <c r="AA164" s="1"/>
      <c r="AB164" s="1"/>
      <c r="AC164" s="1"/>
      <c r="AD164" s="1"/>
      <c r="AE164" s="1"/>
      <c r="AF164" s="1"/>
      <c r="AG164" s="1"/>
      <c r="AH164" s="1"/>
      <c r="AK164" s="1"/>
      <c r="AL164" s="1"/>
      <c r="AM164" s="1"/>
      <c r="AN164" s="1"/>
      <c r="AO164" s="1"/>
      <c r="AP164" s="1"/>
      <c r="AQ164" s="1"/>
      <c r="AR164" s="1"/>
      <c r="AS164" s="1"/>
      <c r="AV164" s="1"/>
      <c r="AW164" s="1"/>
      <c r="BT164" s="1"/>
      <c r="BU164" s="1"/>
      <c r="BV164" s="1"/>
      <c r="BW164" s="1"/>
      <c r="BX164" s="1"/>
      <c r="BY164" s="1"/>
      <c r="DV164">
        <v>5</v>
      </c>
      <c r="DW164" t="s">
        <v>32</v>
      </c>
      <c r="DX164" s="8">
        <v>43962</v>
      </c>
      <c r="DY164">
        <v>19</v>
      </c>
      <c r="DZ164">
        <v>524</v>
      </c>
      <c r="EA164">
        <v>0</v>
      </c>
      <c r="GB164" s="1"/>
      <c r="GV164" s="8">
        <v>43926</v>
      </c>
      <c r="GW164">
        <v>30</v>
      </c>
      <c r="GX164" t="s">
        <v>104</v>
      </c>
      <c r="GY164">
        <v>2</v>
      </c>
      <c r="HC164">
        <v>0</v>
      </c>
    </row>
    <row r="165" spans="1:325" ht="20.25">
      <c r="C165">
        <f>H164*D165</f>
        <v>87.988304733896044</v>
      </c>
      <c r="D165">
        <f>D164</f>
        <v>0.0017640962314499999</v>
      </c>
      <c r="E165" t="s">
        <v>33</v>
      </c>
      <c r="F165" s="10">
        <v>44053</v>
      </c>
      <c r="H165">
        <f>H164+C165</f>
        <v>49965.258696935802</v>
      </c>
      <c r="W165" s="1"/>
      <c r="Z165" s="1"/>
      <c r="AA165" s="1"/>
      <c r="AB165" s="1"/>
      <c r="AC165" s="1"/>
      <c r="AD165" s="1"/>
      <c r="AE165" s="1"/>
      <c r="AF165" s="1"/>
      <c r="AG165" s="1"/>
      <c r="AH165" s="1"/>
      <c r="AK165" s="1"/>
      <c r="AL165" s="1"/>
      <c r="AM165" s="1"/>
      <c r="AN165" s="1"/>
      <c r="AO165" s="1"/>
      <c r="AP165" s="1"/>
      <c r="AQ165" s="1"/>
      <c r="AR165" s="1"/>
      <c r="AS165" s="1"/>
      <c r="AV165" s="1"/>
      <c r="AW165" s="1"/>
      <c r="BB165" s="1"/>
      <c r="BC165" s="1"/>
      <c r="BR165" s="1"/>
      <c r="BS165" s="1"/>
      <c r="BT165" s="1"/>
      <c r="BU165" s="1"/>
      <c r="BV165" s="1"/>
      <c r="BW165" s="1"/>
      <c r="BX165" s="1"/>
      <c r="BY165" s="1"/>
      <c r="CE165" s="1"/>
      <c r="DV165">
        <v>5</v>
      </c>
      <c r="DW165" t="s">
        <v>32</v>
      </c>
      <c r="DX165" s="8">
        <v>43963</v>
      </c>
      <c r="DY165">
        <v>20</v>
      </c>
      <c r="DZ165">
        <v>552</v>
      </c>
      <c r="EA165">
        <v>0</v>
      </c>
      <c r="GV165" s="8">
        <v>43927</v>
      </c>
      <c r="GW165">
        <v>30</v>
      </c>
      <c r="GX165" t="s">
        <v>104</v>
      </c>
      <c r="GY165">
        <v>3</v>
      </c>
      <c r="HC165">
        <v>0</v>
      </c>
    </row>
    <row r="166" spans="1:325" ht="20.25">
      <c r="C166">
        <f>H165*D166</f>
        <v>88.143524570688783</v>
      </c>
      <c r="D166">
        <f>D165</f>
        <v>0.0017640962314499999</v>
      </c>
      <c r="E166" t="s">
        <v>34</v>
      </c>
      <c r="F166" s="10">
        <v>44054</v>
      </c>
      <c r="H166">
        <f>H165+C166</f>
        <v>50053.402221506491</v>
      </c>
      <c r="W166" s="1"/>
      <c r="Z166" s="1"/>
      <c r="AA166" s="1"/>
      <c r="AB166" s="1"/>
      <c r="AC166" s="1"/>
      <c r="AD166" s="1"/>
      <c r="AE166" s="1"/>
      <c r="AF166" s="1"/>
      <c r="AG166" s="1"/>
      <c r="AH166" s="1"/>
      <c r="AK166" s="1"/>
      <c r="AL166" s="1"/>
      <c r="AM166" s="1"/>
      <c r="AN166" s="1"/>
      <c r="AO166" s="1"/>
      <c r="AP166" s="1"/>
      <c r="AQ166" s="1"/>
      <c r="AR166" s="1"/>
      <c r="AS166" s="1"/>
      <c r="AV166" s="1"/>
      <c r="AW166" s="1"/>
      <c r="BT166" s="1"/>
      <c r="BU166" s="1"/>
      <c r="BV166" s="1"/>
      <c r="BW166" s="1"/>
      <c r="BX166" s="1"/>
      <c r="BY166" s="1"/>
      <c r="DV166">
        <v>5</v>
      </c>
      <c r="DW166" t="s">
        <v>32</v>
      </c>
      <c r="DX166" s="8">
        <v>43964</v>
      </c>
      <c r="DY166">
        <v>23</v>
      </c>
      <c r="DZ166">
        <v>635</v>
      </c>
      <c r="EA166">
        <v>0</v>
      </c>
      <c r="GV166" s="8">
        <v>43928</v>
      </c>
      <c r="GW166">
        <v>30</v>
      </c>
      <c r="GX166" t="s">
        <v>104</v>
      </c>
      <c r="GY166">
        <v>3</v>
      </c>
      <c r="HC166">
        <v>0</v>
      </c>
    </row>
    <row r="167" spans="1:325" ht="20.25">
      <c r="C167">
        <f>H166*D167</f>
        <v>88.299018230210649</v>
      </c>
      <c r="D167">
        <f>D166</f>
        <v>0.0017640962314499999</v>
      </c>
      <c r="E167" t="s">
        <v>35</v>
      </c>
      <c r="F167" s="10">
        <v>44055</v>
      </c>
      <c r="H167">
        <f>H166+C167</f>
        <v>50141.7012397367</v>
      </c>
      <c r="W167" s="1"/>
      <c r="Z167" s="1"/>
      <c r="AA167" s="1"/>
      <c r="AB167" s="1"/>
      <c r="AC167" s="1"/>
      <c r="AD167" s="1"/>
      <c r="AE167" s="1"/>
      <c r="AF167" s="1"/>
      <c r="AG167" s="1"/>
      <c r="AH167" s="1"/>
      <c r="AK167" s="1"/>
      <c r="AL167" s="1"/>
      <c r="AM167" s="1"/>
      <c r="AN167" s="1"/>
      <c r="AO167" s="1"/>
      <c r="AP167" s="1"/>
      <c r="AQ167" s="1"/>
      <c r="AR167" s="1"/>
      <c r="AS167" s="1"/>
      <c r="AV167" s="1"/>
      <c r="AW167" s="1"/>
      <c r="BT167" s="1"/>
      <c r="BU167" s="1"/>
      <c r="BV167" s="1"/>
      <c r="BW167" s="1"/>
      <c r="BX167" s="1"/>
      <c r="BY167" s="1"/>
      <c r="DV167">
        <v>5</v>
      </c>
      <c r="DW167" t="s">
        <v>32</v>
      </c>
      <c r="DX167" s="8">
        <v>43965</v>
      </c>
      <c r="DY167">
        <v>23</v>
      </c>
      <c r="DZ167">
        <v>635</v>
      </c>
      <c r="EA167">
        <v>0</v>
      </c>
      <c r="GV167" s="8">
        <v>43929</v>
      </c>
      <c r="GW167">
        <v>30</v>
      </c>
      <c r="GX167" t="s">
        <v>104</v>
      </c>
      <c r="GY167">
        <v>3</v>
      </c>
      <c r="HC167">
        <v>0</v>
      </c>
      <c r="HX167" s="4"/>
    </row>
    <row r="168" spans="1:325" ht="20.25">
      <c r="C168">
        <f>H167*D168</f>
        <v>88.454786195511304</v>
      </c>
      <c r="D168">
        <f>D167</f>
        <v>0.0017640962314499999</v>
      </c>
      <c r="E168" t="s">
        <v>37</v>
      </c>
      <c r="F168" s="10">
        <v>44056</v>
      </c>
      <c r="H168">
        <f>H167+C168</f>
        <v>50230.156025932214</v>
      </c>
      <c r="W168" s="1"/>
      <c r="Z168" s="1"/>
      <c r="AA168" s="1"/>
      <c r="AB168" s="1"/>
      <c r="AC168" s="1"/>
      <c r="AD168" s="1"/>
      <c r="AE168" s="1"/>
      <c r="AF168" s="1"/>
      <c r="AG168" s="1"/>
      <c r="AH168" s="1"/>
      <c r="AK168" s="1"/>
      <c r="AL168" s="1"/>
      <c r="AM168" s="1"/>
      <c r="AN168" s="1"/>
      <c r="AO168" s="1"/>
      <c r="AP168" s="1"/>
      <c r="AQ168" s="1"/>
      <c r="AR168" s="1"/>
      <c r="AS168" s="1"/>
      <c r="AV168" s="1"/>
      <c r="AW168" s="1"/>
      <c r="BT168" s="1"/>
      <c r="BU168" s="1"/>
      <c r="BV168" s="1"/>
      <c r="BW168" s="1"/>
      <c r="BX168" s="1"/>
      <c r="BY168" s="1"/>
      <c r="DV168">
        <v>5</v>
      </c>
      <c r="DW168" t="s">
        <v>32</v>
      </c>
      <c r="DX168" s="8">
        <v>43966</v>
      </c>
      <c r="DY168">
        <v>23</v>
      </c>
      <c r="DZ168">
        <v>635</v>
      </c>
      <c r="EA168">
        <v>0</v>
      </c>
      <c r="GV168" s="8">
        <v>43930</v>
      </c>
      <c r="GW168">
        <v>30</v>
      </c>
      <c r="GX168" t="s">
        <v>104</v>
      </c>
      <c r="GY168">
        <v>3</v>
      </c>
      <c r="HC168">
        <v>0</v>
      </c>
    </row>
    <row r="169" spans="1:325" ht="20.25">
      <c r="C169">
        <f>H168*D169</f>
        <v>88.610828950492518</v>
      </c>
      <c r="D169">
        <f>D168</f>
        <v>0.0017640962314499999</v>
      </c>
      <c r="E169" t="s">
        <v>38</v>
      </c>
      <c r="F169" s="10">
        <v>44057</v>
      </c>
      <c r="H169">
        <f>H168+C169</f>
        <v>50318.766854882706</v>
      </c>
      <c r="W169" s="1"/>
      <c r="Z169" s="1"/>
      <c r="AA169" s="1"/>
      <c r="AB169" s="1"/>
      <c r="AC169" s="1"/>
      <c r="AD169" s="1"/>
      <c r="AE169" s="1"/>
      <c r="AF169" s="1"/>
      <c r="AG169" s="1"/>
      <c r="AH169" s="1"/>
      <c r="AK169" s="1"/>
      <c r="AL169" s="1"/>
      <c r="AM169" s="1"/>
      <c r="AN169" s="1"/>
      <c r="AO169" s="1"/>
      <c r="AP169" s="1"/>
      <c r="AQ169" s="1"/>
      <c r="AR169" s="1"/>
      <c r="AS169" s="1"/>
      <c r="AV169" s="1"/>
      <c r="AW169" s="1"/>
      <c r="BT169" s="1"/>
      <c r="BU169" s="1"/>
      <c r="BV169" s="1"/>
      <c r="BW169" s="1"/>
      <c r="BX169" s="1"/>
      <c r="BY169" s="1"/>
      <c r="DV169">
        <v>11</v>
      </c>
      <c r="DW169" t="s">
        <v>39</v>
      </c>
      <c r="DX169" s="8">
        <v>43914</v>
      </c>
      <c r="DY169">
        <v>1</v>
      </c>
      <c r="EA169">
        <v>0</v>
      </c>
      <c r="GV169" s="8">
        <v>43931</v>
      </c>
      <c r="GW169">
        <v>30</v>
      </c>
      <c r="GX169" t="s">
        <v>104</v>
      </c>
      <c r="GY169">
        <v>3</v>
      </c>
      <c r="HC169">
        <v>0</v>
      </c>
    </row>
    <row r="170" spans="1:325" ht="20.25">
      <c r="C170">
        <f>H169*D170</f>
        <v>88.767146979909754</v>
      </c>
      <c r="D170">
        <f>D169</f>
        <v>0.0017640962314499999</v>
      </c>
      <c r="E170" t="s">
        <v>40</v>
      </c>
      <c r="F170" s="10">
        <v>44058</v>
      </c>
      <c r="H170">
        <f>H169+C170</f>
        <v>50407.534001862616</v>
      </c>
      <c r="W170" s="1"/>
      <c r="Z170" s="1"/>
      <c r="AA170" s="1"/>
      <c r="AB170" s="1"/>
      <c r="AC170" s="1"/>
      <c r="AD170" s="1"/>
      <c r="AE170" s="1"/>
      <c r="AF170" s="1"/>
      <c r="AG170" s="1"/>
      <c r="AH170" s="1"/>
      <c r="AK170" s="1"/>
      <c r="AL170" s="1"/>
      <c r="AM170" s="1"/>
      <c r="AN170" s="1"/>
      <c r="AO170" s="1"/>
      <c r="AP170" s="1"/>
      <c r="AQ170" s="1"/>
      <c r="AR170" s="1"/>
      <c r="AS170" s="1"/>
      <c r="AV170" s="1"/>
      <c r="AW170" s="1"/>
      <c r="BT170" s="1"/>
      <c r="BU170" s="1"/>
      <c r="BV170" s="1"/>
      <c r="BW170" s="1"/>
      <c r="BX170" s="1"/>
      <c r="BY170" s="1"/>
      <c r="DV170">
        <v>11</v>
      </c>
      <c r="DW170" t="s">
        <v>39</v>
      </c>
      <c r="DX170" s="8">
        <v>43915</v>
      </c>
      <c r="DY170">
        <v>1</v>
      </c>
      <c r="EA170">
        <v>0</v>
      </c>
      <c r="GV170" s="8">
        <v>43932</v>
      </c>
      <c r="GW170">
        <v>30</v>
      </c>
      <c r="GX170" t="s">
        <v>104</v>
      </c>
      <c r="GY170">
        <v>3</v>
      </c>
      <c r="HC170">
        <v>0</v>
      </c>
    </row>
    <row r="171" spans="1:325" ht="20.25">
      <c r="C171">
        <f>H170*D171</f>
        <v>88.92374076937358</v>
      </c>
      <c r="D171">
        <f>D170</f>
        <v>0.0017640962314499999</v>
      </c>
      <c r="E171" t="s">
        <v>30</v>
      </c>
      <c r="F171" s="10">
        <v>44059</v>
      </c>
      <c r="H171">
        <f>H170+C171</f>
        <v>50496.457742631988</v>
      </c>
      <c r="W171" s="1"/>
      <c r="Z171" s="1"/>
      <c r="AA171" s="1"/>
      <c r="AB171" s="1"/>
      <c r="AC171" s="1"/>
      <c r="AD171" s="1"/>
      <c r="AE171" s="1"/>
      <c r="AF171" s="1"/>
      <c r="AG171" s="1"/>
      <c r="AH171" s="1"/>
      <c r="AK171" s="1"/>
      <c r="AL171" s="1"/>
      <c r="AM171" s="1"/>
      <c r="AN171" s="1"/>
      <c r="AO171" s="1"/>
      <c r="AP171" s="1"/>
      <c r="AQ171" s="1"/>
      <c r="AR171" s="1"/>
      <c r="AS171" s="1"/>
      <c r="AV171" s="1"/>
      <c r="AW171" s="1"/>
      <c r="BT171" s="1"/>
      <c r="BU171" s="1"/>
      <c r="BV171" s="1"/>
      <c r="BW171" s="1"/>
      <c r="BX171" s="1"/>
      <c r="BY171" s="1"/>
      <c r="DV171">
        <v>11</v>
      </c>
      <c r="DW171" t="s">
        <v>39</v>
      </c>
      <c r="DX171" s="8">
        <v>43916</v>
      </c>
      <c r="DY171">
        <v>2</v>
      </c>
      <c r="EA171">
        <v>0</v>
      </c>
      <c r="GV171" s="8">
        <v>43933</v>
      </c>
      <c r="GW171">
        <v>30</v>
      </c>
      <c r="GX171" t="s">
        <v>104</v>
      </c>
      <c r="GY171">
        <v>3</v>
      </c>
      <c r="HC171">
        <v>0</v>
      </c>
    </row>
    <row r="172" spans="1:325" ht="20.25">
      <c r="C172">
        <f>H171*D172</f>
        <v>89.080610805351256</v>
      </c>
      <c r="D172">
        <f>D171</f>
        <v>0.0017640962314499999</v>
      </c>
      <c r="E172" t="s">
        <v>33</v>
      </c>
      <c r="F172" s="10">
        <v>44060</v>
      </c>
      <c r="H172">
        <f>H171+C172</f>
        <v>50585.53835343734</v>
      </c>
      <c r="W172" s="1"/>
      <c r="Z172" s="1"/>
      <c r="AA172" s="1"/>
      <c r="AB172" s="1"/>
      <c r="AC172" s="1"/>
      <c r="AD172" s="1"/>
      <c r="AE172" s="1"/>
      <c r="AF172" s="1"/>
      <c r="AG172" s="1"/>
      <c r="AH172" s="1"/>
      <c r="AK172" s="1"/>
      <c r="AL172" s="1"/>
      <c r="AM172" s="1"/>
      <c r="AN172" s="1"/>
      <c r="AO172" s="1"/>
      <c r="AP172" s="1"/>
      <c r="AQ172" s="1"/>
      <c r="AR172" s="1"/>
      <c r="AS172" s="1"/>
      <c r="AV172" s="1"/>
      <c r="AW172" s="1"/>
      <c r="BT172" s="1"/>
      <c r="BU172" s="1"/>
      <c r="BV172" s="1"/>
      <c r="BW172" s="1"/>
      <c r="BX172" s="1"/>
      <c r="BY172" s="1"/>
      <c r="DV172">
        <v>11</v>
      </c>
      <c r="DW172" t="s">
        <v>39</v>
      </c>
      <c r="DX172" s="8">
        <v>43917</v>
      </c>
      <c r="DY172">
        <v>3</v>
      </c>
      <c r="EA172">
        <v>0</v>
      </c>
      <c r="GV172" s="8">
        <v>43934</v>
      </c>
      <c r="GW172">
        <v>30</v>
      </c>
      <c r="GX172" t="s">
        <v>104</v>
      </c>
      <c r="GY172">
        <v>3</v>
      </c>
      <c r="HC172">
        <v>0</v>
      </c>
    </row>
    <row r="173" spans="1:325" ht="20.25">
      <c r="C173">
        <f>H172*D173</f>
        <v>89.237757575168246</v>
      </c>
      <c r="D173">
        <f>D172</f>
        <v>0.0017640962314499999</v>
      </c>
      <c r="E173" t="s">
        <v>34</v>
      </c>
      <c r="F173" s="10">
        <v>44061</v>
      </c>
      <c r="H173">
        <f>H172+C173</f>
        <v>50674.776111012507</v>
      </c>
      <c r="W173" s="1"/>
      <c r="Z173" s="1"/>
      <c r="AA173" s="1"/>
      <c r="AB173" s="1"/>
      <c r="AC173" s="1"/>
      <c r="AD173" s="1"/>
      <c r="AE173" s="1"/>
      <c r="AF173" s="1"/>
      <c r="AG173" s="1"/>
      <c r="AH173" s="1"/>
      <c r="AK173" s="1"/>
      <c r="AL173" s="1"/>
      <c r="AM173" s="1"/>
      <c r="AN173" s="1"/>
      <c r="AO173" s="1"/>
      <c r="AP173" s="1"/>
      <c r="AQ173" s="1"/>
      <c r="AR173" s="1"/>
      <c r="AS173" s="1"/>
      <c r="AV173" s="1"/>
      <c r="AW173" s="1"/>
      <c r="BU173" s="1"/>
      <c r="DV173">
        <v>11</v>
      </c>
      <c r="DW173" t="s">
        <v>39</v>
      </c>
      <c r="DX173" s="8">
        <v>43918</v>
      </c>
      <c r="DY173">
        <v>6</v>
      </c>
      <c r="EA173">
        <v>0</v>
      </c>
      <c r="GV173" s="8">
        <v>43935</v>
      </c>
      <c r="GW173">
        <v>30</v>
      </c>
      <c r="GX173" t="s">
        <v>104</v>
      </c>
      <c r="GY173">
        <v>4</v>
      </c>
      <c r="HC173">
        <v>0</v>
      </c>
    </row>
    <row r="174" spans="1:325" ht="20.25">
      <c r="C174">
        <f>H173*D174</f>
        <v>89.395181567009644</v>
      </c>
      <c r="D174">
        <f>D173</f>
        <v>0.0017640962314499999</v>
      </c>
      <c r="E174" t="s">
        <v>35</v>
      </c>
      <c r="F174" s="10">
        <v>44062</v>
      </c>
      <c r="H174">
        <f>H173+C174</f>
        <v>50764.171292579515</v>
      </c>
      <c r="W174" s="1"/>
      <c r="Z174" s="1"/>
      <c r="AA174" s="1"/>
      <c r="AB174" s="1"/>
      <c r="AC174" s="1"/>
      <c r="AD174" s="1"/>
      <c r="AE174" s="1"/>
      <c r="AF174" s="1"/>
      <c r="AG174" s="1"/>
      <c r="AH174" s="1"/>
      <c r="AK174" s="1"/>
      <c r="AL174" s="1"/>
      <c r="AM174" s="1"/>
      <c r="AN174" s="1"/>
      <c r="AO174" s="1"/>
      <c r="AP174" s="1"/>
      <c r="AQ174" s="1"/>
      <c r="AR174" s="1"/>
      <c r="AS174" s="1"/>
      <c r="AV174" s="1"/>
      <c r="AW174" s="1"/>
      <c r="DV174">
        <v>11</v>
      </c>
      <c r="DW174" t="s">
        <v>39</v>
      </c>
      <c r="DX174" s="8">
        <v>43919</v>
      </c>
      <c r="DY174">
        <v>6</v>
      </c>
      <c r="EA174">
        <v>0</v>
      </c>
      <c r="GV174" s="8">
        <v>43936</v>
      </c>
      <c r="GW174">
        <v>30</v>
      </c>
      <c r="GX174" t="s">
        <v>104</v>
      </c>
      <c r="GY174">
        <v>5</v>
      </c>
      <c r="HC174">
        <v>0</v>
      </c>
    </row>
    <row r="175" spans="1:325" ht="20.25">
      <c r="C175">
        <f>H174*D175</f>
        <v>89.552883269921793</v>
      </c>
      <c r="D175">
        <f>D174</f>
        <v>0.0017640962314499999</v>
      </c>
      <c r="E175" t="s">
        <v>37</v>
      </c>
      <c r="F175" s="10">
        <v>44063</v>
      </c>
      <c r="H175">
        <f>H174+C175</f>
        <v>50853.724175849435</v>
      </c>
      <c r="W175" s="1"/>
      <c r="Z175" s="1"/>
      <c r="AA175" s="1"/>
      <c r="AB175" s="1"/>
      <c r="AC175" s="1"/>
      <c r="AD175" s="1"/>
      <c r="AE175" s="1"/>
      <c r="AF175" s="1"/>
      <c r="AG175" s="1"/>
      <c r="AH175" s="1"/>
      <c r="AK175" s="1"/>
      <c r="AL175" s="1"/>
      <c r="AM175" s="1"/>
      <c r="AN175" s="1"/>
      <c r="AO175" s="1"/>
      <c r="AP175" s="1"/>
      <c r="AQ175" s="1"/>
      <c r="AR175" s="1"/>
      <c r="AS175" s="1"/>
      <c r="AV175" s="1"/>
      <c r="AW175" s="1"/>
      <c r="DV175">
        <v>11</v>
      </c>
      <c r="DW175" t="s">
        <v>39</v>
      </c>
      <c r="DX175" s="8">
        <v>43920</v>
      </c>
      <c r="DY175">
        <v>8</v>
      </c>
      <c r="EA175">
        <v>0</v>
      </c>
      <c r="GV175" s="8">
        <v>43937</v>
      </c>
      <c r="GW175">
        <v>30</v>
      </c>
      <c r="GX175" t="s">
        <v>104</v>
      </c>
      <c r="GY175">
        <v>5</v>
      </c>
      <c r="HB175">
        <v>93</v>
      </c>
      <c r="HC175">
        <v>0</v>
      </c>
    </row>
    <row r="176" spans="1:325" ht="20.25">
      <c r="C176">
        <f>H175*D176</f>
        <v>89.710863173813749</v>
      </c>
      <c r="D176">
        <f>D175</f>
        <v>0.0017640962314499999</v>
      </c>
      <c r="E176" t="s">
        <v>38</v>
      </c>
      <c r="F176" s="10">
        <v>44064</v>
      </c>
      <c r="H176">
        <f>H175+C176</f>
        <v>50943.43503902325</v>
      </c>
      <c r="W176" s="1"/>
      <c r="Z176" s="1"/>
      <c r="AA176" s="1"/>
      <c r="AB176" s="1"/>
      <c r="AC176" s="1"/>
      <c r="AD176" s="1"/>
      <c r="AE176" s="1"/>
      <c r="AF176" s="1"/>
      <c r="AG176" s="1"/>
      <c r="AH176" s="1"/>
      <c r="AK176" s="1"/>
      <c r="AL176" s="1"/>
      <c r="AM176" s="1"/>
      <c r="AN176" s="1"/>
      <c r="AO176" s="1"/>
      <c r="AP176" s="1"/>
      <c r="AQ176" s="1"/>
      <c r="AR176" s="1"/>
      <c r="AS176" s="1"/>
      <c r="AV176" s="1"/>
      <c r="AW176" s="1"/>
      <c r="AX176" s="1"/>
      <c r="DV176">
        <v>11</v>
      </c>
      <c r="DW176" t="s">
        <v>39</v>
      </c>
      <c r="DX176" s="8">
        <v>43921</v>
      </c>
      <c r="DY176">
        <v>11</v>
      </c>
      <c r="EA176">
        <v>0</v>
      </c>
      <c r="GV176" s="8">
        <v>43938</v>
      </c>
      <c r="GW176">
        <v>30</v>
      </c>
      <c r="GX176" t="s">
        <v>104</v>
      </c>
      <c r="GY176">
        <v>5</v>
      </c>
      <c r="HB176">
        <v>93</v>
      </c>
      <c r="HC176">
        <v>0</v>
      </c>
    </row>
    <row r="177" spans="1:325" ht="20.25">
      <c r="C177">
        <f>H176*D177</f>
        <v>89.8691217694588</v>
      </c>
      <c r="D177">
        <f>D176</f>
        <v>0.0017640962314499999</v>
      </c>
      <c r="E177" t="s">
        <v>40</v>
      </c>
      <c r="F177" s="10">
        <v>44065</v>
      </c>
      <c r="H177">
        <f>H176+C177</f>
        <v>51033.304160792708</v>
      </c>
      <c r="W177" s="1"/>
      <c r="Z177" s="1"/>
      <c r="AA177" s="1"/>
      <c r="AB177" s="1"/>
      <c r="AC177" s="1"/>
      <c r="AD177" s="1"/>
      <c r="AE177" s="1"/>
      <c r="AF177" s="1"/>
      <c r="AG177" s="1"/>
      <c r="AH177" s="1"/>
      <c r="AK177" s="1"/>
      <c r="AL177" s="1"/>
      <c r="AM177" s="1"/>
      <c r="AN177" s="1"/>
      <c r="AO177" s="1"/>
      <c r="AP177" s="1"/>
      <c r="AQ177" s="1"/>
      <c r="AR177" s="1"/>
      <c r="AS177" s="1"/>
      <c r="AV177" s="1"/>
      <c r="AW177" s="1"/>
      <c r="AX177" s="1"/>
      <c r="DV177">
        <v>11</v>
      </c>
      <c r="DW177" t="s">
        <v>39</v>
      </c>
      <c r="DX177" s="8">
        <v>43922</v>
      </c>
      <c r="DY177">
        <v>16</v>
      </c>
      <c r="EA177">
        <v>0</v>
      </c>
      <c r="GV177" s="8">
        <v>43939</v>
      </c>
      <c r="GW177">
        <v>30</v>
      </c>
      <c r="GX177" t="s">
        <v>104</v>
      </c>
      <c r="GY177">
        <v>5</v>
      </c>
      <c r="HB177">
        <v>93</v>
      </c>
      <c r="HC177">
        <v>0</v>
      </c>
    </row>
    <row r="178" spans="1:325" ht="20.25">
      <c r="C178">
        <f>H177*D178</f>
        <v>90.027659548496018</v>
      </c>
      <c r="D178">
        <f>D177</f>
        <v>0.0017640962314499999</v>
      </c>
      <c r="E178" t="s">
        <v>30</v>
      </c>
      <c r="F178" s="10">
        <v>44066</v>
      </c>
      <c r="H178">
        <f>H177+C178</f>
        <v>51123.331820341205</v>
      </c>
      <c r="W178" s="1"/>
      <c r="Z178" s="1"/>
      <c r="AA178" s="1"/>
      <c r="AB178" s="1"/>
      <c r="AC178" s="1"/>
      <c r="AD178" s="1"/>
      <c r="AE178" s="1"/>
      <c r="AF178" s="1"/>
      <c r="AG178" s="1"/>
      <c r="AH178" s="1"/>
      <c r="AK178" s="1"/>
      <c r="AL178" s="1"/>
      <c r="AM178" s="1"/>
      <c r="AN178" s="1"/>
      <c r="AO178" s="1"/>
      <c r="AP178" s="1"/>
      <c r="AQ178" s="1"/>
      <c r="AR178" s="1"/>
      <c r="AS178" s="1"/>
      <c r="AV178" s="1"/>
      <c r="AW178" s="1"/>
      <c r="AX178" s="1"/>
      <c r="DV178">
        <v>11</v>
      </c>
      <c r="DW178" t="s">
        <v>39</v>
      </c>
      <c r="DX178" s="8">
        <v>43923</v>
      </c>
      <c r="DY178">
        <v>20</v>
      </c>
      <c r="EA178">
        <v>0</v>
      </c>
      <c r="GV178" s="8">
        <v>43940</v>
      </c>
      <c r="GW178">
        <v>30</v>
      </c>
      <c r="GX178" t="s">
        <v>104</v>
      </c>
      <c r="GY178">
        <v>6</v>
      </c>
      <c r="HB178">
        <v>111</v>
      </c>
      <c r="HC178">
        <v>0</v>
      </c>
    </row>
    <row r="179" spans="1:325" ht="20.25">
      <c r="C179">
        <f>H178*D179</f>
        <v>90.18647700343179</v>
      </c>
      <c r="D179">
        <f>D178</f>
        <v>0.0017640962314499999</v>
      </c>
      <c r="E179" t="s">
        <v>33</v>
      </c>
      <c r="F179" s="10">
        <v>44067</v>
      </c>
      <c r="H179">
        <f>H178+C179</f>
        <v>51213.518297344635</v>
      </c>
      <c r="W179" s="1"/>
      <c r="Z179" s="1"/>
      <c r="AA179" s="1"/>
      <c r="AB179" s="1"/>
      <c r="AC179" s="1"/>
      <c r="AD179" s="1"/>
      <c r="AE179" s="1"/>
      <c r="AF179" s="1"/>
      <c r="AG179" s="1"/>
      <c r="AH179" s="1"/>
      <c r="AK179" s="1"/>
      <c r="AL179" s="1"/>
      <c r="AM179" s="1"/>
      <c r="AN179" s="1"/>
      <c r="AO179" s="1"/>
      <c r="AP179" s="1"/>
      <c r="AQ179" s="1"/>
      <c r="AR179" s="1"/>
      <c r="AS179" s="1"/>
      <c r="AV179" s="1"/>
      <c r="AW179" s="1"/>
      <c r="AX179" s="1"/>
      <c r="DV179">
        <v>11</v>
      </c>
      <c r="DW179" t="s">
        <v>39</v>
      </c>
      <c r="DX179" s="8">
        <v>43924</v>
      </c>
      <c r="DY179">
        <v>25</v>
      </c>
      <c r="EA179">
        <v>3</v>
      </c>
      <c r="GV179" s="8">
        <v>43941</v>
      </c>
      <c r="GW179">
        <v>30</v>
      </c>
      <c r="GX179" t="s">
        <v>104</v>
      </c>
      <c r="GY179">
        <v>6</v>
      </c>
      <c r="HB179">
        <v>111</v>
      </c>
      <c r="HC179">
        <v>0</v>
      </c>
    </row>
    <row r="180" spans="1:325" ht="20.25">
      <c r="C180">
        <f>H179*D180</f>
        <v>90.345574627641284</v>
      </c>
      <c r="D180">
        <f>D179</f>
        <v>0.0017640962314499999</v>
      </c>
      <c r="E180" t="s">
        <v>34</v>
      </c>
      <c r="F180" s="10">
        <v>44068</v>
      </c>
      <c r="H180">
        <f>H179+C180</f>
        <v>51303.863871972273</v>
      </c>
      <c r="W180" s="1"/>
      <c r="Z180" s="1"/>
      <c r="AA180" s="1"/>
      <c r="AB180" s="1"/>
      <c r="AC180" s="1"/>
      <c r="AD180" s="1"/>
      <c r="AE180" s="1"/>
      <c r="AF180" s="1"/>
      <c r="AG180" s="1"/>
      <c r="AH180" s="1"/>
      <c r="AK180" s="1"/>
      <c r="AL180" s="1"/>
      <c r="AM180" s="1"/>
      <c r="AN180" s="1"/>
      <c r="AO180" s="1"/>
      <c r="AP180" s="1"/>
      <c r="AQ180" s="1"/>
      <c r="AR180" s="1"/>
      <c r="AS180" s="1"/>
      <c r="AV180" s="1"/>
      <c r="AW180" s="1"/>
      <c r="AX180" s="1"/>
      <c r="DV180">
        <v>11</v>
      </c>
      <c r="DW180" t="s">
        <v>39</v>
      </c>
      <c r="DX180" s="8">
        <v>43925</v>
      </c>
      <c r="DY180">
        <v>28</v>
      </c>
      <c r="EA180">
        <v>3</v>
      </c>
      <c r="GV180" s="8">
        <v>43942</v>
      </c>
      <c r="GW180">
        <v>30</v>
      </c>
      <c r="GX180" t="s">
        <v>104</v>
      </c>
      <c r="GY180">
        <v>6</v>
      </c>
      <c r="HB180">
        <v>111</v>
      </c>
      <c r="HC180">
        <v>0</v>
      </c>
    </row>
    <row r="181" spans="1:325" ht="20.25">
      <c r="C181">
        <f>H180*D181</f>
        <v>90.504952915370083</v>
      </c>
      <c r="D181">
        <f>D180</f>
        <v>0.0017640962314499999</v>
      </c>
      <c r="E181" t="s">
        <v>35</v>
      </c>
      <c r="F181" s="10">
        <v>44069</v>
      </c>
      <c r="H181">
        <f>H180+C181</f>
        <v>51394.368824887642</v>
      </c>
      <c r="W181" s="1"/>
      <c r="Z181" s="1"/>
      <c r="AA181" s="1"/>
      <c r="AB181" s="1"/>
      <c r="AC181" s="1"/>
      <c r="AD181" s="1"/>
      <c r="AE181" s="1"/>
      <c r="AF181" s="1"/>
      <c r="AG181" s="1"/>
      <c r="AH181" s="1"/>
      <c r="AK181" s="1"/>
      <c r="AL181" s="1"/>
      <c r="AM181" s="1"/>
      <c r="AN181" s="1"/>
      <c r="AO181" s="1"/>
      <c r="AP181" s="1"/>
      <c r="AQ181" s="1"/>
      <c r="AR181" s="1"/>
      <c r="AS181" s="1"/>
      <c r="AV181" s="1"/>
      <c r="AW181" s="1"/>
      <c r="AX181" s="1"/>
      <c r="DV181">
        <v>11</v>
      </c>
      <c r="DW181" t="s">
        <v>39</v>
      </c>
      <c r="DX181" s="8">
        <v>43926</v>
      </c>
      <c r="DY181">
        <v>33</v>
      </c>
      <c r="EA181">
        <v>3</v>
      </c>
      <c r="GV181" s="8">
        <v>43943</v>
      </c>
      <c r="GW181">
        <v>30</v>
      </c>
      <c r="GX181" t="s">
        <v>104</v>
      </c>
      <c r="GY181">
        <v>5</v>
      </c>
      <c r="HB181">
        <v>93</v>
      </c>
      <c r="HC181">
        <v>0</v>
      </c>
    </row>
    <row r="182" spans="1:325" ht="20.25">
      <c r="C182">
        <f>H181*D182</f>
        <v>90.664612361735649</v>
      </c>
      <c r="D182">
        <f>D181</f>
        <v>0.0017640962314499999</v>
      </c>
      <c r="E182" t="s">
        <v>37</v>
      </c>
      <c r="F182" s="10">
        <v>44070</v>
      </c>
      <c r="H182">
        <f>H181+C182</f>
        <v>51485.033437249382</v>
      </c>
      <c r="W182" s="1"/>
      <c r="Z182" s="1"/>
      <c r="AA182" s="1"/>
      <c r="AB182" s="1"/>
      <c r="AC182" s="1"/>
      <c r="AD182" s="1"/>
      <c r="AE182" s="1"/>
      <c r="AF182" s="1"/>
      <c r="AG182" s="1"/>
      <c r="AH182" s="1"/>
      <c r="AK182" s="1"/>
      <c r="AL182" s="1"/>
      <c r="AM182" s="1"/>
      <c r="AN182" s="1"/>
      <c r="AO182" s="1"/>
      <c r="AP182" s="1"/>
      <c r="AQ182" s="1"/>
      <c r="AR182" s="1"/>
      <c r="AS182" s="1"/>
      <c r="AV182" s="1"/>
      <c r="AW182" s="1"/>
      <c r="AX182" s="1"/>
      <c r="DV182">
        <v>11</v>
      </c>
      <c r="DW182" t="s">
        <v>39</v>
      </c>
      <c r="DX182" s="8">
        <v>43927</v>
      </c>
      <c r="DY182">
        <v>41</v>
      </c>
      <c r="EA182">
        <v>3</v>
      </c>
      <c r="GV182" s="8">
        <v>43944</v>
      </c>
      <c r="GW182">
        <v>30</v>
      </c>
      <c r="GX182" t="s">
        <v>104</v>
      </c>
      <c r="GY182">
        <v>6</v>
      </c>
      <c r="HB182">
        <v>111</v>
      </c>
      <c r="HC182">
        <v>0</v>
      </c>
    </row>
    <row r="183" spans="1:325" ht="20.25">
      <c r="C183">
        <f>H182*D183</f>
        <v>90.824553462728872</v>
      </c>
      <c r="D183">
        <f>D182</f>
        <v>0.0017640962314499999</v>
      </c>
      <c r="E183" t="s">
        <v>38</v>
      </c>
      <c r="F183" s="10">
        <v>44071</v>
      </c>
      <c r="H183">
        <f>H182+C183</f>
        <v>51575.857990712109</v>
      </c>
      <c r="W183" s="1"/>
      <c r="Z183" s="1"/>
      <c r="AA183" s="1"/>
      <c r="AB183" s="1"/>
      <c r="AC183" s="1"/>
      <c r="AD183" s="1"/>
      <c r="AE183" s="1"/>
      <c r="AF183" s="1"/>
      <c r="AG183" s="1"/>
      <c r="AH183" s="1"/>
      <c r="AK183" s="1"/>
      <c r="AL183" s="1"/>
      <c r="AM183" s="1"/>
      <c r="AN183" s="1"/>
      <c r="AO183" s="1"/>
      <c r="AP183" s="1"/>
      <c r="AQ183" s="1"/>
      <c r="AR183" s="1"/>
      <c r="AS183" s="1"/>
      <c r="AV183" s="1"/>
      <c r="AW183" s="1"/>
      <c r="AX183" s="1"/>
      <c r="DV183">
        <v>11</v>
      </c>
      <c r="DW183" t="s">
        <v>39</v>
      </c>
      <c r="DX183" s="8">
        <v>43928</v>
      </c>
      <c r="DY183">
        <v>47</v>
      </c>
      <c r="EA183">
        <v>5</v>
      </c>
      <c r="GV183" s="8">
        <v>43945</v>
      </c>
      <c r="GW183">
        <v>30</v>
      </c>
      <c r="GX183" t="s">
        <v>104</v>
      </c>
      <c r="GY183">
        <v>6</v>
      </c>
      <c r="HB183">
        <v>111</v>
      </c>
      <c r="HC183">
        <v>0</v>
      </c>
    </row>
    <row r="184" spans="1:325" ht="20.25">
      <c r="C184">
        <f>H183*D184</f>
        <v>90.984776715215602</v>
      </c>
      <c r="D184">
        <f>D183</f>
        <v>0.0017640962314499999</v>
      </c>
      <c r="E184" t="s">
        <v>40</v>
      </c>
      <c r="F184" s="10">
        <v>44072</v>
      </c>
      <c r="H184">
        <f>H183+C184</f>
        <v>51666.842767427326</v>
      </c>
      <c r="W184" s="1"/>
      <c r="Z184" s="1"/>
      <c r="AA184" s="1"/>
      <c r="AB184" s="1"/>
      <c r="AC184" s="1"/>
      <c r="AD184" s="1"/>
      <c r="AE184" s="1"/>
      <c r="AF184" s="1"/>
      <c r="AG184" s="1"/>
      <c r="AH184" s="1"/>
      <c r="AK184" s="1"/>
      <c r="AL184" s="1"/>
      <c r="AM184" s="1"/>
      <c r="AN184" s="1"/>
      <c r="AO184" s="1"/>
      <c r="AP184" s="1"/>
      <c r="AQ184" s="1"/>
      <c r="AR184" s="1"/>
      <c r="AS184" s="1"/>
      <c r="AV184" s="1"/>
      <c r="AW184" s="1"/>
      <c r="AX184" s="1"/>
      <c r="DV184">
        <v>11</v>
      </c>
      <c r="DW184" t="s">
        <v>39</v>
      </c>
      <c r="DX184" s="8">
        <v>43929</v>
      </c>
      <c r="DY184">
        <v>60</v>
      </c>
      <c r="EA184">
        <v>6</v>
      </c>
      <c r="GV184" s="8">
        <v>43946</v>
      </c>
      <c r="GW184">
        <v>30</v>
      </c>
      <c r="GX184" t="s">
        <v>104</v>
      </c>
      <c r="GY184">
        <v>7</v>
      </c>
      <c r="HB184">
        <v>130</v>
      </c>
      <c r="HC184">
        <v>0</v>
      </c>
    </row>
    <row r="185" spans="1:325" ht="20.25">
      <c r="C185">
        <f>H184*D185</f>
        <v>91.145282616938232</v>
      </c>
      <c r="D185">
        <f>D184</f>
        <v>0.0017640962314499999</v>
      </c>
      <c r="E185" t="s">
        <v>30</v>
      </c>
      <c r="F185" s="10">
        <v>44073</v>
      </c>
      <c r="H185">
        <f>H184+C185</f>
        <v>51757.988050044267</v>
      </c>
      <c r="W185" s="1"/>
      <c r="Z185" s="1"/>
      <c r="AA185" s="1"/>
      <c r="AB185" s="1"/>
      <c r="AC185" s="1"/>
      <c r="AD185" s="1"/>
      <c r="AE185" s="1"/>
      <c r="AF185" s="1"/>
      <c r="AG185" s="1"/>
      <c r="AH185" s="1"/>
      <c r="AK185" s="1"/>
      <c r="AL185" s="1"/>
      <c r="AM185" s="1"/>
      <c r="AN185" s="1"/>
      <c r="AO185" s="1"/>
      <c r="AP185" s="1"/>
      <c r="AQ185" s="1"/>
      <c r="AR185" s="1"/>
      <c r="AS185" s="1"/>
      <c r="AV185" s="1"/>
      <c r="AW185" s="1"/>
      <c r="AX185" s="1"/>
      <c r="DV185">
        <v>11</v>
      </c>
      <c r="DW185" t="s">
        <v>39</v>
      </c>
      <c r="DX185" s="8">
        <v>43930</v>
      </c>
      <c r="DY185">
        <v>67</v>
      </c>
      <c r="EA185">
        <v>9</v>
      </c>
      <c r="GV185" s="8">
        <v>43947</v>
      </c>
      <c r="GW185">
        <v>30</v>
      </c>
      <c r="GX185" t="s">
        <v>104</v>
      </c>
      <c r="GY185">
        <v>7</v>
      </c>
      <c r="HB185">
        <v>130</v>
      </c>
      <c r="HC185">
        <v>0</v>
      </c>
    </row>
    <row r="186" spans="1:325" ht="20.25">
      <c r="C186">
        <f>H185*D186</f>
        <v>91.306071666517227</v>
      </c>
      <c r="D186">
        <f>D185</f>
        <v>0.0017640962314499999</v>
      </c>
      <c r="E186" t="s">
        <v>33</v>
      </c>
      <c r="F186" s="10">
        <v>44074</v>
      </c>
      <c r="H186">
        <f>H185+C186</f>
        <v>51849.294121710787</v>
      </c>
      <c r="W186" s="1"/>
      <c r="Z186" s="1"/>
      <c r="AA186" s="1"/>
      <c r="AB186" s="1"/>
      <c r="AC186" s="1"/>
      <c r="AD186" s="1"/>
      <c r="AE186" s="1"/>
      <c r="AF186" s="1"/>
      <c r="AG186" s="1"/>
      <c r="AH186" s="1"/>
      <c r="AK186" s="1"/>
      <c r="AL186" s="1"/>
      <c r="AM186" s="1"/>
      <c r="AN186" s="1"/>
      <c r="AO186" s="1"/>
      <c r="AP186" s="1"/>
      <c r="AQ186" s="1"/>
      <c r="AR186" s="1"/>
      <c r="AS186" s="1"/>
      <c r="AV186" s="1"/>
      <c r="AW186" s="1"/>
      <c r="AX186" s="1"/>
      <c r="DV186">
        <v>11</v>
      </c>
      <c r="DW186" t="s">
        <v>39</v>
      </c>
      <c r="DX186" s="8">
        <v>43931</v>
      </c>
      <c r="DY186">
        <v>75</v>
      </c>
      <c r="EA186">
        <v>9</v>
      </c>
      <c r="GV186" s="8">
        <v>43948</v>
      </c>
      <c r="GW186">
        <v>30</v>
      </c>
      <c r="GX186" t="s">
        <v>104</v>
      </c>
      <c r="GY186">
        <v>7</v>
      </c>
      <c r="HB186">
        <v>130</v>
      </c>
      <c r="HC186">
        <v>0</v>
      </c>
    </row>
    <row r="187" spans="1:325" ht="20.25">
      <c r="C187">
        <f>H186*D187</f>
        <v>91.467144363452633</v>
      </c>
      <c r="D187">
        <f>D186</f>
        <v>0.0017640962314499999</v>
      </c>
      <c r="E187" t="s">
        <v>34</v>
      </c>
      <c r="F187" s="10">
        <v>44075</v>
      </c>
      <c r="H187">
        <f>H186+C187</f>
        <v>51940.761266074238</v>
      </c>
      <c r="W187" s="1"/>
      <c r="Z187" s="1"/>
      <c r="AA187" s="1"/>
      <c r="AB187" s="1"/>
      <c r="AC187" s="1"/>
      <c r="AD187" s="1"/>
      <c r="AE187" s="1"/>
      <c r="AF187" s="1"/>
      <c r="AG187" s="1"/>
      <c r="AH187" s="1"/>
      <c r="AK187" s="1"/>
      <c r="AL187" s="1"/>
      <c r="AM187" s="1"/>
      <c r="AN187" s="1"/>
      <c r="AO187" s="1"/>
      <c r="AP187" s="1"/>
      <c r="AQ187" s="1"/>
      <c r="AR187" s="1"/>
      <c r="AS187" s="1"/>
      <c r="AV187" s="1"/>
      <c r="AW187" s="1"/>
      <c r="AX187" s="1"/>
      <c r="DV187">
        <v>11</v>
      </c>
      <c r="DW187" t="s">
        <v>39</v>
      </c>
      <c r="DX187" s="8">
        <v>43932</v>
      </c>
      <c r="DY187">
        <v>77</v>
      </c>
      <c r="EA187">
        <v>9</v>
      </c>
      <c r="GV187" s="8">
        <v>43949</v>
      </c>
      <c r="GW187">
        <v>30</v>
      </c>
      <c r="GX187" t="s">
        <v>104</v>
      </c>
      <c r="GY187">
        <v>7</v>
      </c>
      <c r="HB187">
        <v>130</v>
      </c>
      <c r="HC187">
        <v>0</v>
      </c>
    </row>
    <row r="188" spans="1:325" ht="20.25">
      <c r="C188">
        <f>H187*D188</f>
        <v>91.628501208125698</v>
      </c>
      <c r="D188">
        <f>D187</f>
        <v>0.0017640962314499999</v>
      </c>
      <c r="E188" t="s">
        <v>35</v>
      </c>
      <c r="F188" s="10">
        <v>44076</v>
      </c>
      <c r="H188">
        <f>H187+C188</f>
        <v>52032.389767282366</v>
      </c>
      <c r="W188" s="1"/>
      <c r="Z188" s="1"/>
      <c r="AA188" s="1"/>
      <c r="AB188" s="1"/>
      <c r="AC188" s="1"/>
      <c r="AD188" s="1"/>
      <c r="AE188" s="1"/>
      <c r="AF188" s="1"/>
      <c r="AG188" s="1"/>
      <c r="AH188" s="1"/>
      <c r="AK188" s="1"/>
      <c r="AL188" s="1"/>
      <c r="AM188" s="1"/>
      <c r="AN188" s="1"/>
      <c r="AO188" s="1"/>
      <c r="AP188" s="1"/>
      <c r="AQ188" s="1"/>
      <c r="AR188" s="1"/>
      <c r="AS188" s="1"/>
      <c r="AV188" s="1"/>
      <c r="AW188" s="1"/>
      <c r="AX188" s="1"/>
      <c r="DV188">
        <v>11</v>
      </c>
      <c r="DW188" t="s">
        <v>39</v>
      </c>
      <c r="DX188" s="8">
        <v>43933</v>
      </c>
      <c r="DY188">
        <v>79</v>
      </c>
      <c r="EA188">
        <v>10</v>
      </c>
      <c r="GV188" s="8">
        <v>43950</v>
      </c>
      <c r="GW188">
        <v>30</v>
      </c>
      <c r="GX188" t="s">
        <v>104</v>
      </c>
      <c r="GY188">
        <v>7</v>
      </c>
      <c r="HB188">
        <v>130</v>
      </c>
      <c r="HC188">
        <v>0</v>
      </c>
    </row>
    <row r="189" spans="1:325" ht="20.25">
      <c r="C189">
        <f>H188*D189</f>
        <v>91.790142701800363</v>
      </c>
      <c r="D189">
        <f>D188</f>
        <v>0.0017640962314499999</v>
      </c>
      <c r="E189" t="s">
        <v>37</v>
      </c>
      <c r="F189" s="10">
        <v>44077</v>
      </c>
      <c r="H189">
        <f>H188+C189</f>
        <v>52124.179909984166</v>
      </c>
      <c r="W189" s="1"/>
      <c r="Z189" s="1"/>
      <c r="AA189" s="1"/>
      <c r="AB189" s="1"/>
      <c r="AC189" s="1"/>
      <c r="AD189" s="1"/>
      <c r="AE189" s="1"/>
      <c r="AF189" s="1"/>
      <c r="AG189" s="1"/>
      <c r="AH189" s="1"/>
      <c r="AK189" s="1"/>
      <c r="AL189" s="1"/>
      <c r="AM189" s="1"/>
      <c r="AN189" s="1"/>
      <c r="AO189" s="1"/>
      <c r="AP189" s="1"/>
      <c r="AQ189" s="1"/>
      <c r="AR189" s="1"/>
      <c r="AS189" s="1"/>
      <c r="AV189" s="1"/>
      <c r="AW189" s="1"/>
      <c r="AX189" s="1"/>
      <c r="DV189">
        <v>11</v>
      </c>
      <c r="DW189" t="s">
        <v>39</v>
      </c>
      <c r="DX189" s="8">
        <v>43934</v>
      </c>
      <c r="DY189">
        <v>88</v>
      </c>
      <c r="EA189">
        <v>12</v>
      </c>
      <c r="GV189" s="8">
        <v>43951</v>
      </c>
      <c r="GW189">
        <v>30</v>
      </c>
      <c r="GX189" t="s">
        <v>104</v>
      </c>
      <c r="GY189">
        <v>12</v>
      </c>
      <c r="HB189">
        <v>223</v>
      </c>
      <c r="HC189">
        <v>0</v>
      </c>
    </row>
    <row r="190" spans="1:325" ht="20.25">
      <c r="C190">
        <f>H189*D190</f>
        <v>91.952069346624867</v>
      </c>
      <c r="D190">
        <f>D189</f>
        <v>0.0017640962314499999</v>
      </c>
      <c r="E190" t="s">
        <v>38</v>
      </c>
      <c r="F190" s="10">
        <v>44078</v>
      </c>
      <c r="H190">
        <f>H189+C190</f>
        <v>52216.131979330792</v>
      </c>
      <c r="W190" s="1"/>
      <c r="Z190" s="1"/>
      <c r="AA190" s="1"/>
      <c r="AB190" s="1"/>
      <c r="AC190" s="1"/>
      <c r="AD190" s="1"/>
      <c r="AE190" s="1"/>
      <c r="AF190" s="1"/>
      <c r="AG190" s="1"/>
      <c r="AH190" s="1"/>
      <c r="AK190" s="1"/>
      <c r="AL190" s="1"/>
      <c r="AM190" s="1"/>
      <c r="AN190" s="1"/>
      <c r="AO190" s="1"/>
      <c r="AP190" s="1"/>
      <c r="AQ190" s="1"/>
      <c r="AR190" s="1"/>
      <c r="AS190" s="1"/>
      <c r="AV190" s="1"/>
      <c r="AW190" s="1"/>
      <c r="AX190" s="1"/>
      <c r="DV190">
        <v>11</v>
      </c>
      <c r="DW190" t="s">
        <v>39</v>
      </c>
      <c r="DX190" s="8">
        <v>43935</v>
      </c>
      <c r="DY190">
        <v>99</v>
      </c>
      <c r="EA190">
        <v>14</v>
      </c>
      <c r="GV190" s="8">
        <v>43952</v>
      </c>
      <c r="GW190">
        <v>30</v>
      </c>
      <c r="GX190" t="s">
        <v>104</v>
      </c>
      <c r="GY190">
        <v>12</v>
      </c>
      <c r="HB190">
        <v>223</v>
      </c>
      <c r="HC190">
        <v>0</v>
      </c>
    </row>
    <row r="191" spans="1:325" ht="20.25">
      <c r="C191">
        <f>H190*D191</f>
        <v>92.114281645633284</v>
      </c>
      <c r="D191">
        <f>D190</f>
        <v>0.0017640962314499999</v>
      </c>
      <c r="E191" t="s">
        <v>40</v>
      </c>
      <c r="F191" s="10">
        <v>44079</v>
      </c>
      <c r="H191">
        <f>H190+C191</f>
        <v>52308.246260976426</v>
      </c>
      <c r="W191" s="1"/>
      <c r="Z191" s="1"/>
      <c r="AA191" s="1"/>
      <c r="AB191" s="1"/>
      <c r="AC191" s="1"/>
      <c r="AD191" s="1"/>
      <c r="AE191" s="1"/>
      <c r="AF191" s="1"/>
      <c r="AG191" s="1"/>
      <c r="AH191" s="1"/>
      <c r="AK191" s="1"/>
      <c r="AL191" s="1"/>
      <c r="AM191" s="1"/>
      <c r="AN191" s="1"/>
      <c r="AO191" s="1"/>
      <c r="AP191" s="1"/>
      <c r="AQ191" s="1"/>
      <c r="AR191" s="1"/>
      <c r="AS191" s="1"/>
      <c r="AV191" s="1"/>
      <c r="AW191" s="1"/>
      <c r="AX191" s="1"/>
      <c r="DV191">
        <v>11</v>
      </c>
      <c r="DW191" t="s">
        <v>39</v>
      </c>
      <c r="DX191" s="8">
        <v>43936</v>
      </c>
      <c r="DY191">
        <v>108</v>
      </c>
      <c r="EA191">
        <v>16</v>
      </c>
      <c r="GV191" s="8">
        <v>43953</v>
      </c>
      <c r="GW191">
        <v>30</v>
      </c>
      <c r="GX191" t="s">
        <v>104</v>
      </c>
      <c r="GY191">
        <v>12</v>
      </c>
      <c r="HB191">
        <v>223</v>
      </c>
      <c r="HC191">
        <v>0</v>
      </c>
    </row>
    <row r="192" spans="1:325" ht="20.25">
      <c r="C192">
        <f>H191*D192</f>
        <v>92.276780102747068</v>
      </c>
      <c r="D192">
        <f>D191</f>
        <v>0.0017640962314499999</v>
      </c>
      <c r="E192" t="s">
        <v>30</v>
      </c>
      <c r="F192" s="10">
        <v>44080</v>
      </c>
      <c r="H192">
        <f>H191+C192</f>
        <v>52400.52304107917</v>
      </c>
      <c r="W192" s="1"/>
      <c r="Z192" s="1"/>
      <c r="AA192" s="1"/>
      <c r="AB192" s="1"/>
      <c r="AC192" s="1"/>
      <c r="AD192" s="1"/>
      <c r="AE192" s="1"/>
      <c r="AF192" s="1"/>
      <c r="AG192" s="1"/>
      <c r="AH192" s="1"/>
      <c r="AK192" s="1"/>
      <c r="AL192" s="1"/>
      <c r="AM192" s="1"/>
      <c r="AN192" s="1"/>
      <c r="AO192" s="1"/>
      <c r="AP192" s="1"/>
      <c r="AQ192" s="1"/>
      <c r="AR192" s="1"/>
      <c r="AS192" s="1"/>
      <c r="AV192" s="1"/>
      <c r="AW192" s="1"/>
      <c r="AX192" s="1"/>
      <c r="DV192">
        <v>11</v>
      </c>
      <c r="DW192" t="s">
        <v>39</v>
      </c>
      <c r="DX192" s="8">
        <v>43937</v>
      </c>
      <c r="DY192">
        <v>127</v>
      </c>
      <c r="DZ192">
        <v>596</v>
      </c>
      <c r="EA192">
        <v>19</v>
      </c>
      <c r="GV192" s="8">
        <v>43954</v>
      </c>
      <c r="GW192">
        <v>30</v>
      </c>
      <c r="GX192" t="s">
        <v>104</v>
      </c>
      <c r="GY192">
        <v>12</v>
      </c>
      <c r="HB192">
        <v>223</v>
      </c>
      <c r="HC192">
        <v>0</v>
      </c>
    </row>
    <row r="193" spans="1:325" ht="20.25">
      <c r="C193">
        <f>H192*D193</f>
        <v>92.43956522277665</v>
      </c>
      <c r="D193">
        <f>D192</f>
        <v>0.0017640962314499999</v>
      </c>
      <c r="E193" t="s">
        <v>33</v>
      </c>
      <c r="F193" s="10">
        <v>44081</v>
      </c>
      <c r="H193">
        <f>H192+C193</f>
        <v>52492.962606301946</v>
      </c>
      <c r="W193" s="1"/>
      <c r="Z193" s="1"/>
      <c r="AA193" s="1"/>
      <c r="AB193" s="1"/>
      <c r="AC193" s="1"/>
      <c r="AD193" s="1"/>
      <c r="AE193" s="1"/>
      <c r="AF193" s="1"/>
      <c r="AG193" s="1"/>
      <c r="AH193" s="1"/>
      <c r="AK193" s="1"/>
      <c r="AL193" s="1"/>
      <c r="AM193" s="1"/>
      <c r="AN193" s="1"/>
      <c r="AO193" s="1"/>
      <c r="AP193" s="1"/>
      <c r="AQ193" s="1"/>
      <c r="AR193" s="1"/>
      <c r="AS193" s="1"/>
      <c r="AV193" s="1"/>
      <c r="AW193" s="1"/>
      <c r="AX193" s="1"/>
      <c r="CY193" s="3"/>
      <c r="CZ193" s="3"/>
      <c r="DV193">
        <v>11</v>
      </c>
      <c r="DW193" t="s">
        <v>39</v>
      </c>
      <c r="DX193" s="8">
        <v>43938</v>
      </c>
      <c r="DY193">
        <v>136</v>
      </c>
      <c r="DZ193">
        <v>638</v>
      </c>
      <c r="EA193">
        <v>19</v>
      </c>
      <c r="GV193" s="8">
        <v>43955</v>
      </c>
      <c r="GW193">
        <v>30</v>
      </c>
      <c r="GX193" t="s">
        <v>104</v>
      </c>
      <c r="GY193">
        <v>12</v>
      </c>
      <c r="HB193">
        <v>223</v>
      </c>
      <c r="HC193">
        <v>0</v>
      </c>
    </row>
    <row r="194" spans="1:325" ht="20.25">
      <c r="A194" t="s">
        <v>1</v>
      </c>
      <c r="C194">
        <f>H193*D194</f>
        <v>92.602637511423026</v>
      </c>
      <c r="D194">
        <f>D193</f>
        <v>0.0017640962314499999</v>
      </c>
      <c r="E194" t="s">
        <v>34</v>
      </c>
      <c r="F194" s="10">
        <v>44082</v>
      </c>
      <c r="H194">
        <f>H193+C194</f>
        <v>52585.565243813369</v>
      </c>
      <c r="W194" s="1"/>
      <c r="Z194" s="1"/>
      <c r="AA194" s="1"/>
      <c r="AB194" s="1"/>
      <c r="AC194" s="1"/>
      <c r="AD194" s="1"/>
      <c r="AE194" s="1"/>
      <c r="AF194" s="1"/>
      <c r="AG194" s="1"/>
      <c r="AH194" s="1"/>
      <c r="AK194" s="1"/>
      <c r="AL194" s="1"/>
      <c r="AM194" s="1"/>
      <c r="AN194" s="1"/>
      <c r="AO194" s="1"/>
      <c r="AP194" s="1"/>
      <c r="AQ194" s="1"/>
      <c r="AR194" s="1"/>
      <c r="AS194" s="1"/>
      <c r="AV194" s="1"/>
      <c r="AW194" s="1"/>
      <c r="AX194" s="1"/>
      <c r="DV194">
        <v>11</v>
      </c>
      <c r="DW194" t="s">
        <v>39</v>
      </c>
      <c r="DX194" s="8">
        <v>43939</v>
      </c>
      <c r="DY194">
        <v>153</v>
      </c>
      <c r="DZ194">
        <v>718</v>
      </c>
      <c r="EA194">
        <v>19</v>
      </c>
      <c r="GV194" s="8">
        <v>43956</v>
      </c>
      <c r="GW194">
        <v>30</v>
      </c>
      <c r="GX194" t="s">
        <v>104</v>
      </c>
      <c r="GY194">
        <v>14</v>
      </c>
      <c r="HB194">
        <v>260</v>
      </c>
      <c r="HC194">
        <v>0</v>
      </c>
    </row>
    <row r="195" spans="1:325" ht="20.25">
      <c r="C195">
        <f>H194*D195</f>
        <v>92.765997475279264</v>
      </c>
      <c r="D195">
        <f>D194</f>
        <v>0.0017640962314499999</v>
      </c>
      <c r="E195" t="s">
        <v>35</v>
      </c>
      <c r="F195" s="10">
        <v>44083</v>
      </c>
      <c r="H195">
        <f>H194+C195</f>
        <v>52678.331241288652</v>
      </c>
      <c r="W195" s="1"/>
      <c r="Z195" s="1"/>
      <c r="AA195" s="1"/>
      <c r="AB195" s="1"/>
      <c r="AC195" s="1"/>
      <c r="AD195" s="1"/>
      <c r="AE195" s="1"/>
      <c r="AF195" s="1"/>
      <c r="AG195" s="1"/>
      <c r="AH195" s="1"/>
      <c r="AK195" s="1"/>
      <c r="AL195" s="1"/>
      <c r="AM195" s="1"/>
      <c r="AN195" s="1"/>
      <c r="AO195" s="1"/>
      <c r="AP195" s="1"/>
      <c r="AQ195" s="1"/>
      <c r="AR195" s="1"/>
      <c r="AS195" s="1"/>
      <c r="AV195" s="1"/>
      <c r="AW195" s="1"/>
      <c r="AX195" s="1"/>
      <c r="DV195">
        <v>11</v>
      </c>
      <c r="DW195" t="s">
        <v>39</v>
      </c>
      <c r="DX195" s="8">
        <v>43940</v>
      </c>
      <c r="DY195">
        <v>155</v>
      </c>
      <c r="DZ195">
        <v>728</v>
      </c>
      <c r="EA195">
        <v>20</v>
      </c>
      <c r="GV195" s="8">
        <v>43957</v>
      </c>
      <c r="GW195">
        <v>30</v>
      </c>
      <c r="GX195" t="s">
        <v>104</v>
      </c>
      <c r="GY195">
        <v>14</v>
      </c>
      <c r="HB195">
        <v>260</v>
      </c>
      <c r="HC195">
        <v>0</v>
      </c>
    </row>
    <row r="196" spans="1:325" ht="20.25">
      <c r="C196">
        <f>H195*D196</f>
        <v>92.929645621832108</v>
      </c>
      <c r="D196">
        <f>D195</f>
        <v>0.0017640962314499999</v>
      </c>
      <c r="E196" t="s">
        <v>37</v>
      </c>
      <c r="F196" s="10">
        <v>44084</v>
      </c>
      <c r="H196">
        <f>H195+C196</f>
        <v>52771.260886910481</v>
      </c>
      <c r="W196" s="1"/>
      <c r="Z196" s="1"/>
      <c r="AA196" s="1"/>
      <c r="AB196" s="1"/>
      <c r="AC196" s="1"/>
      <c r="AD196" s="1"/>
      <c r="AE196" s="1"/>
      <c r="AF196" s="1"/>
      <c r="AG196" s="1"/>
      <c r="AH196" s="1"/>
      <c r="AK196" s="1"/>
      <c r="AL196" s="1"/>
      <c r="AM196" s="1"/>
      <c r="AN196" s="1"/>
      <c r="AO196" s="1"/>
      <c r="AP196" s="1"/>
      <c r="AQ196" s="1"/>
      <c r="AR196" s="1"/>
      <c r="AS196" s="1"/>
      <c r="AV196" s="1"/>
      <c r="AW196" s="1"/>
      <c r="AX196" s="1"/>
      <c r="DV196">
        <v>11</v>
      </c>
      <c r="DW196" t="s">
        <v>39</v>
      </c>
      <c r="DX196" s="8">
        <v>43941</v>
      </c>
      <c r="DY196">
        <v>189</v>
      </c>
      <c r="DZ196">
        <v>887</v>
      </c>
      <c r="EA196">
        <v>29</v>
      </c>
      <c r="GV196" s="8">
        <v>43958</v>
      </c>
      <c r="GW196">
        <v>30</v>
      </c>
      <c r="GX196" t="s">
        <v>104</v>
      </c>
      <c r="GY196">
        <v>14</v>
      </c>
      <c r="HB196">
        <v>260</v>
      </c>
      <c r="HC196">
        <v>0</v>
      </c>
    </row>
    <row r="197" spans="1:325" ht="20.25">
      <c r="C197">
        <f>H196*D197</f>
        <v>93.093582459463562</v>
      </c>
      <c r="D197">
        <f>D196</f>
        <v>0.0017640962314499999</v>
      </c>
      <c r="E197" t="s">
        <v>38</v>
      </c>
      <c r="F197" s="10">
        <v>44085</v>
      </c>
      <c r="H197">
        <f>H196+C197</f>
        <v>52864.354469369944</v>
      </c>
      <c r="W197" s="1"/>
      <c r="Z197" s="1"/>
      <c r="AA197" s="1"/>
      <c r="AB197" s="1"/>
      <c r="AC197" s="1"/>
      <c r="AD197" s="1"/>
      <c r="AE197" s="1"/>
      <c r="AF197" s="1"/>
      <c r="AG197" s="1"/>
      <c r="AH197" s="1"/>
      <c r="AK197" s="1"/>
      <c r="AL197" s="1"/>
      <c r="AM197" s="1"/>
      <c r="AN197" s="1"/>
      <c r="AO197" s="1"/>
      <c r="AP197" s="1"/>
      <c r="AQ197" s="1"/>
      <c r="AR197" s="1"/>
      <c r="AS197" s="1"/>
      <c r="AV197" s="1"/>
      <c r="AW197" s="1"/>
      <c r="AX197" s="1"/>
      <c r="DV197">
        <v>11</v>
      </c>
      <c r="DW197" t="s">
        <v>39</v>
      </c>
      <c r="DX197" s="8">
        <v>43942</v>
      </c>
      <c r="DY197">
        <v>192</v>
      </c>
      <c r="DZ197">
        <v>901</v>
      </c>
      <c r="EA197">
        <v>29</v>
      </c>
      <c r="GV197" s="8">
        <v>43959</v>
      </c>
      <c r="GW197">
        <v>30</v>
      </c>
      <c r="GX197" t="s">
        <v>104</v>
      </c>
      <c r="GY197">
        <v>15</v>
      </c>
      <c r="HB197">
        <v>279</v>
      </c>
      <c r="HC197">
        <v>0</v>
      </c>
    </row>
    <row r="198" spans="1:325" ht="20.25">
      <c r="C198">
        <f>H197*D198</f>
        <v>93.257808497452487</v>
      </c>
      <c r="D198">
        <f>D197</f>
        <v>0.0017640962314499999</v>
      </c>
      <c r="E198" t="s">
        <v>40</v>
      </c>
      <c r="F198" s="10">
        <v>44086</v>
      </c>
      <c r="H198">
        <f>H197+C198</f>
        <v>52957.612277867396</v>
      </c>
      <c r="W198" s="1"/>
      <c r="Z198" s="1"/>
      <c r="AA198" s="1"/>
      <c r="AB198" s="1"/>
      <c r="AC198" s="1"/>
      <c r="AD198" s="1"/>
      <c r="AE198" s="1"/>
      <c r="AF198" s="1"/>
      <c r="AG198" s="1"/>
      <c r="AH198" s="1"/>
      <c r="AK198" s="1"/>
      <c r="AL198" s="1"/>
      <c r="AM198" s="1"/>
      <c r="AN198" s="1"/>
      <c r="AO198" s="1"/>
      <c r="AP198" s="1"/>
      <c r="AQ198" s="1"/>
      <c r="AR198" s="1"/>
      <c r="AS198" s="1"/>
      <c r="AV198" s="1"/>
      <c r="AW198" s="1"/>
      <c r="AX198" s="1"/>
      <c r="BU198" s="1"/>
      <c r="BV198" s="1"/>
      <c r="BW198" s="1"/>
      <c r="DV198">
        <v>11</v>
      </c>
      <c r="DW198" t="s">
        <v>39</v>
      </c>
      <c r="DX198" s="8">
        <v>43943</v>
      </c>
      <c r="DY198">
        <v>201</v>
      </c>
      <c r="DZ198">
        <v>944</v>
      </c>
      <c r="EA198">
        <v>30</v>
      </c>
      <c r="GV198" s="8">
        <v>43960</v>
      </c>
      <c r="GW198">
        <v>30</v>
      </c>
      <c r="GX198" t="s">
        <v>104</v>
      </c>
      <c r="GY198">
        <v>15</v>
      </c>
      <c r="HB198">
        <v>279</v>
      </c>
      <c r="HC198">
        <v>0</v>
      </c>
    </row>
    <row r="199" spans="1:325" ht="20.25">
      <c r="C199">
        <f>H198*D199</f>
        <v>93.422324245976114</v>
      </c>
      <c r="D199">
        <f>D198</f>
        <v>0.0017640962314499999</v>
      </c>
      <c r="E199" t="s">
        <v>30</v>
      </c>
      <c r="F199" s="10">
        <v>44087</v>
      </c>
      <c r="H199">
        <f>H198+C199</f>
        <v>53051.034602113374</v>
      </c>
      <c r="W199" s="1"/>
      <c r="Z199" s="1"/>
      <c r="AA199" s="1"/>
      <c r="AB199" s="1"/>
      <c r="AC199" s="1"/>
      <c r="AD199" s="1"/>
      <c r="AE199" s="1"/>
      <c r="AF199" s="1"/>
      <c r="AG199" s="1"/>
      <c r="AH199" s="1"/>
      <c r="AK199" s="1"/>
      <c r="AL199" s="1"/>
      <c r="AM199" s="1"/>
      <c r="AN199" s="1"/>
      <c r="AO199" s="1"/>
      <c r="AP199" s="1"/>
      <c r="AQ199" s="1"/>
      <c r="AR199" s="1"/>
      <c r="AS199" s="1"/>
      <c r="AV199" s="1"/>
      <c r="AW199" s="1"/>
      <c r="AX199" s="1"/>
      <c r="DV199">
        <v>11</v>
      </c>
      <c r="DW199" t="s">
        <v>39</v>
      </c>
      <c r="DX199" s="8">
        <v>43944</v>
      </c>
      <c r="DY199">
        <v>205</v>
      </c>
      <c r="DZ199">
        <v>962</v>
      </c>
      <c r="EA199">
        <v>31</v>
      </c>
      <c r="GV199" s="8">
        <v>43961</v>
      </c>
      <c r="GW199">
        <v>30</v>
      </c>
      <c r="GX199" t="s">
        <v>104</v>
      </c>
      <c r="GY199">
        <v>15</v>
      </c>
      <c r="HB199">
        <v>279</v>
      </c>
      <c r="HC199">
        <v>0</v>
      </c>
    </row>
    <row r="200" spans="1:325" ht="20.25">
      <c r="C200">
        <f>H199*D200</f>
        <v>93.587130216111746</v>
      </c>
      <c r="D200">
        <f>D199</f>
        <v>0.0017640962314499999</v>
      </c>
      <c r="E200" t="s">
        <v>33</v>
      </c>
      <c r="F200" s="10">
        <v>44088</v>
      </c>
      <c r="H200">
        <f>H199+C200</f>
        <v>53144.621732329484</v>
      </c>
      <c r="W200" s="1"/>
      <c r="Z200" s="1"/>
      <c r="AA200" s="1"/>
      <c r="AB200" s="1"/>
      <c r="AC200" s="1"/>
      <c r="AD200" s="1"/>
      <c r="AE200" s="1"/>
      <c r="AF200" s="1"/>
      <c r="AG200" s="1"/>
      <c r="AH200" s="1"/>
      <c r="AK200" s="1"/>
      <c r="AL200" s="1"/>
      <c r="AM200" s="1"/>
      <c r="AN200" s="1"/>
      <c r="AO200" s="1"/>
      <c r="AP200" s="1"/>
      <c r="AQ200" s="1"/>
      <c r="AR200" s="1"/>
      <c r="AS200" s="1"/>
      <c r="AV200" s="1"/>
      <c r="AW200" s="1"/>
      <c r="AX200" s="1"/>
      <c r="BU200" s="1"/>
      <c r="DV200">
        <v>11</v>
      </c>
      <c r="DW200" t="s">
        <v>39</v>
      </c>
      <c r="DX200" s="8">
        <v>43945</v>
      </c>
      <c r="DY200">
        <v>215</v>
      </c>
      <c r="DZ200">
        <v>1009</v>
      </c>
      <c r="EA200">
        <v>33</v>
      </c>
      <c r="GV200" s="8">
        <v>43962</v>
      </c>
      <c r="GW200">
        <v>30</v>
      </c>
      <c r="GX200" t="s">
        <v>104</v>
      </c>
      <c r="GY200">
        <v>16</v>
      </c>
      <c r="HB200">
        <v>297</v>
      </c>
      <c r="HC200">
        <v>0</v>
      </c>
    </row>
    <row r="201" spans="1:325" ht="20.25">
      <c r="C201">
        <f>H200*D201</f>
        <v>93.752226919838208</v>
      </c>
      <c r="D201">
        <f>D200</f>
        <v>0.0017640962314499999</v>
      </c>
      <c r="E201" t="s">
        <v>34</v>
      </c>
      <c r="F201" s="10">
        <v>44089</v>
      </c>
      <c r="H201">
        <f>H200+C201</f>
        <v>53238.373959249322</v>
      </c>
      <c r="W201" s="1"/>
      <c r="Z201" s="1"/>
      <c r="AA201" s="1"/>
      <c r="AB201" s="1"/>
      <c r="AC201" s="1"/>
      <c r="AD201" s="1"/>
      <c r="AE201" s="1"/>
      <c r="AF201" s="1"/>
      <c r="AG201" s="1"/>
      <c r="AH201" s="1"/>
      <c r="AK201" s="1"/>
      <c r="AL201" s="1"/>
      <c r="AM201" s="1"/>
      <c r="AN201" s="1"/>
      <c r="AO201" s="1"/>
      <c r="AP201" s="1"/>
      <c r="AQ201" s="1"/>
      <c r="AR201" s="1"/>
      <c r="AS201" s="1"/>
      <c r="AV201" s="1"/>
      <c r="AW201" s="1"/>
      <c r="AX201" s="1"/>
      <c r="BU201" s="1"/>
      <c r="DV201">
        <v>11</v>
      </c>
      <c r="DW201" t="s">
        <v>39</v>
      </c>
      <c r="DX201" s="8">
        <v>43946</v>
      </c>
      <c r="DY201">
        <v>227</v>
      </c>
      <c r="DZ201">
        <v>1066</v>
      </c>
      <c r="EA201">
        <v>38</v>
      </c>
      <c r="GV201" s="8">
        <v>43963</v>
      </c>
      <c r="GW201">
        <v>30</v>
      </c>
      <c r="GX201" t="s">
        <v>104</v>
      </c>
      <c r="GY201">
        <v>16</v>
      </c>
      <c r="HB201">
        <v>297</v>
      </c>
      <c r="HC201">
        <v>0</v>
      </c>
    </row>
    <row r="202" spans="1:325" ht="24">
      <c r="C202">
        <f>H201*D202</f>
        <v>93.917614870037539</v>
      </c>
      <c r="D202">
        <f>D201</f>
        <v>0.0017640962314499999</v>
      </c>
      <c r="E202" t="s">
        <v>35</v>
      </c>
      <c r="F202" s="10">
        <v>44090</v>
      </c>
      <c r="H202">
        <f>H201+C202</f>
        <v>53332.291574119357</v>
      </c>
      <c r="W202" s="1" t="inlineStr">
        <is>
          <t>June 28th: 119</t>
        </is>
      </c>
      <c r="Z202" s="1"/>
      <c r="AA202" s="1"/>
      <c r="AB202" s="1"/>
      <c r="AC202" s="1"/>
      <c r="AD202" s="1"/>
      <c r="AE202" s="1"/>
      <c r="AF202" s="1"/>
      <c r="AG202" s="1"/>
      <c r="AH202" s="1"/>
      <c r="AK202" s="1"/>
      <c r="AL202" s="1"/>
      <c r="AM202" s="1"/>
      <c r="AN202" s="1"/>
      <c r="AO202" s="1"/>
      <c r="AP202" s="1"/>
      <c r="AQ202" s="1"/>
      <c r="AR202" s="1"/>
      <c r="AS202" s="1"/>
      <c r="AV202" s="1"/>
      <c r="AW202" s="1"/>
      <c r="AX202" s="1"/>
      <c r="BU202" s="1"/>
      <c r="DV202">
        <v>11</v>
      </c>
      <c r="DW202" t="s">
        <v>39</v>
      </c>
      <c r="DX202" s="8">
        <v>43947</v>
      </c>
      <c r="DY202">
        <v>233</v>
      </c>
      <c r="DZ202">
        <v>1094</v>
      </c>
      <c r="EA202">
        <v>42</v>
      </c>
      <c r="GV202" s="8">
        <v>43964</v>
      </c>
      <c r="GW202">
        <v>30</v>
      </c>
      <c r="GX202" t="s">
        <v>104</v>
      </c>
      <c r="GY202">
        <v>16</v>
      </c>
      <c r="HB202">
        <v>297</v>
      </c>
      <c r="HC202">
        <v>0</v>
      </c>
    </row>
    <row r="203" spans="1:325" ht="20.25">
      <c r="C203">
        <f>H202*D203</f>
        <v>94.083294580496542</v>
      </c>
      <c r="D203">
        <f>D202</f>
        <v>0.0017640962314499999</v>
      </c>
      <c r="E203" t="s">
        <v>37</v>
      </c>
      <c r="F203" s="10">
        <v>44091</v>
      </c>
      <c r="H203">
        <f>H202+C203</f>
        <v>53426.374868699852</v>
      </c>
      <c r="W203" s="1"/>
      <c r="Z203" s="1"/>
      <c r="AA203" s="1"/>
      <c r="AB203" s="1"/>
      <c r="AC203" s="1"/>
      <c r="AD203" s="1"/>
      <c r="AE203" s="1"/>
      <c r="AF203" s="1"/>
      <c r="AG203" s="1"/>
      <c r="AH203" s="1"/>
      <c r="AK203" s="1"/>
      <c r="AL203" s="1"/>
      <c r="AM203" s="1"/>
      <c r="AN203" s="1"/>
      <c r="AO203" s="1"/>
      <c r="AP203" s="1"/>
      <c r="AQ203" s="1"/>
      <c r="AR203" s="1"/>
      <c r="AS203" s="1"/>
      <c r="AV203" s="1"/>
      <c r="AW203" s="1"/>
      <c r="AX203" s="1"/>
      <c r="BU203" s="1"/>
      <c r="DV203">
        <v>11</v>
      </c>
      <c r="DW203" t="s">
        <v>39</v>
      </c>
      <c r="DX203" s="8">
        <v>43948</v>
      </c>
      <c r="DY203">
        <v>241</v>
      </c>
      <c r="DZ203">
        <v>1131</v>
      </c>
      <c r="EA203">
        <v>42</v>
      </c>
      <c r="GV203" s="8">
        <v>43965</v>
      </c>
      <c r="GW203">
        <v>30</v>
      </c>
      <c r="GX203" t="s">
        <v>104</v>
      </c>
      <c r="GY203">
        <v>17</v>
      </c>
      <c r="HB203">
        <v>316</v>
      </c>
      <c r="HC203">
        <v>0</v>
      </c>
    </row>
    <row r="204" spans="1:325" ht="20.25">
      <c r="C204">
        <f>H203*D204</f>
        <v>94.2492665659084</v>
      </c>
      <c r="D204">
        <f>D203</f>
        <v>0.0017640962314499999</v>
      </c>
      <c r="E204" t="s">
        <v>38</v>
      </c>
      <c r="F204" s="10">
        <v>44092</v>
      </c>
      <c r="H204">
        <f>H203+C204</f>
        <v>53520.62413526576</v>
      </c>
      <c r="W204" s="1"/>
      <c r="Z204" s="1"/>
      <c r="AA204" s="1"/>
      <c r="AB204" s="1"/>
      <c r="AC204" s="1"/>
      <c r="AD204" s="1"/>
      <c r="AE204" s="1"/>
      <c r="AF204" s="1"/>
      <c r="AG204" s="1"/>
      <c r="AH204" s="1"/>
      <c r="AK204" s="1"/>
      <c r="AL204" s="1"/>
      <c r="AM204" s="1"/>
      <c r="AN204" s="1"/>
      <c r="AO204" s="1"/>
      <c r="AP204" s="1"/>
      <c r="AQ204" s="1"/>
      <c r="AR204" s="1"/>
      <c r="AS204" s="1"/>
      <c r="AV204" s="1"/>
      <c r="AW204" s="1"/>
      <c r="AX204" s="1"/>
      <c r="BU204" s="1"/>
      <c r="DV204">
        <v>11</v>
      </c>
      <c r="DW204" t="s">
        <v>39</v>
      </c>
      <c r="DX204" s="8">
        <v>43949</v>
      </c>
      <c r="DY204">
        <v>247</v>
      </c>
      <c r="DZ204">
        <v>1160</v>
      </c>
      <c r="EA204">
        <v>46</v>
      </c>
      <c r="GV204" s="8">
        <v>43966</v>
      </c>
      <c r="GW204">
        <v>30</v>
      </c>
      <c r="GX204" t="s">
        <v>104</v>
      </c>
      <c r="GY204">
        <v>17</v>
      </c>
      <c r="HB204">
        <v>316</v>
      </c>
      <c r="HC204">
        <v>0</v>
      </c>
    </row>
    <row r="205" spans="1:325" ht="20.25">
      <c r="C205">
        <f>H204*D205</f>
        <v>94.415531341874242</v>
      </c>
      <c r="D205">
        <f>D204</f>
        <v>0.0017640962314499999</v>
      </c>
      <c r="E205" t="s">
        <v>40</v>
      </c>
      <c r="F205" s="10">
        <v>44093</v>
      </c>
      <c r="H205">
        <f>H204+C205</f>
        <v>53615.039666607634</v>
      </c>
      <c r="W205" s="1"/>
      <c r="Z205" s="1"/>
      <c r="AA205" s="1"/>
      <c r="AB205" s="1"/>
      <c r="AC205" s="1"/>
      <c r="AD205" s="1"/>
      <c r="AE205" s="1"/>
      <c r="AF205" s="1"/>
      <c r="AG205" s="1"/>
      <c r="AH205" s="1"/>
      <c r="AK205" s="1"/>
      <c r="AL205" s="1"/>
      <c r="AM205" s="1"/>
      <c r="AN205" s="1"/>
      <c r="AO205" s="1"/>
      <c r="AP205" s="1"/>
      <c r="AQ205" s="1"/>
      <c r="AR205" s="1"/>
      <c r="AS205" s="1"/>
      <c r="AV205" s="1"/>
      <c r="AW205" s="1"/>
      <c r="AX205" s="1"/>
      <c r="BU205" s="1"/>
      <c r="DV205">
        <v>11</v>
      </c>
      <c r="DW205" t="s">
        <v>39</v>
      </c>
      <c r="DX205" s="8">
        <v>43950</v>
      </c>
      <c r="DY205">
        <v>252</v>
      </c>
      <c r="DZ205">
        <v>1183</v>
      </c>
      <c r="EA205">
        <v>47</v>
      </c>
      <c r="GV205" s="8">
        <v>43967</v>
      </c>
      <c r="GW205">
        <v>30</v>
      </c>
      <c r="GX205" t="s">
        <v>104</v>
      </c>
      <c r="GY205">
        <v>16</v>
      </c>
      <c r="HB205">
        <v>297</v>
      </c>
      <c r="HC205">
        <v>0</v>
      </c>
      <c r="HF205">
        <v>93</v>
      </c>
    </row>
    <row r="206" spans="1:325" ht="20.25">
      <c r="C206">
        <f>H205*D206</f>
        <v>94.582089424904794</v>
      </c>
      <c r="D206">
        <f>D205</f>
        <v>0.0017640962314499999</v>
      </c>
      <c r="E206" t="s">
        <v>30</v>
      </c>
      <c r="F206" s="10">
        <v>44094</v>
      </c>
      <c r="H206">
        <f>H205+C206</f>
        <v>53709.621756032539</v>
      </c>
      <c r="W206" s="1"/>
      <c r="Z206" s="1"/>
      <c r="AA206" s="1"/>
      <c r="AB206" s="1"/>
      <c r="AC206" s="1"/>
      <c r="AD206" s="1"/>
      <c r="AE206" s="1"/>
      <c r="AF206" s="1"/>
      <c r="AG206" s="1"/>
      <c r="AH206" s="1"/>
      <c r="AK206" s="1"/>
      <c r="AL206" s="1"/>
      <c r="AM206" s="1"/>
      <c r="AN206" s="1"/>
      <c r="AO206" s="1"/>
      <c r="AP206" s="1"/>
      <c r="AQ206" s="1"/>
      <c r="AR206" s="1"/>
      <c r="AS206" s="1"/>
      <c r="AV206" s="1"/>
      <c r="AW206" s="1"/>
      <c r="AX206" s="1"/>
      <c r="BU206" s="1"/>
      <c r="DV206">
        <v>11</v>
      </c>
      <c r="DW206" t="s">
        <v>39</v>
      </c>
      <c r="DX206" s="8">
        <v>43951</v>
      </c>
      <c r="DY206">
        <v>265</v>
      </c>
      <c r="DZ206">
        <v>1244</v>
      </c>
      <c r="EA206">
        <v>50</v>
      </c>
      <c r="GV206" s="8">
        <v>43968</v>
      </c>
      <c r="GW206">
        <v>30</v>
      </c>
      <c r="GX206" t="s">
        <v>104</v>
      </c>
      <c r="GY206">
        <v>18</v>
      </c>
      <c r="HB206">
        <v>316</v>
      </c>
      <c r="HC206">
        <v>0</v>
      </c>
      <c r="HF206">
        <v>97</v>
      </c>
    </row>
    <row r="207" spans="1:325" ht="20.25">
      <c r="C207">
        <f>H206*D207</f>
        <v>94.748941332421936</v>
      </c>
      <c r="D207">
        <f>D206</f>
        <v>0.0017640962314499999</v>
      </c>
      <c r="E207" t="s">
        <v>33</v>
      </c>
      <c r="F207" s="10">
        <v>44095</v>
      </c>
      <c r="H207">
        <f>H206+C207</f>
        <v>53804.370697364961</v>
      </c>
      <c r="W207" s="1"/>
      <c r="Z207" s="1"/>
      <c r="AA207" s="1"/>
      <c r="AB207" s="1"/>
      <c r="AC207" s="1"/>
      <c r="AD207" s="1"/>
      <c r="AE207" s="1"/>
      <c r="AF207" s="1"/>
      <c r="AG207" s="1"/>
      <c r="AH207" s="1"/>
      <c r="AK207" s="1"/>
      <c r="AL207" s="1"/>
      <c r="AM207" s="1"/>
      <c r="AN207" s="1"/>
      <c r="AO207" s="1"/>
      <c r="AP207" s="1"/>
      <c r="AQ207" s="1"/>
      <c r="AR207" s="1"/>
      <c r="AS207" s="1"/>
      <c r="AV207" s="1"/>
      <c r="AW207" s="1"/>
      <c r="AX207" s="1"/>
      <c r="BU207" s="1"/>
      <c r="DV207">
        <v>11</v>
      </c>
      <c r="DW207" t="s">
        <v>39</v>
      </c>
      <c r="DX207" s="8">
        <v>43952</v>
      </c>
      <c r="DY207">
        <v>282</v>
      </c>
      <c r="DZ207">
        <v>1324</v>
      </c>
      <c r="EA207">
        <v>50</v>
      </c>
      <c r="GV207" s="8">
        <v>43969</v>
      </c>
      <c r="GW207">
        <v>30</v>
      </c>
      <c r="GX207" t="s">
        <v>104</v>
      </c>
      <c r="GY207">
        <v>17</v>
      </c>
      <c r="HB207">
        <v>316</v>
      </c>
      <c r="HC207">
        <v>0</v>
      </c>
      <c r="HF207">
        <v>106</v>
      </c>
    </row>
    <row r="208" spans="1:325" ht="20.25">
      <c r="C208">
        <f>H207*D208</f>
        <v>94.916087582760326</v>
      </c>
      <c r="D208">
        <f>D207</f>
        <v>0.0017640962314499999</v>
      </c>
      <c r="E208" t="s">
        <v>34</v>
      </c>
      <c r="F208" s="10">
        <v>44096</v>
      </c>
      <c r="H208">
        <f>H207+C208</f>
        <v>53899.286784947719</v>
      </c>
      <c r="W208" s="1"/>
      <c r="Z208" s="1"/>
      <c r="AA208" s="1"/>
      <c r="AB208" s="1"/>
      <c r="AC208" s="1"/>
      <c r="AD208" s="1"/>
      <c r="AE208" s="1"/>
      <c r="AF208" s="1"/>
      <c r="AG208" s="1"/>
      <c r="AH208" s="1"/>
      <c r="AK208" s="1"/>
      <c r="AL208" s="1"/>
      <c r="AM208" s="1"/>
      <c r="AN208" s="1"/>
      <c r="AO208" s="1"/>
      <c r="AP208" s="1"/>
      <c r="AQ208" s="1"/>
      <c r="AR208" s="1"/>
      <c r="AS208" s="1"/>
      <c r="AV208" s="1"/>
      <c r="AW208" s="1"/>
      <c r="AX208" s="1"/>
      <c r="BU208" s="1"/>
      <c r="DV208">
        <v>11</v>
      </c>
      <c r="DW208" t="s">
        <v>39</v>
      </c>
      <c r="DX208" s="8">
        <v>43953</v>
      </c>
      <c r="DY208">
        <v>293</v>
      </c>
      <c r="DZ208">
        <v>1376</v>
      </c>
      <c r="EA208">
        <v>50</v>
      </c>
      <c r="GV208" s="8">
        <v>43970</v>
      </c>
      <c r="GW208">
        <v>30</v>
      </c>
      <c r="GX208" t="s">
        <v>104</v>
      </c>
      <c r="GY208">
        <v>17</v>
      </c>
      <c r="HB208">
        <v>316</v>
      </c>
      <c r="HC208">
        <v>0</v>
      </c>
      <c r="HF208">
        <v>117</v>
      </c>
    </row>
    <row r="209" spans="1:325" ht="20.25">
      <c r="C209">
        <f>H208*D209</f>
        <v>95.083528695169051</v>
      </c>
      <c r="D209">
        <f>D208</f>
        <v>0.0017640962314499999</v>
      </c>
      <c r="E209" t="s">
        <v>35</v>
      </c>
      <c r="F209" s="10">
        <v>44097</v>
      </c>
      <c r="H209">
        <f>H208+C209</f>
        <v>53994.370313642889</v>
      </c>
      <c r="W209" s="1"/>
      <c r="Z209" s="1"/>
      <c r="AA209" s="1"/>
      <c r="AB209" s="1"/>
      <c r="AC209" s="1"/>
      <c r="AD209" s="1"/>
      <c r="AE209" s="1"/>
      <c r="AF209" s="1"/>
      <c r="AG209" s="1"/>
      <c r="AH209" s="1"/>
      <c r="AK209" s="1"/>
      <c r="AL209" s="1"/>
      <c r="AM209" s="1"/>
      <c r="AN209" s="1"/>
      <c r="AO209" s="1"/>
      <c r="AP209" s="1"/>
      <c r="AQ209" s="1"/>
      <c r="AR209" s="1"/>
      <c r="AS209" s="1"/>
      <c r="AV209" s="1"/>
      <c r="AW209" s="1"/>
      <c r="AX209" s="1"/>
      <c r="BU209" s="1"/>
      <c r="DV209">
        <v>11</v>
      </c>
      <c r="DW209" t="s">
        <v>39</v>
      </c>
      <c r="DX209" s="8">
        <v>43954</v>
      </c>
      <c r="DY209">
        <v>296</v>
      </c>
      <c r="DZ209">
        <v>1390</v>
      </c>
      <c r="EA209">
        <v>52</v>
      </c>
      <c r="GV209" s="8">
        <v>43971</v>
      </c>
      <c r="GW209">
        <v>30</v>
      </c>
      <c r="GX209" t="s">
        <v>104</v>
      </c>
      <c r="GY209">
        <v>18</v>
      </c>
      <c r="HB209">
        <v>334</v>
      </c>
      <c r="HC209">
        <v>0</v>
      </c>
      <c r="HF209">
        <v>119</v>
      </c>
      <c r="HG209">
        <v>2210</v>
      </c>
    </row>
    <row r="210" spans="1:325" ht="20.25">
      <c r="C210">
        <f>H209*D210</f>
        <v>95.251265189813168</v>
      </c>
      <c r="D210">
        <f>D209</f>
        <v>0.0017640962314499999</v>
      </c>
      <c r="E210" t="s">
        <v>37</v>
      </c>
      <c r="F210" s="10">
        <v>44098</v>
      </c>
      <c r="H210">
        <f>H209+C210</f>
        <v>54089.621578832703</v>
      </c>
      <c r="W210" s="1"/>
      <c r="Z210" s="1"/>
      <c r="AA210" s="1"/>
      <c r="AB210" s="1"/>
      <c r="AC210" s="1"/>
      <c r="AD210" s="1"/>
      <c r="AE210" s="1"/>
      <c r="AF210" s="1"/>
      <c r="AG210" s="1"/>
      <c r="AH210" s="1"/>
      <c r="AK210" s="1"/>
      <c r="AL210" s="1"/>
      <c r="AM210" s="1"/>
      <c r="AN210" s="1"/>
      <c r="AO210" s="1"/>
      <c r="AP210" s="1"/>
      <c r="AQ210" s="1"/>
      <c r="AR210" s="1"/>
      <c r="AS210" s="1"/>
      <c r="AV210" s="1"/>
      <c r="AW210" s="1"/>
      <c r="AX210" s="1"/>
      <c r="BU210" s="1"/>
      <c r="DV210">
        <v>11</v>
      </c>
      <c r="DW210" t="s">
        <v>39</v>
      </c>
      <c r="DX210" s="8">
        <v>43955</v>
      </c>
      <c r="DY210">
        <v>302</v>
      </c>
      <c r="DZ210">
        <v>1418</v>
      </c>
      <c r="EA210">
        <v>54</v>
      </c>
      <c r="GV210" s="8">
        <v>43972</v>
      </c>
      <c r="GW210">
        <v>30</v>
      </c>
      <c r="GX210" t="s">
        <v>104</v>
      </c>
      <c r="GY210">
        <v>19</v>
      </c>
      <c r="HB210">
        <v>353</v>
      </c>
      <c r="HC210">
        <v>0</v>
      </c>
      <c r="HF210">
        <v>127</v>
      </c>
      <c r="HG210">
        <v>2358</v>
      </c>
    </row>
    <row r="211" spans="1:325" ht="20.25">
      <c r="C211">
        <f>H210*D211</f>
        <v>95.419297587775361</v>
      </c>
      <c r="D211">
        <f>D210</f>
        <v>0.0017640962314499999</v>
      </c>
      <c r="E211" t="s">
        <v>38</v>
      </c>
      <c r="F211" s="10">
        <v>44099</v>
      </c>
      <c r="H211">
        <f>H210+C211</f>
        <v>54185.040876420477</v>
      </c>
      <c r="W211" s="1"/>
      <c r="Z211" s="1"/>
      <c r="AA211" s="1"/>
      <c r="AB211" s="1"/>
      <c r="AC211" s="1"/>
      <c r="AD211" s="1"/>
      <c r="AE211" s="1"/>
      <c r="AF211" s="1"/>
      <c r="AG211" s="1"/>
      <c r="AH211" s="1"/>
      <c r="AK211" s="1"/>
      <c r="AL211" s="1"/>
      <c r="AM211" s="1"/>
      <c r="AN211" s="1"/>
      <c r="AO211" s="1"/>
      <c r="AP211" s="1"/>
      <c r="AQ211" s="1"/>
      <c r="AR211" s="1"/>
      <c r="AS211" s="1"/>
      <c r="AV211" s="1"/>
      <c r="AW211" s="1"/>
      <c r="AX211" s="1"/>
      <c r="BU211" s="1"/>
      <c r="DV211">
        <v>11</v>
      </c>
      <c r="DW211" t="s">
        <v>39</v>
      </c>
      <c r="DX211" s="8">
        <v>43956</v>
      </c>
      <c r="DY211">
        <v>305</v>
      </c>
      <c r="DZ211">
        <v>1432</v>
      </c>
      <c r="EA211">
        <v>55</v>
      </c>
      <c r="GV211" s="8">
        <v>43973</v>
      </c>
      <c r="GW211">
        <v>30</v>
      </c>
      <c r="GX211" t="s">
        <v>104</v>
      </c>
      <c r="GY211">
        <v>19</v>
      </c>
      <c r="HB211">
        <v>353</v>
      </c>
      <c r="HC211">
        <v>0</v>
      </c>
      <c r="HF211">
        <v>137</v>
      </c>
      <c r="HG211">
        <v>2544</v>
      </c>
    </row>
    <row r="212" spans="1:325" ht="20.25">
      <c r="C212">
        <f>H211*D212</f>
        <v>95.58762641105757</v>
      </c>
      <c r="D212">
        <f>D211</f>
        <v>0.0017640962314499999</v>
      </c>
      <c r="E212" t="s">
        <v>40</v>
      </c>
      <c r="F212" s="10">
        <v>44100</v>
      </c>
      <c r="H212">
        <f>H211+C212</f>
        <v>54280.628502831532</v>
      </c>
      <c r="W212" s="1"/>
      <c r="Z212" s="1"/>
      <c r="AA212" s="1"/>
      <c r="AB212" s="1"/>
      <c r="AC212" s="1"/>
      <c r="AD212" s="1"/>
      <c r="AE212" s="1"/>
      <c r="AF212" s="1"/>
      <c r="AG212" s="1"/>
      <c r="AH212" s="1"/>
      <c r="AK212" s="1"/>
      <c r="AL212" s="1"/>
      <c r="AM212" s="1"/>
      <c r="AN212" s="1"/>
      <c r="AO212" s="1"/>
      <c r="AP212" s="1"/>
      <c r="AQ212" s="1"/>
      <c r="AR212" s="1"/>
      <c r="AS212" s="1"/>
      <c r="AV212" s="1"/>
      <c r="AW212" s="1"/>
      <c r="AX212" s="1"/>
      <c r="DV212">
        <v>11</v>
      </c>
      <c r="DW212" t="s">
        <v>39</v>
      </c>
      <c r="DX212" s="8">
        <v>43957</v>
      </c>
      <c r="DY212">
        <v>310</v>
      </c>
      <c r="DZ212">
        <v>1455</v>
      </c>
      <c r="EA212">
        <v>57</v>
      </c>
      <c r="GV212" s="8">
        <v>43974</v>
      </c>
      <c r="GW212">
        <v>30</v>
      </c>
      <c r="GX212" t="s">
        <v>104</v>
      </c>
      <c r="GY212">
        <v>20</v>
      </c>
      <c r="HB212">
        <v>371</v>
      </c>
      <c r="HC212">
        <v>0</v>
      </c>
      <c r="HF212">
        <v>145</v>
      </c>
      <c r="HG212">
        <v>2693</v>
      </c>
    </row>
    <row r="213" spans="1:325" ht="20.25">
      <c r="C213">
        <f>H212*D213</f>
        <v>95.756252182582557</v>
      </c>
      <c r="D213">
        <f>D212</f>
        <v>0.0017640962314499999</v>
      </c>
      <c r="E213" t="s">
        <v>30</v>
      </c>
      <c r="F213" s="10">
        <v>44101</v>
      </c>
      <c r="H213">
        <f>H212+C213</f>
        <v>54376.384755014114</v>
      </c>
      <c r="W213" s="1"/>
      <c r="Z213" s="1"/>
      <c r="AA213" s="1"/>
      <c r="AB213" s="1"/>
      <c r="AC213" s="1"/>
      <c r="AD213" s="1"/>
      <c r="AE213" s="1"/>
      <c r="AF213" s="1"/>
      <c r="AG213" s="1"/>
      <c r="AH213" s="1"/>
      <c r="AK213" s="1"/>
      <c r="AL213" s="1"/>
      <c r="AM213" s="1"/>
      <c r="AN213" s="1"/>
      <c r="AO213" s="1"/>
      <c r="AP213" s="1"/>
      <c r="AQ213" s="1"/>
      <c r="AR213" s="1"/>
      <c r="AS213" s="1"/>
      <c r="AV213" s="1"/>
      <c r="AW213" s="1"/>
      <c r="AX213" s="1"/>
      <c r="DV213">
        <v>11</v>
      </c>
      <c r="DW213" t="s">
        <v>39</v>
      </c>
      <c r="DX213" s="8">
        <v>43958</v>
      </c>
      <c r="DY213">
        <v>314</v>
      </c>
      <c r="DZ213">
        <v>1474</v>
      </c>
      <c r="EA213">
        <v>58</v>
      </c>
      <c r="GV213" s="8">
        <v>43975</v>
      </c>
      <c r="GW213">
        <v>30</v>
      </c>
      <c r="GX213" t="s">
        <v>104</v>
      </c>
      <c r="GY213">
        <v>21</v>
      </c>
      <c r="HB213">
        <v>390</v>
      </c>
      <c r="HC213">
        <v>0</v>
      </c>
      <c r="HF213">
        <v>152</v>
      </c>
      <c r="HG213">
        <v>2823</v>
      </c>
    </row>
    <row r="214" spans="1:325" ht="20.25">
      <c r="C214">
        <f>H213*D214</f>
        <v>95.925175426195622</v>
      </c>
      <c r="D214">
        <f>D213</f>
        <v>0.0017640962314499999</v>
      </c>
      <c r="E214" t="s">
        <v>33</v>
      </c>
      <c r="F214" s="10">
        <v>44102</v>
      </c>
      <c r="H214">
        <f>H213+C214</f>
        <v>54472.309930440308</v>
      </c>
      <c r="W214" s="1"/>
      <c r="Z214" s="1"/>
      <c r="AA214" s="1"/>
      <c r="AB214" s="1"/>
      <c r="AC214" s="1"/>
      <c r="AD214" s="1"/>
      <c r="AE214" s="1"/>
      <c r="AF214" s="1"/>
      <c r="AG214" s="1"/>
      <c r="AH214" s="1"/>
      <c r="AK214" s="1"/>
      <c r="AL214" s="1"/>
      <c r="AM214" s="1"/>
      <c r="AN214" s="1"/>
      <c r="AO214" s="1"/>
      <c r="AP214" s="1"/>
      <c r="AQ214" s="1"/>
      <c r="AR214" s="1"/>
      <c r="AS214" s="1"/>
      <c r="AV214" s="1"/>
      <c r="AW214" s="1"/>
      <c r="AX214" s="1"/>
      <c r="DV214">
        <v>11</v>
      </c>
      <c r="DW214" t="s">
        <v>39</v>
      </c>
      <c r="DX214" s="8">
        <v>43959</v>
      </c>
      <c r="DY214">
        <v>326</v>
      </c>
      <c r="DZ214">
        <v>1530</v>
      </c>
      <c r="EA214">
        <v>60</v>
      </c>
      <c r="GV214" s="8">
        <v>43976</v>
      </c>
      <c r="GW214">
        <v>30</v>
      </c>
      <c r="GX214" t="s">
        <v>104</v>
      </c>
      <c r="GY214">
        <v>22</v>
      </c>
      <c r="HB214">
        <v>409</v>
      </c>
      <c r="HC214">
        <v>0</v>
      </c>
      <c r="HF214">
        <v>155</v>
      </c>
      <c r="HG214">
        <v>2878</v>
      </c>
    </row>
    <row r="215" spans="1:325" ht="20.25">
      <c r="C215">
        <f>H214*D215</f>
        <v>96.094396666666157</v>
      </c>
      <c r="D215">
        <f>D214</f>
        <v>0.0017640962314499999</v>
      </c>
      <c r="E215" t="s">
        <v>34</v>
      </c>
      <c r="F215" s="10">
        <v>44103</v>
      </c>
      <c r="H215">
        <f>H214+C215</f>
        <v>54568.404327106975</v>
      </c>
      <c r="W215" s="1"/>
      <c r="Z215" s="1"/>
      <c r="AA215" s="1"/>
      <c r="AB215" s="1"/>
      <c r="AC215" s="1"/>
      <c r="AD215" s="1"/>
      <c r="AE215" s="1"/>
      <c r="AF215" s="1"/>
      <c r="AG215" s="1"/>
      <c r="AH215" s="1"/>
      <c r="AK215" s="1"/>
      <c r="AL215" s="1"/>
      <c r="AM215" s="1"/>
      <c r="AN215" s="1"/>
      <c r="AO215" s="1"/>
      <c r="AP215" s="1"/>
      <c r="AQ215" s="1"/>
      <c r="AR215" s="1"/>
      <c r="AS215" s="1"/>
      <c r="AV215" s="1"/>
      <c r="AW215" s="1"/>
      <c r="AX215" s="1"/>
      <c r="DV215">
        <v>11</v>
      </c>
      <c r="DW215" t="s">
        <v>39</v>
      </c>
      <c r="DX215" s="8">
        <v>43960</v>
      </c>
      <c r="DY215">
        <v>338</v>
      </c>
      <c r="DZ215">
        <v>1587</v>
      </c>
      <c r="EA215">
        <v>62</v>
      </c>
      <c r="GV215" s="8">
        <v>43977</v>
      </c>
      <c r="GW215">
        <v>30</v>
      </c>
      <c r="GX215" t="s">
        <v>104</v>
      </c>
      <c r="GY215">
        <v>21</v>
      </c>
      <c r="HB215">
        <v>390</v>
      </c>
      <c r="HC215">
        <v>1</v>
      </c>
      <c r="HF215">
        <v>157</v>
      </c>
      <c r="HG215">
        <v>2916</v>
      </c>
    </row>
    <row r="216" spans="1:325" ht="20.25">
      <c r="C216">
        <f>H215*D216</f>
        <v>96.263916429689289</v>
      </c>
      <c r="D216">
        <f>D215</f>
        <v>0.0017640962314499999</v>
      </c>
      <c r="E216" t="s">
        <v>35</v>
      </c>
      <c r="F216" s="10">
        <v>44104</v>
      </c>
      <c r="H216">
        <f>H215+C216</f>
        <v>54664.668243536667</v>
      </c>
      <c r="W216" s="1"/>
      <c r="Z216" s="1"/>
      <c r="AA216" s="1"/>
      <c r="AB216" s="1"/>
      <c r="AC216" s="1"/>
      <c r="AD216" s="1"/>
      <c r="AE216" s="1"/>
      <c r="AF216" s="1"/>
      <c r="AG216" s="1"/>
      <c r="AH216" s="1"/>
      <c r="AK216" s="1"/>
      <c r="AL216" s="1"/>
      <c r="AM216" s="1"/>
      <c r="AN216" s="1"/>
      <c r="AO216" s="1"/>
      <c r="AP216" s="1"/>
      <c r="AQ216" s="1"/>
      <c r="AR216" s="1"/>
      <c r="AS216" s="1"/>
      <c r="AV216" s="1"/>
      <c r="AW216" s="1"/>
      <c r="AX216" s="1"/>
      <c r="DV216">
        <v>11</v>
      </c>
      <c r="DW216" t="s">
        <v>39</v>
      </c>
      <c r="DX216" s="8">
        <v>43961</v>
      </c>
      <c r="DY216">
        <v>343</v>
      </c>
      <c r="DZ216">
        <v>1610</v>
      </c>
      <c r="EA216">
        <v>62</v>
      </c>
      <c r="GV216" s="8">
        <v>43978</v>
      </c>
      <c r="GW216">
        <v>30</v>
      </c>
      <c r="GX216" t="s">
        <v>104</v>
      </c>
      <c r="GY216">
        <v>21</v>
      </c>
      <c r="HB216">
        <v>390</v>
      </c>
      <c r="HC216">
        <v>1</v>
      </c>
      <c r="HF216">
        <v>161</v>
      </c>
      <c r="HG216">
        <v>2990</v>
      </c>
    </row>
    <row r="217" spans="1:325" ht="20.25">
      <c r="C217">
        <f>H216*D217</f>
        <v>96.433735241887518</v>
      </c>
      <c r="D217">
        <f>D216</f>
        <v>0.0017640962314499999</v>
      </c>
      <c r="E217" t="s">
        <v>37</v>
      </c>
      <c r="F217" s="10">
        <v>44105</v>
      </c>
      <c r="H217">
        <f>H216+C217</f>
        <v>54761.101978778555</v>
      </c>
      <c r="W217" s="1"/>
      <c r="Z217" s="1"/>
      <c r="AA217" s="1"/>
      <c r="AB217" s="1"/>
      <c r="AC217" s="1"/>
      <c r="AD217" s="1"/>
      <c r="AE217" s="1"/>
      <c r="AF217" s="1"/>
      <c r="AG217" s="1"/>
      <c r="AH217" s="1"/>
      <c r="AK217" s="1"/>
      <c r="AL217" s="1"/>
      <c r="AM217" s="1"/>
      <c r="AN217" s="1"/>
      <c r="AO217" s="1"/>
      <c r="AP217" s="1"/>
      <c r="AQ217" s="1"/>
      <c r="AR217" s="1"/>
      <c r="AS217" s="1"/>
      <c r="AV217" s="1"/>
      <c r="AW217" s="1"/>
      <c r="AX217" s="1"/>
      <c r="DV217">
        <v>11</v>
      </c>
      <c r="DW217" t="s">
        <v>39</v>
      </c>
      <c r="DX217" s="8">
        <v>43962</v>
      </c>
      <c r="DY217">
        <v>351</v>
      </c>
      <c r="DZ217">
        <v>1648</v>
      </c>
      <c r="EA217">
        <v>63</v>
      </c>
      <c r="GV217" s="8">
        <v>43979</v>
      </c>
      <c r="GW217">
        <v>30</v>
      </c>
      <c r="GX217" t="s">
        <v>104</v>
      </c>
      <c r="GY217">
        <v>21</v>
      </c>
      <c r="HB217">
        <v>390</v>
      </c>
      <c r="HC217">
        <v>1</v>
      </c>
      <c r="HF217">
        <v>162</v>
      </c>
      <c r="HG217">
        <v>3008</v>
      </c>
    </row>
    <row r="218" spans="1:325" ht="20.25">
      <c r="C218">
        <f>H217*D218</f>
        <v>96.603853630812381</v>
      </c>
      <c r="D218">
        <f>D217</f>
        <v>0.0017640962314499999</v>
      </c>
      <c r="E218" t="s">
        <v>38</v>
      </c>
      <c r="F218" s="10">
        <v>44106</v>
      </c>
      <c r="H218">
        <f>H217+C218</f>
        <v>54857.705832409367</v>
      </c>
      <c r="W218" s="1"/>
      <c r="Z218" s="1"/>
      <c r="AA218" s="1"/>
      <c r="AB218" s="1"/>
      <c r="AC218" s="1"/>
      <c r="AD218" s="1"/>
      <c r="AE218" s="1"/>
      <c r="AF218" s="1"/>
      <c r="AG218" s="1"/>
      <c r="AH218" s="1"/>
      <c r="AK218" s="1"/>
      <c r="AL218" s="1"/>
      <c r="AM218" s="1"/>
      <c r="AN218" s="1"/>
      <c r="AO218" s="1"/>
      <c r="AP218" s="1"/>
      <c r="AQ218" s="1"/>
      <c r="AR218" s="1"/>
      <c r="AS218" s="1"/>
      <c r="AV218" s="1"/>
      <c r="AW218" s="1"/>
      <c r="AX218" s="1"/>
      <c r="BU218" s="1"/>
      <c r="BV218" s="1"/>
      <c r="BW218" s="1"/>
      <c r="BX218" s="1"/>
      <c r="BY218" s="1"/>
      <c r="BZ218" s="1"/>
      <c r="CC218" s="1"/>
      <c r="CD218" s="1"/>
      <c r="CE218" s="1"/>
      <c r="CF218" s="1"/>
      <c r="CG218" s="1"/>
      <c r="CH218" s="1"/>
      <c r="CI218" s="1"/>
      <c r="CJ218" s="1"/>
      <c r="CK218" s="1"/>
      <c r="CN218" s="1"/>
      <c r="CO218" s="1"/>
      <c r="DV218">
        <v>11</v>
      </c>
      <c r="DW218" t="s">
        <v>39</v>
      </c>
      <c r="DX218" s="8">
        <v>43963</v>
      </c>
      <c r="DY218">
        <v>358</v>
      </c>
      <c r="DZ218">
        <v>1681</v>
      </c>
      <c r="EA218">
        <v>64</v>
      </c>
      <c r="GV218" s="8">
        <v>43980</v>
      </c>
      <c r="GW218">
        <v>30</v>
      </c>
      <c r="GX218" t="s">
        <v>104</v>
      </c>
      <c r="GY218">
        <v>22</v>
      </c>
      <c r="HB218">
        <v>409</v>
      </c>
      <c r="HC218">
        <v>1</v>
      </c>
      <c r="HF218">
        <v>171</v>
      </c>
      <c r="HG218">
        <v>3175</v>
      </c>
    </row>
    <row r="219" spans="1:325" ht="20.25">
      <c r="C219">
        <f>H218*D219</f>
        <v>96.774272124946052</v>
      </c>
      <c r="D219">
        <f>D218</f>
        <v>0.0017640962314499999</v>
      </c>
      <c r="E219" t="s">
        <v>40</v>
      </c>
      <c r="F219" s="10">
        <v>44107</v>
      </c>
      <c r="H219">
        <f>H218+C219</f>
        <v>54954.480104534312</v>
      </c>
      <c r="W219" s="1"/>
      <c r="Z219" s="1"/>
      <c r="AA219" s="1"/>
      <c r="AB219" s="1"/>
      <c r="AC219" s="1"/>
      <c r="AD219" s="1"/>
      <c r="AE219" s="1"/>
      <c r="AF219" s="1"/>
      <c r="AG219" s="1"/>
      <c r="AH219" s="1"/>
      <c r="AK219" s="1"/>
      <c r="AL219" s="1"/>
      <c r="AM219" s="1"/>
      <c r="AN219" s="1"/>
      <c r="AO219" s="1"/>
      <c r="AP219" s="1"/>
      <c r="AQ219" s="1"/>
      <c r="AR219" s="1"/>
      <c r="AS219" s="1"/>
      <c r="AV219" s="1"/>
      <c r="AW219" s="1"/>
      <c r="AX219" s="1"/>
      <c r="BU219" s="1"/>
      <c r="BV219" s="1"/>
      <c r="BW219" s="1"/>
      <c r="BX219" s="1"/>
      <c r="BY219" s="1"/>
      <c r="BZ219" s="1"/>
      <c r="CC219" s="1"/>
      <c r="CD219" s="1"/>
      <c r="CE219" s="1"/>
      <c r="CF219" s="1"/>
      <c r="CG219" s="1"/>
      <c r="CH219" s="1"/>
      <c r="CI219" s="1"/>
      <c r="CJ219" s="1"/>
      <c r="CK219" s="1"/>
      <c r="CN219" s="1"/>
      <c r="CO219" s="1"/>
      <c r="DV219">
        <v>11</v>
      </c>
      <c r="DW219" t="s">
        <v>39</v>
      </c>
      <c r="DX219" s="8">
        <v>43964</v>
      </c>
      <c r="DY219">
        <v>368</v>
      </c>
      <c r="DZ219">
        <v>1728</v>
      </c>
      <c r="EA219">
        <v>65</v>
      </c>
      <c r="GV219" s="8">
        <v>43981</v>
      </c>
      <c r="GW219">
        <v>30</v>
      </c>
      <c r="GX219" t="s">
        <v>104</v>
      </c>
      <c r="GY219">
        <v>22</v>
      </c>
      <c r="HB219">
        <v>409</v>
      </c>
      <c r="HC219">
        <v>1</v>
      </c>
      <c r="HF219">
        <v>173</v>
      </c>
      <c r="HG219">
        <v>3213</v>
      </c>
    </row>
    <row r="220" spans="1:325" ht="20.25">
      <c r="C220">
        <f>H219*D220</f>
        <v>96.94499125370298</v>
      </c>
      <c r="D220">
        <f>D219</f>
        <v>0.0017640962314499999</v>
      </c>
      <c r="E220" t="s">
        <v>30</v>
      </c>
      <c r="F220" s="10">
        <v>44108</v>
      </c>
      <c r="H220">
        <f>H219+C220</f>
        <v>55051.425095788014</v>
      </c>
      <c r="W220" s="1"/>
      <c r="Z220" s="1"/>
      <c r="AA220" s="1"/>
      <c r="AB220" s="1"/>
      <c r="AC220" s="1"/>
      <c r="AD220" s="1"/>
      <c r="AE220" s="1"/>
      <c r="AF220" s="1"/>
      <c r="AG220" s="1"/>
      <c r="AH220" s="1"/>
      <c r="AK220" s="1"/>
      <c r="AL220" s="1"/>
      <c r="AM220" s="1"/>
      <c r="AN220" s="1"/>
      <c r="AO220" s="1"/>
      <c r="AP220" s="1"/>
      <c r="AQ220" s="1"/>
      <c r="AR220" s="1"/>
      <c r="AS220" s="1"/>
      <c r="AV220" s="1"/>
      <c r="AW220" s="1"/>
      <c r="AX220" s="1"/>
      <c r="BU220" s="1"/>
      <c r="BV220" s="1"/>
      <c r="BW220" s="1"/>
      <c r="BX220" s="1"/>
      <c r="BY220" s="1"/>
      <c r="BZ220" s="1"/>
      <c r="CC220" s="1"/>
      <c r="CD220" s="1"/>
      <c r="CE220" s="1"/>
      <c r="CF220" s="1"/>
      <c r="CG220" s="1"/>
      <c r="CH220" s="1"/>
      <c r="CI220" s="1"/>
      <c r="CJ220" s="1"/>
      <c r="CK220" s="1"/>
      <c r="CN220" s="1"/>
      <c r="CO220" s="1"/>
      <c r="DV220">
        <v>11</v>
      </c>
      <c r="DW220" t="s">
        <v>39</v>
      </c>
      <c r="DX220" s="8">
        <v>43965</v>
      </c>
      <c r="DY220">
        <v>374</v>
      </c>
      <c r="DZ220">
        <v>1756</v>
      </c>
      <c r="EA220">
        <v>66</v>
      </c>
      <c r="GV220" s="8">
        <v>43982</v>
      </c>
      <c r="GW220">
        <v>30</v>
      </c>
      <c r="GX220" t="s">
        <v>104</v>
      </c>
      <c r="GY220">
        <v>22</v>
      </c>
      <c r="GZ220">
        <v>22</v>
      </c>
      <c r="HA220">
        <v>0</v>
      </c>
      <c r="HB220">
        <v>409</v>
      </c>
      <c r="HC220">
        <v>1</v>
      </c>
      <c r="HD220">
        <v>1</v>
      </c>
      <c r="HE220">
        <v>0</v>
      </c>
      <c r="HF220">
        <v>177</v>
      </c>
      <c r="HG220">
        <v>3287</v>
      </c>
      <c r="HH220">
        <v>207</v>
      </c>
      <c r="HI220">
        <v>25</v>
      </c>
      <c r="HJ220">
        <v>182</v>
      </c>
      <c r="HK220">
        <v>0</v>
      </c>
    </row>
    <row r="221" spans="1:325" ht="20.25">
      <c r="C221">
        <f>H220*D221</f>
        <v>97.116011547431583</v>
      </c>
      <c r="D221">
        <f>D220</f>
        <v>0.0017640962314499999</v>
      </c>
      <c r="E221" t="s">
        <v>33</v>
      </c>
      <c r="F221" s="10">
        <v>44109</v>
      </c>
      <c r="H221">
        <f>H220+C221</f>
        <v>55148.541107335448</v>
      </c>
      <c r="W221" s="1"/>
      <c r="Z221" s="1"/>
      <c r="AA221" s="1"/>
      <c r="AB221" s="1"/>
      <c r="AC221" s="1"/>
      <c r="AD221" s="1"/>
      <c r="AE221" s="1"/>
      <c r="AF221" s="1"/>
      <c r="AG221" s="1"/>
      <c r="AH221" s="1"/>
      <c r="AK221" s="1"/>
      <c r="AL221" s="1"/>
      <c r="AM221" s="1"/>
      <c r="AN221" s="1"/>
      <c r="AO221" s="1"/>
      <c r="AP221" s="1"/>
      <c r="AQ221" s="1"/>
      <c r="AR221" s="1"/>
      <c r="AS221" s="1"/>
      <c r="AV221" s="1"/>
      <c r="AW221" s="1"/>
      <c r="AX221" s="1"/>
      <c r="BU221" s="1"/>
      <c r="BV221" s="1"/>
      <c r="BW221" s="1"/>
      <c r="BX221" s="1"/>
      <c r="BY221" s="1"/>
      <c r="BZ221" s="1"/>
      <c r="CC221" s="1"/>
      <c r="CD221" s="1"/>
      <c r="CE221" s="1"/>
      <c r="CF221" s="1"/>
      <c r="CG221" s="1"/>
      <c r="CH221" s="1"/>
      <c r="CI221" s="1"/>
      <c r="CJ221" s="1"/>
      <c r="CK221" s="1"/>
      <c r="CN221" s="1"/>
      <c r="CO221" s="1"/>
      <c r="DV221">
        <v>11</v>
      </c>
      <c r="DW221" t="s">
        <v>39</v>
      </c>
      <c r="DX221" s="8">
        <v>43966</v>
      </c>
      <c r="DY221">
        <v>381</v>
      </c>
      <c r="DZ221">
        <v>1789</v>
      </c>
      <c r="EA221">
        <v>66</v>
      </c>
      <c r="GV221" s="8">
        <v>43983</v>
      </c>
      <c r="GW221">
        <v>30</v>
      </c>
      <c r="GX221" t="s">
        <v>104</v>
      </c>
      <c r="GY221">
        <v>22</v>
      </c>
      <c r="GZ221">
        <v>22</v>
      </c>
      <c r="HA221">
        <v>0</v>
      </c>
      <c r="HB221">
        <v>409</v>
      </c>
      <c r="HC221">
        <v>1</v>
      </c>
      <c r="HD221">
        <v>1</v>
      </c>
      <c r="HE221">
        <v>0</v>
      </c>
      <c r="HF221">
        <v>189</v>
      </c>
      <c r="HG221">
        <v>3510</v>
      </c>
      <c r="HH221">
        <v>220</v>
      </c>
      <c r="HI221">
        <v>24</v>
      </c>
      <c r="HJ221">
        <v>196</v>
      </c>
      <c r="HK221">
        <v>0</v>
      </c>
    </row>
    <row r="222" spans="1:325" ht="20.25">
      <c r="C222">
        <f>H221*D222</f>
        <v>97.287333537415876</v>
      </c>
      <c r="D222">
        <f>D221</f>
        <v>0.0017640962314499999</v>
      </c>
      <c r="E222" t="s">
        <v>34</v>
      </c>
      <c r="F222" s="10">
        <v>44110</v>
      </c>
      <c r="H222">
        <f>H221+C222</f>
        <v>55245.828440872865</v>
      </c>
      <c r="W222" s="1"/>
      <c r="Z222" s="1"/>
      <c r="AA222" s="1"/>
      <c r="AB222" s="1"/>
      <c r="AC222" s="1"/>
      <c r="AD222" s="1"/>
      <c r="AE222" s="1"/>
      <c r="AF222" s="1"/>
      <c r="AG222" s="1"/>
      <c r="AH222" s="1"/>
      <c r="AK222" s="1"/>
      <c r="AL222" s="1"/>
      <c r="AM222" s="1"/>
      <c r="AN222" s="1"/>
      <c r="AO222" s="1"/>
      <c r="AP222" s="1"/>
      <c r="AQ222" s="1"/>
      <c r="AR222" s="1"/>
      <c r="AS222" s="1"/>
      <c r="AV222" s="1"/>
      <c r="AW222" s="1"/>
      <c r="AX222" s="1"/>
      <c r="BU222" s="1"/>
      <c r="BV222" s="1"/>
      <c r="BW222" s="1"/>
      <c r="BX222" s="1"/>
      <c r="BY222" s="1"/>
      <c r="BZ222" s="1"/>
      <c r="CC222" s="1"/>
      <c r="CD222" s="1"/>
      <c r="CE222" s="1"/>
      <c r="CF222" s="1"/>
      <c r="CG222" s="1"/>
      <c r="CH222" s="1"/>
      <c r="CI222" s="1"/>
      <c r="CJ222" s="1"/>
      <c r="CK222" s="1"/>
      <c r="CN222" s="1"/>
      <c r="CO222" s="1"/>
      <c r="DV222">
        <v>12</v>
      </c>
      <c r="DW222" t="s">
        <v>41</v>
      </c>
      <c r="DX222" s="8">
        <v>43914</v>
      </c>
      <c r="DY222">
        <v>1</v>
      </c>
      <c r="EA222">
        <v>0</v>
      </c>
      <c r="GV222" s="8">
        <v>43984</v>
      </c>
      <c r="GW222">
        <v>30</v>
      </c>
      <c r="GX222" t="s">
        <v>104</v>
      </c>
      <c r="GY222">
        <v>22</v>
      </c>
      <c r="GZ222">
        <v>22</v>
      </c>
      <c r="HA222">
        <v>0</v>
      </c>
      <c r="HB222">
        <v>409</v>
      </c>
      <c r="HC222">
        <v>1</v>
      </c>
      <c r="HD222">
        <v>1</v>
      </c>
      <c r="HE222">
        <v>0</v>
      </c>
      <c r="HF222">
        <v>194</v>
      </c>
      <c r="HG222">
        <v>3603</v>
      </c>
      <c r="HH222">
        <v>226</v>
      </c>
      <c r="HI222">
        <v>24</v>
      </c>
      <c r="HJ222">
        <v>202</v>
      </c>
      <c r="HK222">
        <v>0</v>
      </c>
    </row>
    <row r="223" spans="1:325" ht="20.25">
      <c r="C223">
        <f>H222*D223</f>
        <v>97.458957755877051</v>
      </c>
      <c r="D223">
        <f>D222</f>
        <v>0.0017640962314499999</v>
      </c>
      <c r="E223" t="s">
        <v>35</v>
      </c>
      <c r="F223" s="10">
        <v>44111</v>
      </c>
      <c r="H223">
        <f>H222+C223</f>
        <v>55343.287398628745</v>
      </c>
      <c r="W223" s="1"/>
      <c r="Z223" s="1"/>
      <c r="AA223" s="1"/>
      <c r="AB223" s="1"/>
      <c r="AC223" s="1"/>
      <c r="AD223" s="1"/>
      <c r="AE223" s="1"/>
      <c r="AF223" s="1"/>
      <c r="AG223" s="1"/>
      <c r="AH223" s="1"/>
      <c r="AK223" s="1"/>
      <c r="AL223" s="1"/>
      <c r="AM223" s="1"/>
      <c r="AN223" s="1"/>
      <c r="AO223" s="1"/>
      <c r="AP223" s="1"/>
      <c r="AQ223" s="1"/>
      <c r="AR223" s="1"/>
      <c r="AS223" s="1"/>
      <c r="AV223" s="1"/>
      <c r="AW223" s="1"/>
      <c r="AX223" s="1"/>
      <c r="BU223" s="1"/>
      <c r="BV223" s="1"/>
      <c r="BW223" s="1"/>
      <c r="BX223" s="1"/>
      <c r="BY223" s="1"/>
      <c r="BZ223" s="1"/>
      <c r="CC223" s="1"/>
      <c r="CD223" s="1"/>
      <c r="CE223" s="1"/>
      <c r="CF223" s="1"/>
      <c r="CG223" s="1"/>
      <c r="CH223" s="1"/>
      <c r="CI223" s="1"/>
      <c r="CJ223" s="1"/>
      <c r="CK223" s="1"/>
      <c r="CN223" s="1"/>
      <c r="CO223" s="1"/>
      <c r="DV223">
        <v>12</v>
      </c>
      <c r="DW223" t="s">
        <v>41</v>
      </c>
      <c r="DX223" s="8">
        <v>43915</v>
      </c>
      <c r="DY223">
        <v>2</v>
      </c>
      <c r="EA223">
        <v>0</v>
      </c>
      <c r="GV223" s="8">
        <v>43914</v>
      </c>
      <c r="GW223">
        <v>32</v>
      </c>
      <c r="GX223" t="s">
        <v>106</v>
      </c>
      <c r="GY223">
        <v>1</v>
      </c>
      <c r="HC223">
        <v>0</v>
      </c>
    </row>
    <row r="224" spans="1:325" ht="20.25">
      <c r="C224">
        <f>H223*D224</f>
        <v>97.630884735975243</v>
      </c>
      <c r="D224">
        <f>D223</f>
        <v>0.0017640962314499999</v>
      </c>
      <c r="E224" t="s">
        <v>37</v>
      </c>
      <c r="F224" s="10">
        <v>44112</v>
      </c>
      <c r="H224">
        <f>H223+C224</f>
        <v>55440.918283364721</v>
      </c>
      <c r="W224" s="1"/>
      <c r="Z224" s="1"/>
      <c r="AA224" s="1"/>
      <c r="AB224" s="1"/>
      <c r="AC224" s="1"/>
      <c r="AD224" s="1"/>
      <c r="AE224" s="1"/>
      <c r="AF224" s="1"/>
      <c r="AG224" s="1"/>
      <c r="AH224" s="1"/>
      <c r="AK224" s="1"/>
      <c r="AL224" s="1"/>
      <c r="AM224" s="1"/>
      <c r="AN224" s="1"/>
      <c r="AO224" s="1"/>
      <c r="AP224" s="1"/>
      <c r="AQ224" s="1"/>
      <c r="AR224" s="1"/>
      <c r="AS224" s="1"/>
      <c r="AV224" s="1"/>
      <c r="AW224" s="1"/>
      <c r="AX224" s="1"/>
      <c r="BU224" s="1"/>
      <c r="BV224" s="1"/>
      <c r="BW224" s="1"/>
      <c r="BX224" s="1"/>
      <c r="BY224" s="1"/>
      <c r="BZ224" s="1"/>
      <c r="CC224" s="1"/>
      <c r="CD224" s="1"/>
      <c r="CE224" s="1"/>
      <c r="CF224" s="1"/>
      <c r="CG224" s="1"/>
      <c r="CH224" s="1"/>
      <c r="CI224" s="1"/>
      <c r="CJ224" s="1"/>
      <c r="CK224" s="1"/>
      <c r="CN224" s="1"/>
      <c r="CO224" s="1"/>
      <c r="DV224">
        <v>12</v>
      </c>
      <c r="DW224" t="s">
        <v>41</v>
      </c>
      <c r="DX224" s="8">
        <v>43916</v>
      </c>
      <c r="DY224">
        <v>2</v>
      </c>
      <c r="EA224">
        <v>0</v>
      </c>
      <c r="GV224" s="8">
        <v>43915</v>
      </c>
      <c r="GW224">
        <v>32</v>
      </c>
      <c r="GX224" t="s">
        <v>106</v>
      </c>
      <c r="GY224">
        <v>3</v>
      </c>
      <c r="HC224">
        <v>0</v>
      </c>
    </row>
    <row r="225" spans="1:325" ht="20.25">
      <c r="C225">
        <f>H224*D225</f>
        <v>97.803115011811101</v>
      </c>
      <c r="D225">
        <f>D224</f>
        <v>0.0017640962314499999</v>
      </c>
      <c r="E225" t="s">
        <v>38</v>
      </c>
      <c r="F225" s="10">
        <v>44113</v>
      </c>
      <c r="H225">
        <f>H224+C225</f>
        <v>55538.721398376532</v>
      </c>
      <c r="W225" s="1"/>
      <c r="Z225" s="1"/>
      <c r="AA225" s="1"/>
      <c r="AB225" s="1"/>
      <c r="AC225" s="1"/>
      <c r="AD225" s="1"/>
      <c r="AE225" s="1"/>
      <c r="AF225" s="1"/>
      <c r="AG225" s="1"/>
      <c r="AH225" s="1"/>
      <c r="AK225" s="1"/>
      <c r="AL225" s="1"/>
      <c r="AM225" s="1"/>
      <c r="AN225" s="1"/>
      <c r="AO225" s="1"/>
      <c r="AP225" s="1"/>
      <c r="AQ225" s="1"/>
      <c r="AR225" s="1"/>
      <c r="AS225" s="1"/>
      <c r="AV225" s="1"/>
      <c r="AW225" s="1"/>
      <c r="AX225" s="1"/>
      <c r="BU225" s="1"/>
      <c r="BV225" s="1"/>
      <c r="BW225" s="1"/>
      <c r="BX225" s="1"/>
      <c r="BY225" s="1"/>
      <c r="BZ225" s="1"/>
      <c r="CC225" s="1"/>
      <c r="CD225" s="1"/>
      <c r="CE225" s="1"/>
      <c r="CF225" s="1"/>
      <c r="CG225" s="1"/>
      <c r="CH225" s="1"/>
      <c r="CI225" s="1"/>
      <c r="CJ225" s="1"/>
      <c r="CK225" s="1"/>
      <c r="CN225" s="1"/>
      <c r="CO225" s="1"/>
      <c r="DV225">
        <v>12</v>
      </c>
      <c r="DW225" t="s">
        <v>41</v>
      </c>
      <c r="DX225" s="8">
        <v>43917</v>
      </c>
      <c r="DY225">
        <v>2</v>
      </c>
      <c r="EA225">
        <v>0</v>
      </c>
      <c r="GV225" s="8">
        <v>43916</v>
      </c>
      <c r="GW225">
        <v>32</v>
      </c>
      <c r="GX225" t="s">
        <v>106</v>
      </c>
      <c r="GY225">
        <v>3</v>
      </c>
      <c r="HC225">
        <v>0</v>
      </c>
    </row>
    <row r="226" spans="1:325" ht="20.25">
      <c r="C226">
        <f>H225*D226</f>
        <v>97.975649118427512</v>
      </c>
      <c r="D226">
        <f>D225</f>
        <v>0.0017640962314499999</v>
      </c>
      <c r="E226" t="s">
        <v>40</v>
      </c>
      <c r="F226" s="10">
        <v>44114</v>
      </c>
      <c r="H226">
        <f>H225+C226</f>
        <v>55636.697047494963</v>
      </c>
      <c r="W226" s="1"/>
      <c r="Z226" s="1"/>
      <c r="AA226" s="1"/>
      <c r="AB226" s="1"/>
      <c r="AC226" s="1"/>
      <c r="AD226" s="1"/>
      <c r="AE226" s="1"/>
      <c r="AF226" s="1"/>
      <c r="AG226" s="1"/>
      <c r="AH226" s="1"/>
      <c r="AK226" s="1"/>
      <c r="AL226" s="1"/>
      <c r="AM226" s="1"/>
      <c r="AN226" s="1"/>
      <c r="AO226" s="1"/>
      <c r="AP226" s="1"/>
      <c r="AQ226" s="1"/>
      <c r="AR226" s="1"/>
      <c r="AS226" s="1"/>
      <c r="AV226" s="1"/>
      <c r="AW226" s="1"/>
      <c r="AX226" s="1"/>
      <c r="BU226" s="1"/>
      <c r="BV226" s="1"/>
      <c r="BW226" s="1"/>
      <c r="BX226" s="1"/>
      <c r="BY226" s="1"/>
      <c r="BZ226" s="1"/>
      <c r="CC226" s="1"/>
      <c r="CD226" s="1"/>
      <c r="CE226" s="1"/>
      <c r="CF226" s="1"/>
      <c r="CG226" s="1"/>
      <c r="CH226" s="1"/>
      <c r="CI226" s="1"/>
      <c r="CJ226" s="1"/>
      <c r="CK226" s="1"/>
      <c r="CN226" s="1"/>
      <c r="CO226" s="1"/>
      <c r="DV226">
        <v>12</v>
      </c>
      <c r="DW226" t="s">
        <v>41</v>
      </c>
      <c r="DX226" s="8">
        <v>43918</v>
      </c>
      <c r="DY226">
        <v>2</v>
      </c>
      <c r="EA226">
        <v>0</v>
      </c>
      <c r="GV226" s="8">
        <v>43917</v>
      </c>
      <c r="GW226">
        <v>32</v>
      </c>
      <c r="GX226" t="s">
        <v>106</v>
      </c>
      <c r="GY226">
        <v>3</v>
      </c>
      <c r="HC226">
        <v>0</v>
      </c>
    </row>
    <row r="227" spans="1:325" ht="20.25">
      <c r="C227">
        <f>H226*D227</f>
        <v>98.148487591811204</v>
      </c>
      <c r="D227">
        <f>D226</f>
        <v>0.0017640962314499999</v>
      </c>
      <c r="E227" t="s">
        <v>30</v>
      </c>
      <c r="F227" s="10">
        <v>44115</v>
      </c>
      <c r="H227">
        <f>H226+C227</f>
        <v>55734.845535086773</v>
      </c>
      <c r="W227" s="1"/>
      <c r="Z227" s="1"/>
      <c r="AA227" s="1"/>
      <c r="AB227" s="1"/>
      <c r="AC227" s="1"/>
      <c r="AD227" s="1"/>
      <c r="AE227" s="1"/>
      <c r="AF227" s="1"/>
      <c r="AG227" s="1"/>
      <c r="AH227" s="1"/>
      <c r="AK227" s="1"/>
      <c r="AL227" s="1"/>
      <c r="AM227" s="1"/>
      <c r="AN227" s="1"/>
      <c r="AO227" s="1"/>
      <c r="AP227" s="1"/>
      <c r="AQ227" s="1"/>
      <c r="AR227" s="1"/>
      <c r="AS227" s="1"/>
      <c r="AV227" s="1"/>
      <c r="AW227" s="1"/>
      <c r="AX227" s="1"/>
      <c r="BU227" s="1"/>
      <c r="BV227" s="1"/>
      <c r="BW227" s="1"/>
      <c r="BX227" s="1"/>
      <c r="BY227" s="1"/>
      <c r="BZ227" s="1"/>
      <c r="CC227" s="1"/>
      <c r="CD227" s="1"/>
      <c r="CE227" s="1"/>
      <c r="CF227" s="1"/>
      <c r="CG227" s="1"/>
      <c r="CH227" s="1"/>
      <c r="CI227" s="1"/>
      <c r="CJ227" s="1"/>
      <c r="CK227" s="1"/>
      <c r="CN227" s="1"/>
      <c r="CO227" s="1"/>
      <c r="DV227">
        <v>12</v>
      </c>
      <c r="DW227" t="s">
        <v>41</v>
      </c>
      <c r="DX227" s="8">
        <v>43919</v>
      </c>
      <c r="DY227">
        <v>2</v>
      </c>
      <c r="EA227">
        <v>0</v>
      </c>
      <c r="GV227" s="8">
        <v>43918</v>
      </c>
      <c r="GW227">
        <v>32</v>
      </c>
      <c r="GX227" t="s">
        <v>106</v>
      </c>
      <c r="GY227">
        <v>4</v>
      </c>
      <c r="HC227">
        <v>0</v>
      </c>
    </row>
    <row r="228" spans="1:325" ht="20.25">
      <c r="C228">
        <f>H227*D228</f>
        <v>98.321630968894439</v>
      </c>
      <c r="D228">
        <f>D227</f>
        <v>0.0017640962314499999</v>
      </c>
      <c r="E228" t="s">
        <v>33</v>
      </c>
      <c r="F228" s="10">
        <v>44116</v>
      </c>
      <c r="H228">
        <f>H227+C228</f>
        <v>55833.167166055668</v>
      </c>
      <c r="W228" s="1"/>
      <c r="Z228" s="1"/>
      <c r="AA228" s="1"/>
      <c r="AB228" s="1"/>
      <c r="AC228" s="1"/>
      <c r="AD228" s="1"/>
      <c r="AE228" s="1"/>
      <c r="AF228" s="1"/>
      <c r="AG228" s="1"/>
      <c r="AH228" s="1"/>
      <c r="AK228" s="1"/>
      <c r="AL228" s="1"/>
      <c r="AM228" s="1"/>
      <c r="AN228" s="1"/>
      <c r="AO228" s="1"/>
      <c r="AP228" s="1"/>
      <c r="AQ228" s="1"/>
      <c r="AR228" s="1"/>
      <c r="AS228" s="1"/>
      <c r="AV228" s="1"/>
      <c r="AW228" s="1"/>
      <c r="AX228" s="1"/>
      <c r="BU228" s="1"/>
      <c r="BV228" s="1"/>
      <c r="BW228" s="1"/>
      <c r="BX228" s="1"/>
      <c r="BY228" s="1"/>
      <c r="BZ228" s="1"/>
      <c r="CC228" s="1"/>
      <c r="CD228" s="1"/>
      <c r="CE228" s="1"/>
      <c r="CF228" s="1"/>
      <c r="CG228" s="1"/>
      <c r="CH228" s="1"/>
      <c r="CI228" s="1"/>
      <c r="CJ228" s="1"/>
      <c r="CK228" s="1"/>
      <c r="CN228" s="1"/>
      <c r="CO228" s="1"/>
      <c r="DV228">
        <v>12</v>
      </c>
      <c r="DW228" t="s">
        <v>41</v>
      </c>
      <c r="DX228" s="8">
        <v>43920</v>
      </c>
      <c r="DY228">
        <v>2</v>
      </c>
      <c r="EA228">
        <v>0</v>
      </c>
      <c r="GV228" s="8">
        <v>43919</v>
      </c>
      <c r="GW228">
        <v>32</v>
      </c>
      <c r="GX228" t="s">
        <v>106</v>
      </c>
      <c r="GY228">
        <v>4</v>
      </c>
      <c r="HC228">
        <v>0</v>
      </c>
    </row>
    <row r="229" spans="1:325" ht="20.25">
      <c r="C229">
        <f>H228*D229</f>
        <v>98.495079787556676</v>
      </c>
      <c r="D229">
        <f>D228</f>
        <v>0.0017640962314499999</v>
      </c>
      <c r="E229" t="s">
        <v>34</v>
      </c>
      <c r="F229" s="10">
        <v>44117</v>
      </c>
      <c r="H229">
        <f>H228+C229</f>
        <v>55931.662245843225</v>
      </c>
      <c r="W229" s="1"/>
      <c r="Z229" s="1"/>
      <c r="AA229" s="1"/>
      <c r="AB229" s="1"/>
      <c r="AC229" s="1"/>
      <c r="AD229" s="1"/>
      <c r="AE229" s="1"/>
      <c r="AF229" s="1"/>
      <c r="AG229" s="1"/>
      <c r="AH229" s="1"/>
      <c r="AK229" s="1"/>
      <c r="AL229" s="1"/>
      <c r="AM229" s="1"/>
      <c r="AN229" s="1"/>
      <c r="AO229" s="1"/>
      <c r="AP229" s="1"/>
      <c r="AQ229" s="1"/>
      <c r="AR229" s="1"/>
      <c r="AS229" s="1"/>
      <c r="AV229" s="1"/>
      <c r="AW229" s="1"/>
      <c r="AX229" s="1"/>
      <c r="BU229" s="1"/>
      <c r="BV229" s="1"/>
      <c r="BW229" s="1"/>
      <c r="BX229" s="1"/>
      <c r="BY229" s="1"/>
      <c r="BZ229" s="1"/>
      <c r="CC229" s="1"/>
      <c r="CD229" s="1"/>
      <c r="CE229" s="1"/>
      <c r="CF229" s="1"/>
      <c r="CG229" s="1"/>
      <c r="CH229" s="1"/>
      <c r="CI229" s="1"/>
      <c r="CJ229" s="1"/>
      <c r="CK229" s="1"/>
      <c r="CN229" s="1"/>
      <c r="CO229" s="1"/>
      <c r="DV229">
        <v>12</v>
      </c>
      <c r="DW229" t="s">
        <v>41</v>
      </c>
      <c r="DX229" s="8">
        <v>43921</v>
      </c>
      <c r="DY229">
        <v>2</v>
      </c>
      <c r="EA229">
        <v>2</v>
      </c>
      <c r="GV229" s="8">
        <v>43920</v>
      </c>
      <c r="GW229">
        <v>32</v>
      </c>
      <c r="GX229" t="s">
        <v>106</v>
      </c>
      <c r="GY229">
        <v>4</v>
      </c>
      <c r="HC229">
        <v>0</v>
      </c>
    </row>
    <row r="230" spans="1:325" ht="20.25">
      <c r="C230">
        <f>H229*D230</f>
        <v>98.668834586626275</v>
      </c>
      <c r="D230">
        <f>D229</f>
        <v>0.0017640962314499999</v>
      </c>
      <c r="E230" t="s">
        <v>35</v>
      </c>
      <c r="F230" s="10">
        <v>44118</v>
      </c>
      <c r="H230">
        <f>H229+C230</f>
        <v>56030.331080429853</v>
      </c>
      <c r="W230" s="1"/>
      <c r="Z230" s="1"/>
      <c r="AA230" s="1"/>
      <c r="AB230" s="1"/>
      <c r="AC230" s="1"/>
      <c r="AD230" s="1"/>
      <c r="AE230" s="1"/>
      <c r="AF230" s="1"/>
      <c r="AG230" s="1"/>
      <c r="AH230" s="1"/>
      <c r="AK230" s="1"/>
      <c r="AL230" s="1"/>
      <c r="AM230" s="1"/>
      <c r="AN230" s="1"/>
      <c r="AO230" s="1"/>
      <c r="AP230" s="1"/>
      <c r="AQ230" s="1"/>
      <c r="AR230" s="1"/>
      <c r="AS230" s="1"/>
      <c r="AV230" s="1"/>
      <c r="AW230" s="1"/>
      <c r="AX230" s="1"/>
      <c r="BU230" s="1"/>
      <c r="BV230" s="1"/>
      <c r="BW230" s="1"/>
      <c r="BX230" s="1"/>
      <c r="BY230" s="1"/>
      <c r="BZ230" s="1"/>
      <c r="CC230" s="1"/>
      <c r="CD230" s="1"/>
      <c r="CE230" s="1"/>
      <c r="CF230" s="1"/>
      <c r="CG230" s="1"/>
      <c r="CH230" s="1"/>
      <c r="CI230" s="1"/>
      <c r="CJ230" s="1"/>
      <c r="CK230" s="1"/>
      <c r="CN230" s="1"/>
      <c r="CO230" s="1"/>
      <c r="DV230">
        <v>12</v>
      </c>
      <c r="DW230" t="s">
        <v>41</v>
      </c>
      <c r="DX230" s="8">
        <v>43922</v>
      </c>
      <c r="DY230">
        <v>2</v>
      </c>
      <c r="EA230">
        <v>2</v>
      </c>
      <c r="GV230" s="8">
        <v>43921</v>
      </c>
      <c r="GW230">
        <v>32</v>
      </c>
      <c r="GX230" t="s">
        <v>106</v>
      </c>
      <c r="GY230">
        <v>4</v>
      </c>
      <c r="HC230">
        <v>0</v>
      </c>
    </row>
    <row r="231" spans="1:325" ht="20.25">
      <c r="C231">
        <f>H230*D231</f>
        <v>98.842895905882102</v>
      </c>
      <c r="D231">
        <f>D230</f>
        <v>0.0017640962314499999</v>
      </c>
      <c r="E231" t="s">
        <v>37</v>
      </c>
      <c r="F231" s="10">
        <v>44119</v>
      </c>
      <c r="H231">
        <f>H230+C231</f>
        <v>56129.173976335733</v>
      </c>
      <c r="W231" s="1"/>
      <c r="Z231" s="1"/>
      <c r="AA231" s="1"/>
      <c r="AB231" s="1"/>
      <c r="AC231" s="1"/>
      <c r="AD231" s="1"/>
      <c r="AE231" s="1"/>
      <c r="AF231" s="1"/>
      <c r="AG231" s="1"/>
      <c r="AH231" s="1"/>
      <c r="AK231" s="1"/>
      <c r="AL231" s="1"/>
      <c r="AM231" s="1"/>
      <c r="AN231" s="1"/>
      <c r="AO231" s="1"/>
      <c r="AP231" s="1"/>
      <c r="AQ231" s="1"/>
      <c r="AR231" s="1"/>
      <c r="AS231" s="1"/>
      <c r="AV231" s="1"/>
      <c r="AW231" s="1"/>
      <c r="AX231" s="1"/>
      <c r="BU231" s="1"/>
      <c r="BV231" s="1"/>
      <c r="BW231" s="1"/>
      <c r="BX231" s="1"/>
      <c r="BY231" s="1"/>
      <c r="BZ231" s="1"/>
      <c r="CC231" s="1"/>
      <c r="CD231" s="1"/>
      <c r="CE231" s="1"/>
      <c r="CF231" s="1"/>
      <c r="CG231" s="1"/>
      <c r="CH231" s="1"/>
      <c r="CI231" s="1"/>
      <c r="CJ231" s="1"/>
      <c r="CK231" s="1"/>
      <c r="CN231" s="1"/>
      <c r="CO231" s="1"/>
      <c r="DV231">
        <v>12</v>
      </c>
      <c r="DW231" t="s">
        <v>41</v>
      </c>
      <c r="DX231" s="8">
        <v>43923</v>
      </c>
      <c r="DY231">
        <v>3</v>
      </c>
      <c r="EA231">
        <v>2</v>
      </c>
      <c r="GV231" s="8">
        <v>43922</v>
      </c>
      <c r="GW231">
        <v>32</v>
      </c>
      <c r="GX231" t="s">
        <v>106</v>
      </c>
      <c r="GY231">
        <v>4</v>
      </c>
      <c r="HC231">
        <v>0</v>
      </c>
    </row>
    <row r="232" spans="1:325" ht="20.25">
      <c r="C232">
        <f>H231*D232</f>
        <v>99.01726428605528</v>
      </c>
      <c r="D232">
        <f>D231</f>
        <v>0.0017640962314499999</v>
      </c>
      <c r="E232" t="s">
        <v>38</v>
      </c>
      <c r="F232" s="10">
        <v>44120</v>
      </c>
      <c r="H232">
        <f>H231+C232</f>
        <v>56228.191240621789</v>
      </c>
      <c r="W232" s="1"/>
      <c r="Z232" s="1"/>
      <c r="AA232" s="1"/>
      <c r="AB232" s="1"/>
      <c r="AC232" s="1"/>
      <c r="AD232" s="1"/>
      <c r="AE232" s="1"/>
      <c r="AF232" s="1"/>
      <c r="AG232" s="1"/>
      <c r="AH232" s="1"/>
      <c r="AK232" s="1"/>
      <c r="AL232" s="1"/>
      <c r="AM232" s="1"/>
      <c r="AN232" s="1"/>
      <c r="AO232" s="1"/>
      <c r="AP232" s="1"/>
      <c r="AQ232" s="1"/>
      <c r="AR232" s="1"/>
      <c r="AS232" s="1"/>
      <c r="AV232" s="1"/>
      <c r="AW232" s="1"/>
      <c r="AX232" s="1"/>
      <c r="BU232" s="1"/>
      <c r="BV232" s="1"/>
      <c r="BW232" s="1"/>
      <c r="BX232" s="1"/>
      <c r="BY232" s="1"/>
      <c r="BZ232" s="1"/>
      <c r="CC232" s="1"/>
      <c r="CD232" s="1"/>
      <c r="CE232" s="1"/>
      <c r="CF232" s="1"/>
      <c r="CG232" s="1"/>
      <c r="CH232" s="1"/>
      <c r="CI232" s="1"/>
      <c r="CJ232" s="1"/>
      <c r="CK232" s="1"/>
      <c r="CN232" s="1"/>
      <c r="CO232" s="1"/>
      <c r="DV232">
        <v>12</v>
      </c>
      <c r="DW232" t="s">
        <v>41</v>
      </c>
      <c r="DX232" s="8">
        <v>43924</v>
      </c>
      <c r="DY232">
        <v>4</v>
      </c>
      <c r="EA232">
        <v>2</v>
      </c>
      <c r="GV232" s="8">
        <v>43923</v>
      </c>
      <c r="GW232">
        <v>32</v>
      </c>
      <c r="GX232" t="s">
        <v>106</v>
      </c>
      <c r="GY232">
        <v>4</v>
      </c>
      <c r="HC232">
        <v>0</v>
      </c>
    </row>
    <row r="233" spans="1:325" ht="20.25">
      <c r="C233">
        <f>H232*D233</f>
        <v>99.191940268830791</v>
      </c>
      <c r="D233">
        <f>D232</f>
        <v>0.0017640962314499999</v>
      </c>
      <c r="E233" t="s">
        <v>40</v>
      </c>
      <c r="F233" s="10">
        <v>44121</v>
      </c>
      <c r="H233">
        <f>H232+C233</f>
        <v>56327.383180890618</v>
      </c>
      <c r="W233" s="1"/>
      <c r="Z233" s="1"/>
      <c r="AA233" s="1"/>
      <c r="AB233" s="1"/>
      <c r="AC233" s="1"/>
      <c r="AD233" s="1"/>
      <c r="AE233" s="1"/>
      <c r="AF233" s="1"/>
      <c r="AG233" s="1"/>
      <c r="AH233" s="1"/>
      <c r="AK233" s="1"/>
      <c r="AL233" s="1"/>
      <c r="AM233" s="1"/>
      <c r="AN233" s="1"/>
      <c r="AO233" s="1"/>
      <c r="AP233" s="1"/>
      <c r="AQ233" s="1"/>
      <c r="AR233" s="1"/>
      <c r="AS233" s="1"/>
      <c r="AV233" s="1"/>
      <c r="AW233" s="1"/>
      <c r="AX233" s="1"/>
      <c r="DV233">
        <v>12</v>
      </c>
      <c r="DW233" t="s">
        <v>41</v>
      </c>
      <c r="DX233" s="8">
        <v>43925</v>
      </c>
      <c r="DY233">
        <v>4</v>
      </c>
      <c r="EA233">
        <v>2</v>
      </c>
      <c r="GV233" s="8">
        <v>43924</v>
      </c>
      <c r="GW233">
        <v>32</v>
      </c>
      <c r="GX233" t="s">
        <v>106</v>
      </c>
      <c r="GY233">
        <v>5</v>
      </c>
      <c r="HC233">
        <v>0</v>
      </c>
    </row>
    <row r="234" spans="1:325" ht="20.25">
      <c r="C234">
        <f>H233*D234</f>
        <v>99.366924396849257</v>
      </c>
      <c r="D234">
        <f>D233</f>
        <v>0.0017640962314499999</v>
      </c>
      <c r="E234" t="s">
        <v>30</v>
      </c>
      <c r="F234" s="10">
        <v>44122</v>
      </c>
      <c r="H234">
        <f>H233+C234</f>
        <v>56426.750105287465</v>
      </c>
      <c r="W234" s="1"/>
      <c r="Z234" s="1"/>
      <c r="AA234" s="1"/>
      <c r="AB234" s="1"/>
      <c r="AC234" s="1"/>
      <c r="AD234" s="1"/>
      <c r="AE234" s="1"/>
      <c r="AF234" s="1"/>
      <c r="AG234" s="1"/>
      <c r="AH234" s="1"/>
      <c r="AK234" s="1"/>
      <c r="AL234" s="1"/>
      <c r="AM234" s="1"/>
      <c r="AN234" s="1"/>
      <c r="AO234" s="1"/>
      <c r="AP234" s="1"/>
      <c r="AQ234" s="1"/>
      <c r="AR234" s="1"/>
      <c r="AS234" s="1"/>
      <c r="AV234" s="1"/>
      <c r="AW234" s="1"/>
      <c r="AX234" s="1"/>
      <c r="DV234">
        <v>12</v>
      </c>
      <c r="DW234" t="s">
        <v>41</v>
      </c>
      <c r="DX234" s="8">
        <v>43926</v>
      </c>
      <c r="DY234">
        <v>4</v>
      </c>
      <c r="EA234">
        <v>2</v>
      </c>
      <c r="GV234" s="8">
        <v>43925</v>
      </c>
      <c r="GW234">
        <v>32</v>
      </c>
      <c r="GX234" t="s">
        <v>106</v>
      </c>
      <c r="GY234">
        <v>5</v>
      </c>
      <c r="HC234">
        <v>0</v>
      </c>
    </row>
    <row r="235" spans="1:325" ht="20.25">
      <c r="C235">
        <f>H234*D235</f>
        <v>99.542217213708511</v>
      </c>
      <c r="D235">
        <f>D234</f>
        <v>0.0017640962314499999</v>
      </c>
      <c r="E235" t="s">
        <v>33</v>
      </c>
      <c r="F235" s="10">
        <v>44123</v>
      </c>
      <c r="H235">
        <f>H234+C235</f>
        <v>56526.292322501176</v>
      </c>
      <c r="W235" s="1"/>
      <c r="Z235" s="1"/>
      <c r="AA235" s="1"/>
      <c r="AB235" s="1"/>
      <c r="AC235" s="1"/>
      <c r="AD235" s="1"/>
      <c r="AE235" s="1"/>
      <c r="AF235" s="1"/>
      <c r="AG235" s="1"/>
      <c r="AH235" s="1"/>
      <c r="AK235" s="1"/>
      <c r="AL235" s="1"/>
      <c r="AM235" s="1"/>
      <c r="AN235" s="1"/>
      <c r="AO235" s="1"/>
      <c r="AP235" s="1"/>
      <c r="AQ235" s="1"/>
      <c r="AR235" s="1"/>
      <c r="AS235" s="1"/>
      <c r="AV235" s="1"/>
      <c r="AW235" s="1"/>
      <c r="AX235" s="1"/>
      <c r="DV235">
        <v>12</v>
      </c>
      <c r="DW235" t="s">
        <v>41</v>
      </c>
      <c r="DX235" s="8">
        <v>43927</v>
      </c>
      <c r="DY235">
        <v>5</v>
      </c>
      <c r="EA235">
        <v>2</v>
      </c>
      <c r="GV235" s="8">
        <v>43926</v>
      </c>
      <c r="GW235">
        <v>32</v>
      </c>
      <c r="GX235" t="s">
        <v>106</v>
      </c>
      <c r="GY235">
        <v>5</v>
      </c>
      <c r="HC235">
        <v>0</v>
      </c>
    </row>
    <row r="236" spans="1:325" ht="20.25">
      <c r="C236">
        <f>H235*D236</f>
        <v>99.717819263965396</v>
      </c>
      <c r="D236">
        <f>D235</f>
        <v>0.0017640962314499999</v>
      </c>
      <c r="E236" t="s">
        <v>34</v>
      </c>
      <c r="F236" s="10">
        <v>44124</v>
      </c>
      <c r="H236">
        <f>H235+C236</f>
        <v>56626.010141765139</v>
      </c>
      <c r="DV236">
        <v>12</v>
      </c>
      <c r="DW236" t="s">
        <v>41</v>
      </c>
      <c r="DX236" s="8">
        <v>43928</v>
      </c>
      <c r="DY236">
        <v>5</v>
      </c>
      <c r="EA236">
        <v>2</v>
      </c>
      <c r="GV236" s="8">
        <v>43927</v>
      </c>
      <c r="GW236">
        <v>32</v>
      </c>
      <c r="GX236" t="s">
        <v>106</v>
      </c>
      <c r="GY236">
        <v>6</v>
      </c>
      <c r="HC236">
        <v>0</v>
      </c>
    </row>
    <row r="237" spans="1:325" ht="20.25">
      <c r="C237">
        <f>H236*D237</f>
        <v>99.893731093137362</v>
      </c>
      <c r="D237">
        <f>D236</f>
        <v>0.0017640962314499999</v>
      </c>
      <c r="E237" t="s">
        <v>35</v>
      </c>
      <c r="F237" s="10">
        <v>44125</v>
      </c>
      <c r="H237">
        <f>H236+C237</f>
        <v>56725.903872858275</v>
      </c>
      <c r="DV237">
        <v>12</v>
      </c>
      <c r="DW237" t="s">
        <v>41</v>
      </c>
      <c r="DX237" s="8">
        <v>43929</v>
      </c>
      <c r="DY237">
        <v>5</v>
      </c>
      <c r="EA237">
        <v>2</v>
      </c>
      <c r="GV237" s="8">
        <v>43928</v>
      </c>
      <c r="GW237">
        <v>32</v>
      </c>
      <c r="GX237" t="s">
        <v>106</v>
      </c>
      <c r="GY237">
        <v>6</v>
      </c>
      <c r="HC237">
        <v>0</v>
      </c>
    </row>
    <row r="238" spans="1:325" ht="20.25">
      <c r="C238">
        <f>H237*D238</f>
        <v>100.06995324770423</v>
      </c>
      <c r="D238">
        <f>D237</f>
        <v>0.0017640962314499999</v>
      </c>
      <c r="E238" t="s">
        <v>37</v>
      </c>
      <c r="F238" s="10">
        <v>44126</v>
      </c>
      <c r="H238">
        <f>H237+C238</f>
        <v>56825.973826105976</v>
      </c>
      <c r="DV238">
        <v>12</v>
      </c>
      <c r="DW238" t="s">
        <v>41</v>
      </c>
      <c r="DX238" s="8">
        <v>43930</v>
      </c>
      <c r="DY238">
        <v>6</v>
      </c>
      <c r="EA238">
        <v>2</v>
      </c>
      <c r="GV238" s="8">
        <v>43929</v>
      </c>
      <c r="GW238">
        <v>32</v>
      </c>
      <c r="GX238" t="s">
        <v>106</v>
      </c>
      <c r="GY238">
        <v>7</v>
      </c>
      <c r="HC238">
        <v>0</v>
      </c>
    </row>
    <row r="239" spans="1:325" ht="20.25">
      <c r="C239">
        <f>H238*D239</f>
        <v>100.24648627510989</v>
      </c>
      <c r="D239">
        <f>D238</f>
        <v>0.0017640962314499999</v>
      </c>
      <c r="E239" t="s">
        <v>38</v>
      </c>
      <c r="F239" s="10">
        <v>44127</v>
      </c>
      <c r="H239">
        <f>H238+C239</f>
        <v>56926.220312381083</v>
      </c>
      <c r="DV239">
        <v>12</v>
      </c>
      <c r="DW239" t="s">
        <v>41</v>
      </c>
      <c r="DX239" s="8">
        <v>43931</v>
      </c>
      <c r="DY239">
        <v>6</v>
      </c>
      <c r="EA239">
        <v>2</v>
      </c>
      <c r="GV239" s="8">
        <v>43930</v>
      </c>
      <c r="GW239">
        <v>32</v>
      </c>
      <c r="GX239" t="s">
        <v>106</v>
      </c>
      <c r="GY239">
        <v>7</v>
      </c>
      <c r="HC239">
        <v>0</v>
      </c>
    </row>
    <row r="240" spans="1:325" ht="20.25">
      <c r="C240">
        <f>H239*D240</f>
        <v>100.42333072376391</v>
      </c>
      <c r="D240">
        <f>D239</f>
        <v>0.0017640962314499999</v>
      </c>
      <c r="E240" t="s">
        <v>40</v>
      </c>
      <c r="F240" s="10">
        <v>44128</v>
      </c>
      <c r="H240">
        <f>H239+C240</f>
        <v>57026.64364310485</v>
      </c>
      <c r="DV240">
        <v>12</v>
      </c>
      <c r="DW240" t="s">
        <v>41</v>
      </c>
      <c r="DX240" s="8">
        <v>43932</v>
      </c>
      <c r="DY240">
        <v>6</v>
      </c>
      <c r="EA240">
        <v>2</v>
      </c>
      <c r="GV240" s="8">
        <v>43931</v>
      </c>
      <c r="GW240">
        <v>32</v>
      </c>
      <c r="GX240" t="s">
        <v>106</v>
      </c>
      <c r="GY240">
        <v>8</v>
      </c>
      <c r="HC240">
        <v>0</v>
      </c>
    </row>
    <row r="241" spans="1:325" ht="20.25">
      <c r="C241">
        <f>H240*D241</f>
        <v>100.60048714304337</v>
      </c>
      <c r="D241">
        <f>D240</f>
        <v>0.0017640962314499999</v>
      </c>
      <c r="E241" t="s">
        <v>30</v>
      </c>
      <c r="F241" s="10">
        <v>44129</v>
      </c>
      <c r="H241">
        <f>H240+C241</f>
        <v>57127.244130247891</v>
      </c>
      <c r="DV241">
        <v>12</v>
      </c>
      <c r="DW241" t="s">
        <v>41</v>
      </c>
      <c r="DX241" s="8">
        <v>43933</v>
      </c>
      <c r="DY241">
        <v>8</v>
      </c>
      <c r="EA241">
        <v>2</v>
      </c>
      <c r="GV241" s="8">
        <v>43932</v>
      </c>
      <c r="GW241">
        <v>32</v>
      </c>
      <c r="GX241" t="s">
        <v>106</v>
      </c>
      <c r="GY241">
        <v>9</v>
      </c>
      <c r="HC241">
        <v>0</v>
      </c>
    </row>
    <row r="242" spans="1:325" ht="20.25">
      <c r="C242">
        <f>H241*D242</f>
        <v>100.77795608329444</v>
      </c>
      <c r="D242">
        <f>D241</f>
        <v>0.0017640962314499999</v>
      </c>
      <c r="E242" t="s">
        <v>33</v>
      </c>
      <c r="F242" s="10">
        <v>44130</v>
      </c>
      <c r="H242">
        <f>H241+C242</f>
        <v>57228.022086331184</v>
      </c>
      <c r="DV242">
        <v>12</v>
      </c>
      <c r="DW242" t="s">
        <v>41</v>
      </c>
      <c r="DX242" s="8">
        <v>43934</v>
      </c>
      <c r="DY242">
        <v>8</v>
      </c>
      <c r="EA242">
        <v>2</v>
      </c>
      <c r="GV242" s="8">
        <v>43933</v>
      </c>
      <c r="GW242">
        <v>32</v>
      </c>
      <c r="GX242" t="s">
        <v>106</v>
      </c>
      <c r="GY242">
        <v>9</v>
      </c>
      <c r="HC242">
        <v>0</v>
      </c>
    </row>
    <row r="243" spans="1:325" ht="20.25">
      <c r="C243">
        <f>H242*D243</f>
        <v>100.95573809583421</v>
      </c>
      <c r="D243">
        <f>D242</f>
        <v>0.0017640962314499999</v>
      </c>
      <c r="E243" t="s">
        <v>34</v>
      </c>
      <c r="F243" s="10">
        <v>44131</v>
      </c>
      <c r="H243">
        <f>H242+C243</f>
        <v>57328.97782442702</v>
      </c>
      <c r="DV243">
        <v>12</v>
      </c>
      <c r="DW243" t="s">
        <v>41</v>
      </c>
      <c r="DX243" s="8">
        <v>43935</v>
      </c>
      <c r="DY243">
        <v>8</v>
      </c>
      <c r="EA243">
        <v>2</v>
      </c>
      <c r="GV243" s="8">
        <v>43934</v>
      </c>
      <c r="GW243">
        <v>32</v>
      </c>
      <c r="GX243" t="s">
        <v>106</v>
      </c>
      <c r="GY243">
        <v>11</v>
      </c>
      <c r="HC243">
        <v>0</v>
      </c>
    </row>
    <row r="244" spans="1:325" ht="20.25">
      <c r="C244">
        <f>H243*D244</f>
        <v>101.13383373295233</v>
      </c>
      <c r="D244">
        <f>D243</f>
        <v>0.0017640962314499999</v>
      </c>
      <c r="E244" t="s">
        <v>35</v>
      </c>
      <c r="F244" s="10">
        <v>44132</v>
      </c>
      <c r="H244">
        <f>H243+C244</f>
        <v>57430.111658159971</v>
      </c>
      <c r="DV244">
        <v>12</v>
      </c>
      <c r="DW244" t="s">
        <v>41</v>
      </c>
      <c r="DX244" s="8">
        <v>43936</v>
      </c>
      <c r="DY244">
        <v>8</v>
      </c>
      <c r="EA244">
        <v>2</v>
      </c>
      <c r="GV244" s="8">
        <v>43935</v>
      </c>
      <c r="GW244">
        <v>32</v>
      </c>
      <c r="GX244" t="s">
        <v>106</v>
      </c>
      <c r="GY244">
        <v>12</v>
      </c>
      <c r="HC244">
        <v>0</v>
      </c>
    </row>
    <row r="245" spans="1:325" ht="20.25">
      <c r="C245">
        <f>H244*D245</f>
        <v>101.31224354791271</v>
      </c>
      <c r="D245">
        <f>D244</f>
        <v>0.0017640962314499999</v>
      </c>
      <c r="E245" t="s">
        <v>37</v>
      </c>
      <c r="F245" s="10">
        <v>44133</v>
      </c>
      <c r="H245">
        <f>H244+C245</f>
        <v>57531.423901707887</v>
      </c>
      <c r="DV245">
        <v>12</v>
      </c>
      <c r="DW245" t="s">
        <v>41</v>
      </c>
      <c r="DX245" s="8">
        <v>43937</v>
      </c>
      <c r="DY245">
        <v>8</v>
      </c>
      <c r="DZ245">
        <v>164</v>
      </c>
      <c r="EA245">
        <v>2</v>
      </c>
      <c r="GV245" s="8">
        <v>43936</v>
      </c>
      <c r="GW245">
        <v>32</v>
      </c>
      <c r="GX245" t="s">
        <v>106</v>
      </c>
      <c r="GY245">
        <v>13</v>
      </c>
      <c r="HC245">
        <v>0</v>
      </c>
    </row>
    <row r="246" spans="1:325" ht="20.25">
      <c r="C246">
        <f>H245*D246</f>
        <v>101.49096809495533</v>
      </c>
      <c r="D246">
        <f>D245</f>
        <v>0.0017640962314499999</v>
      </c>
      <c r="E246" t="s">
        <v>38</v>
      </c>
      <c r="F246" s="10">
        <v>44134</v>
      </c>
      <c r="H246">
        <f>H245+C246</f>
        <v>57632.914869802844</v>
      </c>
      <c r="DV246">
        <v>12</v>
      </c>
      <c r="DW246" t="s">
        <v>41</v>
      </c>
      <c r="DX246" s="8">
        <v>43938</v>
      </c>
      <c r="DY246">
        <v>9</v>
      </c>
      <c r="DZ246">
        <v>184</v>
      </c>
      <c r="EA246">
        <v>2</v>
      </c>
      <c r="GV246" s="8">
        <v>43937</v>
      </c>
      <c r="GW246">
        <v>32</v>
      </c>
      <c r="GX246" t="s">
        <v>106</v>
      </c>
      <c r="GY246">
        <v>16</v>
      </c>
      <c r="HB246">
        <v>129</v>
      </c>
      <c r="HC246">
        <v>0</v>
      </c>
    </row>
    <row r="247" spans="1:325" ht="20.25">
      <c r="C247">
        <f>H246*D247</f>
        <v>101.67000792929787</v>
      </c>
      <c r="D247">
        <f>D246</f>
        <v>0.0017640962314499999</v>
      </c>
      <c r="E247" t="s">
        <v>40</v>
      </c>
      <c r="F247" s="10">
        <v>44135</v>
      </c>
      <c r="H247">
        <f>H246+C247</f>
        <v>57734.584877732144</v>
      </c>
      <c r="DV247">
        <v>12</v>
      </c>
      <c r="DW247" t="s">
        <v>41</v>
      </c>
      <c r="DX247" s="8">
        <v>43939</v>
      </c>
      <c r="DY247">
        <v>9</v>
      </c>
      <c r="DZ247">
        <v>184</v>
      </c>
      <c r="EA247">
        <v>2</v>
      </c>
      <c r="GV247" s="8">
        <v>43938</v>
      </c>
      <c r="GW247">
        <v>32</v>
      </c>
      <c r="GX247" t="s">
        <v>106</v>
      </c>
      <c r="GY247">
        <v>17</v>
      </c>
      <c r="HB247">
        <v>137</v>
      </c>
      <c r="HC247">
        <v>0</v>
      </c>
    </row>
    <row r="248" spans="1:325" ht="20.25">
      <c r="C248">
        <f>H247*D248</f>
        <v>101.84936360713743</v>
      </c>
      <c r="D248">
        <f>D247</f>
        <v>0.0017640962314499999</v>
      </c>
      <c r="E248" t="s">
        <v>30</v>
      </c>
      <c r="F248" s="10">
        <v>44136</v>
      </c>
      <c r="H248">
        <f>H247+C248</f>
        <v>57836.434241339281</v>
      </c>
      <c r="DV248">
        <v>12</v>
      </c>
      <c r="DW248" t="s">
        <v>41</v>
      </c>
      <c r="DX248" s="8">
        <v>43940</v>
      </c>
      <c r="DY248">
        <v>9</v>
      </c>
      <c r="DZ248">
        <v>184</v>
      </c>
      <c r="EA248">
        <v>2</v>
      </c>
      <c r="GV248" s="8">
        <v>43939</v>
      </c>
      <c r="GW248">
        <v>32</v>
      </c>
      <c r="GX248" t="s">
        <v>106</v>
      </c>
      <c r="GY248">
        <v>17</v>
      </c>
      <c r="HB248">
        <v>137</v>
      </c>
      <c r="HC248">
        <v>0</v>
      </c>
    </row>
    <row r="249" spans="1:325" ht="20.25">
      <c r="C249">
        <f>H248*D249</f>
        <v>102.02903568565236</v>
      </c>
      <c r="D249">
        <f>D248</f>
        <v>0.0017640962314499999</v>
      </c>
      <c r="E249" t="s">
        <v>33</v>
      </c>
      <c r="F249" s="10">
        <v>44137</v>
      </c>
      <c r="H249">
        <f>H248+C249</f>
        <v>57938.46327702493</v>
      </c>
      <c r="DV249">
        <v>12</v>
      </c>
      <c r="DW249" t="s">
        <v>41</v>
      </c>
      <c r="DX249" s="8">
        <v>43941</v>
      </c>
      <c r="DY249">
        <v>9</v>
      </c>
      <c r="DZ249">
        <v>184</v>
      </c>
      <c r="EA249">
        <v>2</v>
      </c>
      <c r="GV249" s="8">
        <v>43940</v>
      </c>
      <c r="GW249">
        <v>32</v>
      </c>
      <c r="GX249" t="s">
        <v>106</v>
      </c>
      <c r="GY249">
        <v>17</v>
      </c>
      <c r="HB249">
        <v>137</v>
      </c>
      <c r="HC249">
        <v>0</v>
      </c>
    </row>
    <row r="250" spans="1:325" ht="20.25">
      <c r="C250">
        <f>H249*D250</f>
        <v>102.20902472300389</v>
      </c>
      <c r="D250">
        <f>D249</f>
        <v>0.0017640962314499999</v>
      </c>
      <c r="E250" t="s">
        <v>34</v>
      </c>
      <c r="F250" s="10">
        <v>44138</v>
      </c>
      <c r="H250">
        <f>H249+C250</f>
        <v>58040.672301747931</v>
      </c>
      <c r="DV250">
        <v>12</v>
      </c>
      <c r="DW250" t="s">
        <v>41</v>
      </c>
      <c r="DX250" s="8">
        <v>43942</v>
      </c>
      <c r="DY250">
        <v>9</v>
      </c>
      <c r="DZ250">
        <v>184</v>
      </c>
      <c r="EA250">
        <v>2</v>
      </c>
      <c r="GV250" s="8">
        <v>43941</v>
      </c>
      <c r="GW250">
        <v>32</v>
      </c>
      <c r="GX250" t="s">
        <v>106</v>
      </c>
      <c r="GY250">
        <v>19</v>
      </c>
      <c r="HB250">
        <v>153</v>
      </c>
      <c r="HC250">
        <v>0</v>
      </c>
    </row>
    <row r="251" spans="1:325" ht="20.25">
      <c r="C251">
        <f>H250*D251</f>
        <v>102.38933127833792</v>
      </c>
      <c r="D251">
        <f>D250</f>
        <v>0.0017640962314499999</v>
      </c>
      <c r="E251" t="s">
        <v>35</v>
      </c>
      <c r="F251" s="10">
        <v>44139</v>
      </c>
      <c r="H251">
        <f>H250+C251</f>
        <v>58143.061633026271</v>
      </c>
      <c r="DV251">
        <v>12</v>
      </c>
      <c r="DW251" t="s">
        <v>41</v>
      </c>
      <c r="DX251" s="8">
        <v>43943</v>
      </c>
      <c r="DY251">
        <v>9</v>
      </c>
      <c r="DZ251">
        <v>184</v>
      </c>
      <c r="EA251">
        <v>2</v>
      </c>
      <c r="GV251" s="8">
        <v>43942</v>
      </c>
      <c r="GW251">
        <v>32</v>
      </c>
      <c r="GX251" t="s">
        <v>106</v>
      </c>
      <c r="GY251">
        <v>20</v>
      </c>
      <c r="HB251">
        <v>161</v>
      </c>
      <c r="HC251">
        <v>0</v>
      </c>
    </row>
    <row r="252" spans="1:325" ht="20.25">
      <c r="C252">
        <f>H251*D252</f>
        <v>102.56995591178672</v>
      </c>
      <c r="D252">
        <f>D251</f>
        <v>0.0017640962314499999</v>
      </c>
      <c r="E252" t="s">
        <v>37</v>
      </c>
      <c r="F252" s="10">
        <v>44140</v>
      </c>
      <c r="H252">
        <f>H251+C252</f>
        <v>58245.631588938057</v>
      </c>
      <c r="DV252">
        <v>12</v>
      </c>
      <c r="DW252" t="s">
        <v>41</v>
      </c>
      <c r="DX252" s="8">
        <v>43944</v>
      </c>
      <c r="DY252">
        <v>9</v>
      </c>
      <c r="DZ252">
        <v>184</v>
      </c>
      <c r="EA252">
        <v>2</v>
      </c>
      <c r="GV252" s="8">
        <v>43943</v>
      </c>
      <c r="GW252">
        <v>32</v>
      </c>
      <c r="GX252" t="s">
        <v>106</v>
      </c>
      <c r="GY252">
        <v>20</v>
      </c>
      <c r="HB252">
        <v>161</v>
      </c>
      <c r="HC252">
        <v>0</v>
      </c>
    </row>
    <row r="253" spans="1:325" ht="20.25">
      <c r="C253">
        <f>H252*D253</f>
        <v>102.7508991844707</v>
      </c>
      <c r="D253">
        <f>D252</f>
        <v>0.0017640962314499999</v>
      </c>
      <c r="E253" t="s">
        <v>38</v>
      </c>
      <c r="F253" s="10">
        <v>44141</v>
      </c>
      <c r="H253">
        <f>H252+C253</f>
        <v>58348.38248812253</v>
      </c>
      <c r="DV253">
        <v>12</v>
      </c>
      <c r="DW253" t="s">
        <v>41</v>
      </c>
      <c r="DX253" s="8">
        <v>43945</v>
      </c>
      <c r="DY253">
        <v>9</v>
      </c>
      <c r="DZ253">
        <v>184</v>
      </c>
      <c r="EA253">
        <v>2</v>
      </c>
      <c r="GV253" s="8">
        <v>43944</v>
      </c>
      <c r="GW253">
        <v>32</v>
      </c>
      <c r="GX253" t="s">
        <v>106</v>
      </c>
      <c r="GY253">
        <v>22</v>
      </c>
      <c r="HB253">
        <v>177</v>
      </c>
      <c r="HC253">
        <v>0</v>
      </c>
    </row>
    <row r="254" spans="1:325" ht="20.25">
      <c r="C254">
        <f>H253*D254</f>
        <v>102.93216165850012</v>
      </c>
      <c r="D254">
        <f>D253</f>
        <v>0.0017640962314499999</v>
      </c>
      <c r="E254" t="s">
        <v>40</v>
      </c>
      <c r="F254" s="10">
        <v>44142</v>
      </c>
      <c r="H254">
        <f>H253+C254</f>
        <v>58451.31464978103</v>
      </c>
      <c r="DV254">
        <v>12</v>
      </c>
      <c r="DW254" t="s">
        <v>41</v>
      </c>
      <c r="DX254" s="8">
        <v>43946</v>
      </c>
      <c r="DY254">
        <v>9</v>
      </c>
      <c r="DZ254">
        <v>184</v>
      </c>
      <c r="EA254">
        <v>2</v>
      </c>
      <c r="GV254" s="8">
        <v>43945</v>
      </c>
      <c r="GW254">
        <v>32</v>
      </c>
      <c r="GX254" t="s">
        <v>106</v>
      </c>
      <c r="GY254">
        <v>24</v>
      </c>
      <c r="HB254">
        <v>193</v>
      </c>
      <c r="HC254">
        <v>0</v>
      </c>
    </row>
    <row r="255" spans="1:325" ht="20.25">
      <c r="C255">
        <f>H254*D255</f>
        <v>103.11374389697689</v>
      </c>
      <c r="D255">
        <f>D254</f>
        <v>0.0017640962314499999</v>
      </c>
      <c r="E255" t="s">
        <v>30</v>
      </c>
      <c r="F255" s="10">
        <v>44143</v>
      </c>
      <c r="H255">
        <f>H254+C255</f>
        <v>58554.428393678005</v>
      </c>
      <c r="DV255">
        <v>12</v>
      </c>
      <c r="DW255" t="s">
        <v>41</v>
      </c>
      <c r="DX255" s="8">
        <v>43947</v>
      </c>
      <c r="DY255">
        <v>9</v>
      </c>
      <c r="DZ255">
        <v>184</v>
      </c>
      <c r="EA255">
        <v>2</v>
      </c>
      <c r="GV255" s="8">
        <v>43946</v>
      </c>
      <c r="GW255">
        <v>32</v>
      </c>
      <c r="GX255" t="s">
        <v>106</v>
      </c>
      <c r="GY255">
        <v>25</v>
      </c>
      <c r="HB255">
        <v>201</v>
      </c>
      <c r="HC255">
        <v>0</v>
      </c>
    </row>
    <row r="256" spans="1:325" ht="20.25">
      <c r="C256">
        <f>H255*D256</f>
        <v>103.29564646399625</v>
      </c>
      <c r="D256">
        <f>D255</f>
        <v>0.0017640962314499999</v>
      </c>
      <c r="E256" t="s">
        <v>33</v>
      </c>
      <c r="F256" s="10">
        <v>44144</v>
      </c>
      <c r="H256">
        <f>H255+C256</f>
        <v>58657.724040141999</v>
      </c>
      <c r="DV256">
        <v>12</v>
      </c>
      <c r="DW256" t="s">
        <v>41</v>
      </c>
      <c r="DX256" s="8">
        <v>43948</v>
      </c>
      <c r="DY256">
        <v>9</v>
      </c>
      <c r="DZ256">
        <v>184</v>
      </c>
      <c r="EA256">
        <v>2</v>
      </c>
      <c r="GV256" s="8">
        <v>43947</v>
      </c>
      <c r="GW256">
        <v>32</v>
      </c>
      <c r="GX256" t="s">
        <v>106</v>
      </c>
      <c r="GY256">
        <v>26</v>
      </c>
      <c r="HB256">
        <v>209</v>
      </c>
      <c r="HC256">
        <v>0</v>
      </c>
    </row>
    <row r="257" spans="1:325" ht="20.25">
      <c r="C257">
        <f>H256*D257</f>
        <v>103.47786992464856</v>
      </c>
      <c r="D257">
        <f>D256</f>
        <v>0.0017640962314499999</v>
      </c>
      <c r="E257" t="s">
        <v>34</v>
      </c>
      <c r="F257" s="10">
        <v>44145</v>
      </c>
      <c r="H257">
        <f>H256+C257</f>
        <v>58761.201910066644</v>
      </c>
      <c r="DV257">
        <v>12</v>
      </c>
      <c r="DW257" t="s">
        <v>41</v>
      </c>
      <c r="DX257" s="8">
        <v>43949</v>
      </c>
      <c r="DY257">
        <v>9</v>
      </c>
      <c r="DZ257">
        <v>184</v>
      </c>
      <c r="EA257">
        <v>2</v>
      </c>
      <c r="GV257" s="8">
        <v>43948</v>
      </c>
      <c r="GW257">
        <v>32</v>
      </c>
      <c r="GX257" t="s">
        <v>106</v>
      </c>
      <c r="GY257">
        <v>25</v>
      </c>
      <c r="HB257">
        <v>201</v>
      </c>
      <c r="HC257">
        <v>0</v>
      </c>
    </row>
    <row r="258" spans="1:325" ht="20.25">
      <c r="C258">
        <f>H257*D258</f>
        <v>103.66041484502111</v>
      </c>
      <c r="D258">
        <f>D257</f>
        <v>0.0017640962314499999</v>
      </c>
      <c r="E258" t="s">
        <v>35</v>
      </c>
      <c r="F258" s="10">
        <v>44146</v>
      </c>
      <c r="H258">
        <f>H257+C258</f>
        <v>58864.862324911664</v>
      </c>
      <c r="DV258">
        <v>12</v>
      </c>
      <c r="DW258" t="s">
        <v>41</v>
      </c>
      <c r="DX258" s="8">
        <v>43950</v>
      </c>
      <c r="DY258">
        <v>9</v>
      </c>
      <c r="DZ258">
        <v>184</v>
      </c>
      <c r="EA258">
        <v>2</v>
      </c>
      <c r="GV258" s="8">
        <v>43949</v>
      </c>
      <c r="GW258">
        <v>32</v>
      </c>
      <c r="GX258" t="s">
        <v>106</v>
      </c>
      <c r="GY258">
        <v>26</v>
      </c>
      <c r="HB258">
        <v>209</v>
      </c>
      <c r="HC258">
        <v>0</v>
      </c>
    </row>
    <row r="259" spans="1:325" ht="20.25">
      <c r="C259">
        <f>H258*D259</f>
        <v>103.84328179219975</v>
      </c>
      <c r="D259">
        <f>D258</f>
        <v>0.0017640962314499999</v>
      </c>
      <c r="E259" t="s">
        <v>37</v>
      </c>
      <c r="F259" s="10">
        <v>44147</v>
      </c>
      <c r="H259">
        <f>H258+C259</f>
        <v>58968.705606703865</v>
      </c>
      <c r="DV259">
        <v>12</v>
      </c>
      <c r="DW259" t="s">
        <v>41</v>
      </c>
      <c r="DX259" s="8">
        <v>43951</v>
      </c>
      <c r="DY259">
        <v>10</v>
      </c>
      <c r="DZ259">
        <v>204</v>
      </c>
      <c r="EA259">
        <v>2</v>
      </c>
      <c r="GV259" s="8">
        <v>43950</v>
      </c>
      <c r="GW259">
        <v>32</v>
      </c>
      <c r="GX259" t="s">
        <v>106</v>
      </c>
      <c r="GY259">
        <v>25</v>
      </c>
      <c r="HB259">
        <v>201</v>
      </c>
      <c r="HC259">
        <v>0</v>
      </c>
    </row>
    <row r="260" spans="1:325" ht="20.25">
      <c r="C260">
        <f>H259*D260</f>
        <v>104.02647133427077</v>
      </c>
      <c r="D260">
        <f>D259</f>
        <v>0.0017640962314499999</v>
      </c>
      <c r="E260" t="s">
        <v>38</v>
      </c>
      <c r="F260" s="10">
        <v>44148</v>
      </c>
      <c r="H260">
        <f>H259+C260</f>
        <v>59072.732078038134</v>
      </c>
      <c r="DV260">
        <v>12</v>
      </c>
      <c r="DW260" t="s">
        <v>41</v>
      </c>
      <c r="DX260" s="8">
        <v>43952</v>
      </c>
      <c r="DY260">
        <v>11</v>
      </c>
      <c r="DZ260">
        <v>225</v>
      </c>
      <c r="EA260">
        <v>2</v>
      </c>
      <c r="GV260" s="8">
        <v>43951</v>
      </c>
      <c r="GW260">
        <v>32</v>
      </c>
      <c r="GX260" t="s">
        <v>106</v>
      </c>
      <c r="GY260">
        <v>25</v>
      </c>
      <c r="HB260">
        <v>201</v>
      </c>
      <c r="HC260">
        <v>0</v>
      </c>
    </row>
    <row r="261" spans="1:325" ht="20.25">
      <c r="C261">
        <f>H260*D261</f>
        <v>104.2099840403226</v>
      </c>
      <c r="D261">
        <f>D260</f>
        <v>0.0017640962314499999</v>
      </c>
      <c r="E261" t="s">
        <v>40</v>
      </c>
      <c r="F261" s="10">
        <v>44149</v>
      </c>
      <c r="H261">
        <f>H260+C261</f>
        <v>59176.942062078459</v>
      </c>
      <c r="DV261">
        <v>12</v>
      </c>
      <c r="DW261" t="s">
        <v>41</v>
      </c>
      <c r="DX261" s="8">
        <v>43953</v>
      </c>
      <c r="DY261">
        <v>13</v>
      </c>
      <c r="DZ261">
        <v>266</v>
      </c>
      <c r="EA261">
        <v>3</v>
      </c>
      <c r="GV261" s="8">
        <v>43952</v>
      </c>
      <c r="GW261">
        <v>32</v>
      </c>
      <c r="GX261" t="s">
        <v>106</v>
      </c>
      <c r="GY261">
        <v>25</v>
      </c>
      <c r="HB261">
        <v>201</v>
      </c>
      <c r="HC261">
        <v>0</v>
      </c>
    </row>
    <row r="262" spans="1:325" ht="20.25">
      <c r="C262">
        <f>H261*D262</f>
        <v>104.3938204804476</v>
      </c>
      <c r="D262">
        <f>D261</f>
        <v>0.0017640962314499999</v>
      </c>
      <c r="E262" t="s">
        <v>30</v>
      </c>
      <c r="F262" s="10">
        <v>44150</v>
      </c>
      <c r="H262">
        <f>H261+C262</f>
        <v>59281.335882558909</v>
      </c>
      <c r="DV262">
        <v>12</v>
      </c>
      <c r="DW262" t="s">
        <v>41</v>
      </c>
      <c r="DX262" s="8">
        <v>43954</v>
      </c>
      <c r="DY262">
        <v>13</v>
      </c>
      <c r="DZ262">
        <v>266</v>
      </c>
      <c r="EA262">
        <v>3</v>
      </c>
      <c r="GV262" s="8">
        <v>43953</v>
      </c>
      <c r="GW262">
        <v>32</v>
      </c>
      <c r="GX262" t="s">
        <v>106</v>
      </c>
      <c r="GY262">
        <v>25</v>
      </c>
      <c r="HB262">
        <v>201</v>
      </c>
      <c r="HC262">
        <v>0</v>
      </c>
    </row>
    <row r="263" spans="1:325" ht="20.25">
      <c r="C263">
        <f>H262*D263</f>
        <v>104.57798122574383</v>
      </c>
      <c r="D263">
        <f>D262</f>
        <v>0.0017640962314499999</v>
      </c>
      <c r="E263" t="s">
        <v>33</v>
      </c>
      <c r="F263" s="10">
        <v>44151</v>
      </c>
      <c r="H263">
        <f>H262+C263</f>
        <v>59385.913863784655</v>
      </c>
      <c r="DV263">
        <v>12</v>
      </c>
      <c r="DW263" t="s">
        <v>41</v>
      </c>
      <c r="DX263" s="8">
        <v>43955</v>
      </c>
      <c r="DY263">
        <v>14</v>
      </c>
      <c r="DZ263">
        <v>286</v>
      </c>
      <c r="EA263">
        <v>3</v>
      </c>
      <c r="GV263" s="8">
        <v>43954</v>
      </c>
      <c r="GW263">
        <v>32</v>
      </c>
      <c r="GX263" t="s">
        <v>106</v>
      </c>
      <c r="GY263">
        <v>25</v>
      </c>
      <c r="HB263">
        <v>201</v>
      </c>
      <c r="HC263">
        <v>0</v>
      </c>
    </row>
    <row r="264" spans="1:325" ht="20.25">
      <c r="C264">
        <f>H263*D264</f>
        <v>104.76246684831682</v>
      </c>
      <c r="D264">
        <f>D263</f>
        <v>0.0017640962314499999</v>
      </c>
      <c r="E264" t="s">
        <v>34</v>
      </c>
      <c r="F264" s="10">
        <v>44152</v>
      </c>
      <c r="H264">
        <f>H263+C264</f>
        <v>59490.676330632974</v>
      </c>
      <c r="DV264">
        <v>12</v>
      </c>
      <c r="DW264" t="s">
        <v>41</v>
      </c>
      <c r="DX264" s="8">
        <v>43956</v>
      </c>
      <c r="DY264">
        <v>15</v>
      </c>
      <c r="DZ264">
        <v>307</v>
      </c>
      <c r="EA264">
        <v>3</v>
      </c>
      <c r="GV264" s="8">
        <v>43955</v>
      </c>
      <c r="GW264">
        <v>32</v>
      </c>
      <c r="GX264" t="s">
        <v>106</v>
      </c>
      <c r="GY264">
        <v>26</v>
      </c>
      <c r="HB264">
        <v>209</v>
      </c>
      <c r="HC264">
        <v>0</v>
      </c>
    </row>
    <row r="265" spans="1:325" ht="20.25">
      <c r="C265">
        <f>H264*D265</f>
        <v>104.94727792128134</v>
      </c>
      <c r="D265">
        <f>D264</f>
        <v>0.0017640962314499999</v>
      </c>
      <c r="E265" t="s">
        <v>35</v>
      </c>
      <c r="F265" s="10">
        <v>44153</v>
      </c>
      <c r="H265">
        <f>H264+C265</f>
        <v>59595.623608554255</v>
      </c>
      <c r="DV265">
        <v>12</v>
      </c>
      <c r="DW265" t="s">
        <v>41</v>
      </c>
      <c r="DX265" s="8">
        <v>43957</v>
      </c>
      <c r="DY265">
        <v>15</v>
      </c>
      <c r="DZ265">
        <v>307</v>
      </c>
      <c r="EA265">
        <v>3</v>
      </c>
      <c r="GV265" s="8">
        <v>43956</v>
      </c>
      <c r="GW265">
        <v>32</v>
      </c>
      <c r="GX265" t="s">
        <v>106</v>
      </c>
      <c r="GY265">
        <v>26</v>
      </c>
      <c r="HB265">
        <v>209</v>
      </c>
      <c r="HC265">
        <v>0</v>
      </c>
    </row>
    <row r="266" spans="1:325" ht="20.25">
      <c r="C266">
        <f>H265*D266</f>
        <v>105.13241501876321</v>
      </c>
      <c r="D266">
        <f>D265</f>
        <v>0.0017640962314499999</v>
      </c>
      <c r="E266" t="s">
        <v>37</v>
      </c>
      <c r="F266" s="10">
        <v>44154</v>
      </c>
      <c r="H266">
        <f>H265+C266</f>
        <v>59700.75602357302</v>
      </c>
      <c r="DV266">
        <v>12</v>
      </c>
      <c r="DW266" t="s">
        <v>41</v>
      </c>
      <c r="DX266" s="8">
        <v>43958</v>
      </c>
      <c r="DY266">
        <v>15</v>
      </c>
      <c r="DZ266">
        <v>307</v>
      </c>
      <c r="EA266">
        <v>3</v>
      </c>
      <c r="GV266" s="8">
        <v>43957</v>
      </c>
      <c r="GW266">
        <v>32</v>
      </c>
      <c r="GX266" t="s">
        <v>106</v>
      </c>
      <c r="GY266">
        <v>27</v>
      </c>
      <c r="HB266">
        <v>217</v>
      </c>
      <c r="HC266">
        <v>0</v>
      </c>
    </row>
    <row r="267" spans="1:325" ht="20.25">
      <c r="C267">
        <f>H266*D267</f>
        <v>105.31787871590105</v>
      </c>
      <c r="D267">
        <f>D266</f>
        <v>0.0017640962314499999</v>
      </c>
      <c r="E267" t="s">
        <v>38</v>
      </c>
      <c r="F267" s="10">
        <v>44155</v>
      </c>
      <c r="H267">
        <f>H266+C267</f>
        <v>59806.073902288917</v>
      </c>
      <c r="DV267">
        <v>12</v>
      </c>
      <c r="DW267" t="s">
        <v>41</v>
      </c>
      <c r="DX267" s="8">
        <v>43959</v>
      </c>
      <c r="DY267">
        <v>16</v>
      </c>
      <c r="DZ267">
        <v>327</v>
      </c>
      <c r="EA267">
        <v>3</v>
      </c>
      <c r="GV267" s="8">
        <v>43958</v>
      </c>
      <c r="GW267">
        <v>32</v>
      </c>
      <c r="GX267" t="s">
        <v>106</v>
      </c>
      <c r="GY267">
        <v>28</v>
      </c>
      <c r="HB267">
        <v>226</v>
      </c>
      <c r="HC267">
        <v>0</v>
      </c>
    </row>
    <row r="268" spans="1:325" ht="20.25">
      <c r="C268">
        <f>H267*D268</f>
        <v>105.50366958884807</v>
      </c>
      <c r="D268">
        <f>D267</f>
        <v>0.0017640962314499999</v>
      </c>
      <c r="E268" t="s">
        <v>40</v>
      </c>
      <c r="F268" s="10">
        <v>44156</v>
      </c>
      <c r="H268">
        <f>H267+C268</f>
        <v>59911.577571877766</v>
      </c>
      <c r="DV268">
        <v>12</v>
      </c>
      <c r="DW268" t="s">
        <v>41</v>
      </c>
      <c r="DX268" s="8">
        <v>43960</v>
      </c>
      <c r="DY268">
        <v>16</v>
      </c>
      <c r="DZ268">
        <v>327</v>
      </c>
      <c r="EA268">
        <v>3</v>
      </c>
      <c r="GV268" s="8">
        <v>43959</v>
      </c>
      <c r="GW268">
        <v>32</v>
      </c>
      <c r="GX268" t="s">
        <v>106</v>
      </c>
      <c r="GY268">
        <v>28</v>
      </c>
      <c r="HB268">
        <v>226</v>
      </c>
      <c r="HC268">
        <v>0</v>
      </c>
    </row>
    <row r="269" spans="1:325" ht="20.25">
      <c r="C269">
        <f>H268*D269</f>
        <v>105.6897882147739</v>
      </c>
      <c r="D269">
        <f>D268</f>
        <v>0.0017640962314499999</v>
      </c>
      <c r="E269" t="s">
        <v>30</v>
      </c>
      <c r="F269" s="10">
        <v>44157</v>
      </c>
      <c r="H269">
        <f>H268+C269</f>
        <v>60017.267360092541</v>
      </c>
      <c r="DV269">
        <v>12</v>
      </c>
      <c r="DW269" t="s">
        <v>41</v>
      </c>
      <c r="DX269" s="8">
        <v>43961</v>
      </c>
      <c r="DY269">
        <v>16</v>
      </c>
      <c r="DZ269">
        <v>327</v>
      </c>
      <c r="EA269">
        <v>3</v>
      </c>
      <c r="GV269" s="8">
        <v>43960</v>
      </c>
      <c r="GW269">
        <v>32</v>
      </c>
      <c r="GX269" t="s">
        <v>106</v>
      </c>
      <c r="GY269">
        <v>28</v>
      </c>
      <c r="HB269">
        <v>226</v>
      </c>
      <c r="HC269">
        <v>0</v>
      </c>
    </row>
    <row r="270" spans="1:325" ht="20.25">
      <c r="C270">
        <f>H269*D270</f>
        <v>105.87623517186634</v>
      </c>
      <c r="D270">
        <f>D269</f>
        <v>0.0017640962314499999</v>
      </c>
      <c r="E270" t="s">
        <v>33</v>
      </c>
      <c r="F270" s="10">
        <v>44158</v>
      </c>
      <c r="H270">
        <f>H269+C270</f>
        <v>60123.14359526441</v>
      </c>
      <c r="DV270">
        <v>12</v>
      </c>
      <c r="DW270" t="s">
        <v>41</v>
      </c>
      <c r="DX270" s="8">
        <v>43962</v>
      </c>
      <c r="DY270">
        <v>16</v>
      </c>
      <c r="DZ270">
        <v>327</v>
      </c>
      <c r="EA270">
        <v>3</v>
      </c>
      <c r="GV270" s="8">
        <v>43961</v>
      </c>
      <c r="GW270">
        <v>32</v>
      </c>
      <c r="GX270" t="s">
        <v>106</v>
      </c>
      <c r="GY270">
        <v>29</v>
      </c>
      <c r="HB270">
        <v>234</v>
      </c>
      <c r="HC270">
        <v>0</v>
      </c>
    </row>
    <row r="271" spans="1:325" ht="20.25">
      <c r="C271">
        <f>H270*D271</f>
        <v>106.06301103933315</v>
      </c>
      <c r="D271">
        <f>D270</f>
        <v>0.0017640962314499999</v>
      </c>
      <c r="E271" t="s">
        <v>34</v>
      </c>
      <c r="F271" s="10">
        <v>44159</v>
      </c>
      <c r="H271">
        <f>H270+C271</f>
        <v>60229.206606303742</v>
      </c>
      <c r="DV271">
        <v>12</v>
      </c>
      <c r="DW271" t="s">
        <v>41</v>
      </c>
      <c r="DX271" s="8">
        <v>43963</v>
      </c>
      <c r="DY271">
        <v>16</v>
      </c>
      <c r="DZ271">
        <v>327</v>
      </c>
      <c r="EA271">
        <v>3</v>
      </c>
      <c r="GV271" s="8">
        <v>43962</v>
      </c>
      <c r="GW271">
        <v>32</v>
      </c>
      <c r="GX271" t="s">
        <v>106</v>
      </c>
      <c r="GY271">
        <v>30</v>
      </c>
      <c r="HB271">
        <v>242</v>
      </c>
      <c r="HC271">
        <v>0</v>
      </c>
    </row>
    <row r="272" spans="1:325" ht="20.25">
      <c r="C272">
        <f>H271*D272</f>
        <v>106.25011639740387</v>
      </c>
      <c r="D272">
        <f>D271</f>
        <v>0.0017640962314499999</v>
      </c>
      <c r="E272" t="s">
        <v>35</v>
      </c>
      <c r="F272" s="10">
        <v>44160</v>
      </c>
      <c r="H272">
        <f>H271+C272</f>
        <v>60335.456722701143</v>
      </c>
      <c r="DV272">
        <v>12</v>
      </c>
      <c r="DW272" t="s">
        <v>41</v>
      </c>
      <c r="DX272" s="8">
        <v>43964</v>
      </c>
      <c r="DY272">
        <v>16</v>
      </c>
      <c r="DZ272">
        <v>327</v>
      </c>
      <c r="EA272">
        <v>3</v>
      </c>
      <c r="GV272" s="8">
        <v>43963</v>
      </c>
      <c r="GW272">
        <v>32</v>
      </c>
      <c r="GX272" t="s">
        <v>106</v>
      </c>
      <c r="GY272">
        <v>32</v>
      </c>
      <c r="HB272">
        <v>258</v>
      </c>
      <c r="HC272">
        <v>0</v>
      </c>
    </row>
    <row r="273" spans="1:325" ht="20.25">
      <c r="C273">
        <f>H272*D273</f>
        <v>106.43755182733165</v>
      </c>
      <c r="D273">
        <f>D272</f>
        <v>0.0017640962314499999</v>
      </c>
      <c r="E273" t="s">
        <v>37</v>
      </c>
      <c r="F273" s="10">
        <v>44161</v>
      </c>
      <c r="H273">
        <f>H272+C273</f>
        <v>60441.894274528473</v>
      </c>
      <c r="DV273">
        <v>12</v>
      </c>
      <c r="DW273" t="s">
        <v>41</v>
      </c>
      <c r="DX273" s="8">
        <v>43965</v>
      </c>
      <c r="DY273">
        <v>17</v>
      </c>
      <c r="DZ273">
        <v>348</v>
      </c>
      <c r="EA273">
        <v>3</v>
      </c>
      <c r="GV273" s="8">
        <v>43964</v>
      </c>
      <c r="GW273">
        <v>32</v>
      </c>
      <c r="GX273" t="s">
        <v>106</v>
      </c>
      <c r="GY273">
        <v>31</v>
      </c>
      <c r="HB273">
        <v>250</v>
      </c>
      <c r="HC273">
        <v>0</v>
      </c>
    </row>
    <row r="274" spans="1:325" ht="20.25">
      <c r="C274">
        <f>H273*D274</f>
        <v>106.625317911395</v>
      </c>
      <c r="D274">
        <f>D273</f>
        <v>0.0017640962314499999</v>
      </c>
      <c r="E274" t="s">
        <v>38</v>
      </c>
      <c r="F274" s="10">
        <v>44162</v>
      </c>
      <c r="H274">
        <f>H273+C274</f>
        <v>60548.519592439865</v>
      </c>
      <c r="DV274">
        <v>12</v>
      </c>
      <c r="DW274" t="s">
        <v>41</v>
      </c>
      <c r="DX274" s="8">
        <v>43966</v>
      </c>
      <c r="DY274">
        <v>17</v>
      </c>
      <c r="DZ274">
        <v>348</v>
      </c>
      <c r="EA274">
        <v>3</v>
      </c>
      <c r="GV274" s="8">
        <v>43965</v>
      </c>
      <c r="GW274">
        <v>32</v>
      </c>
      <c r="GX274" t="s">
        <v>106</v>
      </c>
      <c r="GY274">
        <v>32</v>
      </c>
      <c r="HB274">
        <v>258</v>
      </c>
      <c r="HC274">
        <v>0</v>
      </c>
    </row>
    <row r="275" spans="1:325" ht="20.25">
      <c r="C275">
        <f>H274*D275</f>
        <v>106.81341523289966</v>
      </c>
      <c r="D275">
        <f>D274</f>
        <v>0.0017640962314499999</v>
      </c>
      <c r="E275" t="s">
        <v>40</v>
      </c>
      <c r="F275" s="10">
        <v>44163</v>
      </c>
      <c r="H275">
        <f>H274+C275</f>
        <v>60655.333007672765</v>
      </c>
      <c r="DV275">
        <v>17</v>
      </c>
      <c r="DW275" t="s">
        <v>43</v>
      </c>
      <c r="DX275" s="8">
        <v>43914</v>
      </c>
      <c r="DY275">
        <v>1</v>
      </c>
      <c r="EA275">
        <v>0</v>
      </c>
      <c r="GV275" s="8">
        <v>43966</v>
      </c>
      <c r="GW275">
        <v>32</v>
      </c>
      <c r="GX275" t="s">
        <v>106</v>
      </c>
      <c r="GY275">
        <v>33</v>
      </c>
      <c r="HB275">
        <v>266</v>
      </c>
      <c r="HC275">
        <v>0</v>
      </c>
    </row>
    <row r="276" spans="1:325" ht="20.25">
      <c r="C276">
        <f>H275*D276</f>
        <v>107.00184437618032</v>
      </c>
      <c r="D276">
        <f>D275</f>
        <v>0.0017640962314499999</v>
      </c>
      <c r="E276" t="s">
        <v>30</v>
      </c>
      <c r="F276" s="10">
        <v>44164</v>
      </c>
      <c r="H276">
        <f>H275+C276</f>
        <v>60762.334852048945</v>
      </c>
      <c r="DV276">
        <v>17</v>
      </c>
      <c r="DW276" t="s">
        <v>43</v>
      </c>
      <c r="DX276" s="8">
        <v>43915</v>
      </c>
      <c r="DY276">
        <v>2</v>
      </c>
      <c r="EA276">
        <v>0</v>
      </c>
      <c r="GV276" s="8">
        <v>43967</v>
      </c>
      <c r="GW276">
        <v>32</v>
      </c>
      <c r="GX276" t="s">
        <v>106</v>
      </c>
      <c r="GY276">
        <v>34</v>
      </c>
      <c r="HB276">
        <v>274</v>
      </c>
      <c r="HC276">
        <v>1</v>
      </c>
      <c r="HF276">
        <v>213</v>
      </c>
    </row>
    <row r="277" spans="1:325" ht="20.25">
      <c r="C277">
        <f>H276*D277</f>
        <v>107.19060592660253</v>
      </c>
      <c r="D277">
        <f>D276</f>
        <v>0.0017640962314499999</v>
      </c>
      <c r="E277" t="s">
        <v>33</v>
      </c>
      <c r="F277" s="10">
        <v>44165</v>
      </c>
      <c r="H277">
        <f>H276+C277</f>
        <v>60869.525457975549</v>
      </c>
      <c r="DV277">
        <v>17</v>
      </c>
      <c r="DW277" t="s">
        <v>43</v>
      </c>
      <c r="DX277" s="8">
        <v>43916</v>
      </c>
      <c r="DY277">
        <v>2</v>
      </c>
      <c r="EA277">
        <v>0</v>
      </c>
      <c r="GV277" s="8">
        <v>43968</v>
      </c>
      <c r="GW277">
        <v>32</v>
      </c>
      <c r="GX277" t="s">
        <v>106</v>
      </c>
      <c r="GY277">
        <v>34</v>
      </c>
      <c r="HB277">
        <v>274</v>
      </c>
      <c r="HC277">
        <v>1</v>
      </c>
      <c r="HF277">
        <v>222</v>
      </c>
    </row>
    <row r="278" spans="1:325" ht="20.25">
      <c r="C278">
        <f>H277*D278</f>
        <v>107.3797004705645</v>
      </c>
      <c r="D278">
        <f>D277</f>
        <v>0.0017640962314499999</v>
      </c>
      <c r="E278" t="s">
        <v>34</v>
      </c>
      <c r="F278" s="10">
        <v>44166</v>
      </c>
      <c r="H278">
        <f>H277+C278</f>
        <v>60976.905158446112</v>
      </c>
      <c r="DV278">
        <v>17</v>
      </c>
      <c r="DW278" t="s">
        <v>43</v>
      </c>
      <c r="DX278" s="8">
        <v>43917</v>
      </c>
      <c r="DY278">
        <v>7</v>
      </c>
      <c r="EA278">
        <v>0</v>
      </c>
      <c r="GV278" s="8">
        <v>43969</v>
      </c>
      <c r="GW278">
        <v>32</v>
      </c>
      <c r="GX278" t="s">
        <v>106</v>
      </c>
      <c r="GY278">
        <v>34</v>
      </c>
      <c r="HB278">
        <v>274</v>
      </c>
      <c r="HC278">
        <v>1</v>
      </c>
      <c r="HF278">
        <v>226</v>
      </c>
    </row>
    <row r="279" spans="1:325" ht="20.25">
      <c r="C279">
        <f>H278*D279</f>
        <v>107.56912859549885</v>
      </c>
      <c r="D279">
        <f>D278</f>
        <v>0.0017640962314499999</v>
      </c>
      <c r="E279" t="s">
        <v>35</v>
      </c>
      <c r="F279" s="10">
        <v>44167</v>
      </c>
      <c r="H279">
        <f>H278+C279</f>
        <v>61084.474287041608</v>
      </c>
      <c r="DV279">
        <v>17</v>
      </c>
      <c r="DW279" t="s">
        <v>43</v>
      </c>
      <c r="DX279" s="8">
        <v>43918</v>
      </c>
      <c r="DY279">
        <v>8</v>
      </c>
      <c r="EA279">
        <v>0</v>
      </c>
      <c r="GV279" s="8">
        <v>43970</v>
      </c>
      <c r="GW279">
        <v>32</v>
      </c>
      <c r="GX279" t="s">
        <v>106</v>
      </c>
      <c r="GY279">
        <v>35</v>
      </c>
      <c r="HB279">
        <v>282</v>
      </c>
      <c r="HC279">
        <v>1</v>
      </c>
      <c r="HF279">
        <v>255</v>
      </c>
    </row>
    <row r="280" spans="1:325" ht="20.25">
      <c r="C280">
        <f>H279*D280</f>
        <v>107.75889088987452</v>
      </c>
      <c r="D280">
        <f>D279</f>
        <v>0.0017640962314499999</v>
      </c>
      <c r="E280" t="s">
        <v>37</v>
      </c>
      <c r="F280" s="10">
        <v>44168</v>
      </c>
      <c r="H280">
        <f>H279+C280</f>
        <v>61192.233177931485</v>
      </c>
      <c r="DV280">
        <v>17</v>
      </c>
      <c r="DW280" t="s">
        <v>43</v>
      </c>
      <c r="DX280" s="8">
        <v>43919</v>
      </c>
      <c r="DY280">
        <v>9</v>
      </c>
      <c r="EA280">
        <v>0</v>
      </c>
      <c r="GV280" s="8">
        <v>43971</v>
      </c>
      <c r="GW280">
        <v>32</v>
      </c>
      <c r="GX280" t="s">
        <v>106</v>
      </c>
      <c r="GY280">
        <v>35</v>
      </c>
      <c r="HB280">
        <v>282</v>
      </c>
      <c r="HC280">
        <v>1</v>
      </c>
      <c r="HF280">
        <v>253</v>
      </c>
      <c r="HG280">
        <v>2038</v>
      </c>
    </row>
    <row r="281" spans="1:325" ht="20.25">
      <c r="C281">
        <f>H280*D281</f>
        <v>107.94898794319859</v>
      </c>
      <c r="D281">
        <f>D280</f>
        <v>0.0017640962314499999</v>
      </c>
      <c r="E281" t="s">
        <v>38</v>
      </c>
      <c r="F281" s="10">
        <v>44169</v>
      </c>
      <c r="H281">
        <f>H280+C281</f>
        <v>61300.182165874685</v>
      </c>
      <c r="DV281">
        <v>17</v>
      </c>
      <c r="DW281" t="s">
        <v>43</v>
      </c>
      <c r="DX281" s="8">
        <v>43920</v>
      </c>
      <c r="DY281">
        <v>9</v>
      </c>
      <c r="EA281">
        <v>0</v>
      </c>
      <c r="GV281" s="8">
        <v>43972</v>
      </c>
      <c r="GW281">
        <v>32</v>
      </c>
      <c r="GX281" t="s">
        <v>106</v>
      </c>
      <c r="GY281">
        <v>37</v>
      </c>
      <c r="HB281">
        <v>298</v>
      </c>
      <c r="HC281">
        <v>1</v>
      </c>
      <c r="HF281">
        <v>261</v>
      </c>
      <c r="HG281">
        <v>2102</v>
      </c>
    </row>
    <row r="282" spans="1:325" ht="20.25">
      <c r="C282">
        <f>H281*D282</f>
        <v>108.13942034601803</v>
      </c>
      <c r="D282">
        <f>D281</f>
        <v>0.0017640962314499999</v>
      </c>
      <c r="E282" t="s">
        <v>40</v>
      </c>
      <c r="F282" s="10">
        <v>44170</v>
      </c>
      <c r="H282">
        <f>H281+C282</f>
        <v>61408.3215862207</v>
      </c>
      <c r="DV282">
        <v>17</v>
      </c>
      <c r="DW282" t="s">
        <v>43</v>
      </c>
      <c r="DX282" s="8">
        <v>43921</v>
      </c>
      <c r="DY282">
        <v>9</v>
      </c>
      <c r="EA282">
        <v>0</v>
      </c>
      <c r="GV282" s="8">
        <v>43973</v>
      </c>
      <c r="GW282">
        <v>32</v>
      </c>
      <c r="GX282" t="s">
        <v>106</v>
      </c>
      <c r="GY282">
        <v>37</v>
      </c>
      <c r="HB282">
        <v>298</v>
      </c>
      <c r="HC282">
        <v>1</v>
      </c>
      <c r="HF282">
        <v>277</v>
      </c>
      <c r="HG282">
        <v>2231</v>
      </c>
    </row>
    <row r="283" spans="1:325" ht="20.25">
      <c r="C283">
        <f>H282*D283</f>
        <v>108.33018868992161</v>
      </c>
      <c r="D283">
        <f>D282</f>
        <v>0.0017640962314499999</v>
      </c>
      <c r="E283" t="s">
        <v>30</v>
      </c>
      <c r="F283" s="10">
        <v>44171</v>
      </c>
      <c r="H283">
        <f>H282+C283</f>
        <v>61516.651774910621</v>
      </c>
      <c r="DV283">
        <v>17</v>
      </c>
      <c r="DW283" t="s">
        <v>43</v>
      </c>
      <c r="DX283" s="8">
        <v>43922</v>
      </c>
      <c r="DY283">
        <v>15</v>
      </c>
      <c r="EA283">
        <v>0</v>
      </c>
      <c r="GV283" s="8">
        <v>43974</v>
      </c>
      <c r="GW283">
        <v>32</v>
      </c>
      <c r="GX283" t="s">
        <v>106</v>
      </c>
      <c r="GY283">
        <v>38</v>
      </c>
      <c r="HB283">
        <v>306</v>
      </c>
      <c r="HC283">
        <v>1</v>
      </c>
      <c r="HF283">
        <v>281</v>
      </c>
      <c r="HG283">
        <v>2264</v>
      </c>
    </row>
    <row r="284" spans="1:325" ht="20.25">
      <c r="C284">
        <f>H283*D284</f>
        <v>108.52129356754178</v>
      </c>
      <c r="D284">
        <f>D283</f>
        <v>0.0017640962314499999</v>
      </c>
      <c r="E284" t="s">
        <v>33</v>
      </c>
      <c r="F284" s="10">
        <v>44172</v>
      </c>
      <c r="H284">
        <f>H283+C284</f>
        <v>61625.173068478165</v>
      </c>
      <c r="V284" s="1"/>
      <c r="W284" s="1"/>
      <c r="Z284" s="1"/>
      <c r="AA284" s="1"/>
      <c r="AB284" s="1"/>
      <c r="AC284" s="1"/>
      <c r="AD284" s="1"/>
      <c r="AE284" s="1"/>
      <c r="AF284" s="1"/>
      <c r="AG284" s="1"/>
      <c r="AH284" s="1"/>
      <c r="AK284" s="1"/>
      <c r="AL284" s="1"/>
      <c r="AM284" s="1"/>
      <c r="AN284" s="1"/>
      <c r="AO284" s="1"/>
      <c r="AP284" s="1"/>
      <c r="AQ284" s="1"/>
      <c r="AR284" s="1"/>
      <c r="AS284" s="1"/>
      <c r="AV284" s="1"/>
      <c r="AW284" s="1"/>
      <c r="AX284" s="1"/>
      <c r="DV284">
        <v>17</v>
      </c>
      <c r="DW284" t="s">
        <v>43</v>
      </c>
      <c r="DX284" s="8">
        <v>43923</v>
      </c>
      <c r="DY284">
        <v>18</v>
      </c>
      <c r="EA284">
        <v>0</v>
      </c>
      <c r="GV284" s="8">
        <v>43975</v>
      </c>
      <c r="GW284">
        <v>32</v>
      </c>
      <c r="GX284" t="s">
        <v>106</v>
      </c>
      <c r="GY284">
        <v>38</v>
      </c>
      <c r="HB284">
        <v>306</v>
      </c>
      <c r="HC284">
        <v>1</v>
      </c>
      <c r="HF284">
        <v>300</v>
      </c>
      <c r="HG284">
        <v>2417</v>
      </c>
    </row>
    <row r="285" spans="1:325" ht="20.25">
      <c r="C285">
        <f>H284*D285</f>
        <v>108.71273557255635</v>
      </c>
      <c r="D285">
        <f>D284</f>
        <v>0.0017640962314499999</v>
      </c>
      <c r="E285" t="s">
        <v>34</v>
      </c>
      <c r="F285" s="10">
        <v>44173</v>
      </c>
      <c r="H285">
        <f>H284+C285</f>
        <v>61733.885804050718</v>
      </c>
      <c r="V285" s="1"/>
      <c r="W285" s="1"/>
      <c r="Z285" s="1"/>
      <c r="AA285" s="1"/>
      <c r="AB285" s="1"/>
      <c r="AC285" s="1"/>
      <c r="AD285" s="1"/>
      <c r="AE285" s="1"/>
      <c r="AF285" s="1"/>
      <c r="AG285" s="1"/>
      <c r="AH285" s="1"/>
      <c r="AK285" s="1"/>
      <c r="AL285" s="1"/>
      <c r="AM285" s="1"/>
      <c r="AN285" s="1"/>
      <c r="AO285" s="1"/>
      <c r="AP285" s="1"/>
      <c r="AQ285" s="1"/>
      <c r="AR285" s="1"/>
      <c r="AS285" s="1"/>
      <c r="AV285" s="1"/>
      <c r="AW285" s="1"/>
      <c r="AX285" s="1"/>
      <c r="DV285">
        <v>17</v>
      </c>
      <c r="DW285" t="s">
        <v>43</v>
      </c>
      <c r="DX285" s="8">
        <v>43924</v>
      </c>
      <c r="DY285">
        <v>24</v>
      </c>
      <c r="EA285">
        <v>0</v>
      </c>
      <c r="GV285" s="8">
        <v>43976</v>
      </c>
      <c r="GW285">
        <v>32</v>
      </c>
      <c r="GX285" t="s">
        <v>106</v>
      </c>
      <c r="GY285">
        <v>39</v>
      </c>
      <c r="HB285">
        <v>314</v>
      </c>
      <c r="HC285">
        <v>1</v>
      </c>
      <c r="HF285">
        <v>310</v>
      </c>
      <c r="HG285">
        <v>2497</v>
      </c>
    </row>
    <row r="286" spans="1:325" ht="20.25">
      <c r="C286">
        <f>H285*D286</f>
        <v>108.90451529969052</v>
      </c>
      <c r="D286">
        <f>D285</f>
        <v>0.0017640962314499999</v>
      </c>
      <c r="E286" t="s">
        <v>35</v>
      </c>
      <c r="F286" s="10">
        <v>44174</v>
      </c>
      <c r="H286">
        <f>H285+C286</f>
        <v>61842.79031935041</v>
      </c>
      <c r="V286" s="1"/>
      <c r="W286" s="1"/>
      <c r="Z286" s="1"/>
      <c r="AA286" s="1"/>
      <c r="AB286" s="1"/>
      <c r="AC286" s="1"/>
      <c r="AD286" s="1"/>
      <c r="AE286" s="1"/>
      <c r="AF286" s="1"/>
      <c r="AG286" s="1"/>
      <c r="AH286" s="1"/>
      <c r="AK286" s="1"/>
      <c r="AL286" s="1"/>
      <c r="AM286" s="1"/>
      <c r="AN286" s="1"/>
      <c r="AO286" s="1"/>
      <c r="AP286" s="1"/>
      <c r="AQ286" s="1"/>
      <c r="AR286" s="1"/>
      <c r="AS286" s="1"/>
      <c r="AV286" s="1"/>
      <c r="AW286" s="1"/>
      <c r="AX286" s="1"/>
      <c r="DV286">
        <v>17</v>
      </c>
      <c r="DW286" t="s">
        <v>43</v>
      </c>
      <c r="DX286" s="8">
        <v>43925</v>
      </c>
      <c r="DY286">
        <v>26</v>
      </c>
      <c r="EA286">
        <v>0</v>
      </c>
      <c r="GV286" s="8">
        <v>43977</v>
      </c>
      <c r="GW286">
        <v>32</v>
      </c>
      <c r="GX286" t="s">
        <v>106</v>
      </c>
      <c r="GY286">
        <v>38</v>
      </c>
      <c r="HB286">
        <v>306</v>
      </c>
      <c r="HC286">
        <v>1</v>
      </c>
      <c r="HF286">
        <v>313</v>
      </c>
      <c r="HG286">
        <v>2521</v>
      </c>
    </row>
    <row r="287" spans="1:325" ht="20.25">
      <c r="C287">
        <f>H286*D287</f>
        <v>109.0966333447186</v>
      </c>
      <c r="D287">
        <f>D286</f>
        <v>0.0017640962314499999</v>
      </c>
      <c r="E287" t="s">
        <v>37</v>
      </c>
      <c r="F287" s="10">
        <v>44175</v>
      </c>
      <c r="H287">
        <f>H286+C287</f>
        <v>61951.886952695131</v>
      </c>
      <c r="V287" s="1"/>
      <c r="W287" s="1"/>
      <c r="Z287" s="1"/>
      <c r="AA287" s="1"/>
      <c r="AB287" s="1"/>
      <c r="AC287" s="1"/>
      <c r="AD287" s="1"/>
      <c r="AE287" s="1"/>
      <c r="AF287" s="1"/>
      <c r="AG287" s="1"/>
      <c r="AH287" s="1"/>
      <c r="AK287" s="1"/>
      <c r="AL287" s="1"/>
      <c r="AM287" s="1"/>
      <c r="AN287" s="1"/>
      <c r="AO287" s="1"/>
      <c r="AP287" s="1"/>
      <c r="AQ287" s="1"/>
      <c r="AR287" s="1"/>
      <c r="AS287" s="1"/>
      <c r="AV287" s="1"/>
      <c r="AW287" s="1"/>
      <c r="AX287" s="1"/>
      <c r="DV287">
        <v>17</v>
      </c>
      <c r="DW287" t="s">
        <v>43</v>
      </c>
      <c r="DX287" s="8">
        <v>43926</v>
      </c>
      <c r="DY287">
        <v>27</v>
      </c>
      <c r="EA287">
        <v>0</v>
      </c>
      <c r="GV287" s="8">
        <v>43978</v>
      </c>
      <c r="GW287">
        <v>32</v>
      </c>
      <c r="GX287" t="s">
        <v>106</v>
      </c>
      <c r="GY287">
        <v>40</v>
      </c>
      <c r="HB287">
        <v>322</v>
      </c>
      <c r="HC287">
        <v>1</v>
      </c>
      <c r="HF287">
        <v>335</v>
      </c>
      <c r="HG287">
        <v>2699</v>
      </c>
    </row>
    <row r="288" spans="1:325" ht="20.25">
      <c r="C288">
        <f>H287*D288</f>
        <v>109.2890903044659</v>
      </c>
      <c r="D288">
        <f>D287</f>
        <v>0.0017640962314499999</v>
      </c>
      <c r="E288" t="s">
        <v>38</v>
      </c>
      <c r="F288" s="10">
        <v>44176</v>
      </c>
      <c r="H288">
        <f>H287+C288</f>
        <v>62061.176042999599</v>
      </c>
      <c r="V288" s="1"/>
      <c r="W288" s="1"/>
      <c r="Z288" s="1"/>
      <c r="AA288" s="1"/>
      <c r="AB288" s="1"/>
      <c r="AC288" s="1"/>
      <c r="AD288" s="1"/>
      <c r="AE288" s="1"/>
      <c r="AF288" s="1"/>
      <c r="AG288" s="1"/>
      <c r="AH288" s="1"/>
      <c r="AK288" s="1"/>
      <c r="AL288" s="1"/>
      <c r="AM288" s="1"/>
      <c r="AN288" s="1"/>
      <c r="AO288" s="1"/>
      <c r="AP288" s="1"/>
      <c r="AQ288" s="1"/>
      <c r="AR288" s="1"/>
      <c r="AS288" s="1"/>
      <c r="AV288" s="1"/>
      <c r="AW288" s="1"/>
      <c r="AX288" s="1"/>
      <c r="DV288">
        <v>17</v>
      </c>
      <c r="DW288" t="s">
        <v>43</v>
      </c>
      <c r="DX288" s="8">
        <v>43927</v>
      </c>
      <c r="DY288">
        <v>40</v>
      </c>
      <c r="EA288">
        <v>0</v>
      </c>
      <c r="GV288" s="8">
        <v>43979</v>
      </c>
      <c r="GW288">
        <v>32</v>
      </c>
      <c r="GX288" t="s">
        <v>106</v>
      </c>
      <c r="GY288">
        <v>40</v>
      </c>
      <c r="HB288">
        <v>322</v>
      </c>
      <c r="HC288">
        <v>1</v>
      </c>
      <c r="HF288">
        <v>342</v>
      </c>
      <c r="HG288">
        <v>2755</v>
      </c>
    </row>
    <row r="289" spans="1:325" ht="20.25">
      <c r="C289">
        <f>H288*D289</f>
        <v>109.48188677681061</v>
      </c>
      <c r="D289">
        <f>D288</f>
        <v>0.0017640962314499999</v>
      </c>
      <c r="E289" t="s">
        <v>40</v>
      </c>
      <c r="F289" s="10">
        <v>44177</v>
      </c>
      <c r="H289">
        <f>H288+C289</f>
        <v>62170.657929776411</v>
      </c>
      <c r="V289" s="1"/>
      <c r="W289" s="1"/>
      <c r="Z289" s="1"/>
      <c r="AA289" s="1"/>
      <c r="AB289" s="1"/>
      <c r="AC289" s="1"/>
      <c r="AD289" s="1"/>
      <c r="AE289" s="1"/>
      <c r="AF289" s="1"/>
      <c r="AG289" s="1"/>
      <c r="AH289" s="1"/>
      <c r="AK289" s="1"/>
      <c r="AL289" s="1"/>
      <c r="AM289" s="1"/>
      <c r="AN289" s="1"/>
      <c r="AO289" s="1"/>
      <c r="AP289" s="1"/>
      <c r="AQ289" s="1"/>
      <c r="AR289" s="1"/>
      <c r="AS289" s="1"/>
      <c r="AV289" s="1"/>
      <c r="AW289" s="1"/>
      <c r="AX289" s="1"/>
      <c r="DV289">
        <v>17</v>
      </c>
      <c r="DW289" t="s">
        <v>43</v>
      </c>
      <c r="DX289" s="8">
        <v>43928</v>
      </c>
      <c r="DY289">
        <v>57</v>
      </c>
      <c r="EA289">
        <v>0</v>
      </c>
      <c r="GV289" s="8">
        <v>43980</v>
      </c>
      <c r="GW289">
        <v>32</v>
      </c>
      <c r="GX289" t="s">
        <v>106</v>
      </c>
      <c r="GY289">
        <v>40</v>
      </c>
      <c r="HB289">
        <v>322</v>
      </c>
      <c r="HC289">
        <v>1</v>
      </c>
      <c r="HF289">
        <v>356</v>
      </c>
      <c r="HG289">
        <v>2868</v>
      </c>
    </row>
    <row r="290" spans="1:325" ht="20.25">
      <c r="C290">
        <f>H289*D290</f>
        <v>109.67502336068563</v>
      </c>
      <c r="D290">
        <f>D289</f>
        <v>0.0017640962314499999</v>
      </c>
      <c r="E290" t="s">
        <v>30</v>
      </c>
      <c r="F290" s="10">
        <v>44178</v>
      </c>
      <c r="H290">
        <f>H289+C290</f>
        <v>62280.332953137098</v>
      </c>
      <c r="V290" s="1"/>
      <c r="W290" s="1"/>
      <c r="Z290" s="1"/>
      <c r="AA290" s="1"/>
      <c r="AB290" s="1"/>
      <c r="AC290" s="1"/>
      <c r="AD290" s="1"/>
      <c r="AE290" s="1"/>
      <c r="AF290" s="1"/>
      <c r="AG290" s="1"/>
      <c r="AH290" s="1"/>
      <c r="AK290" s="1"/>
      <c r="AL290" s="1"/>
      <c r="AM290" s="1"/>
      <c r="AN290" s="1"/>
      <c r="AO290" s="1"/>
      <c r="AP290" s="1"/>
      <c r="AQ290" s="1"/>
      <c r="AR290" s="1"/>
      <c r="AS290" s="1"/>
      <c r="AV290" s="1"/>
      <c r="AW290" s="1"/>
      <c r="AX290" s="1"/>
      <c r="DV290">
        <v>17</v>
      </c>
      <c r="DW290" t="s">
        <v>43</v>
      </c>
      <c r="DX290" s="8">
        <v>43929</v>
      </c>
      <c r="DY290">
        <v>67</v>
      </c>
      <c r="EA290">
        <v>1</v>
      </c>
      <c r="GV290" s="8">
        <v>43981</v>
      </c>
      <c r="GW290">
        <v>32</v>
      </c>
      <c r="GX290" t="s">
        <v>106</v>
      </c>
      <c r="GY290">
        <v>40</v>
      </c>
      <c r="HB290">
        <v>322</v>
      </c>
      <c r="HC290">
        <v>1</v>
      </c>
      <c r="HF290">
        <v>360</v>
      </c>
      <c r="HG290">
        <v>2900</v>
      </c>
    </row>
    <row r="291" spans="1:325" ht="20.25">
      <c r="C291">
        <f>H290*D291</f>
        <v>109.8685006560804</v>
      </c>
      <c r="D291">
        <f>D290</f>
        <v>0.0017640962314499999</v>
      </c>
      <c r="E291" t="s">
        <v>33</v>
      </c>
      <c r="F291" s="10">
        <v>44179</v>
      </c>
      <c r="H291">
        <f>H290+C291</f>
        <v>62390.201453793175</v>
      </c>
      <c r="V291" s="1"/>
      <c r="W291" s="1"/>
      <c r="Z291" s="1"/>
      <c r="AA291" s="1"/>
      <c r="AB291" s="1"/>
      <c r="AC291" s="1"/>
      <c r="AD291" s="1"/>
      <c r="AE291" s="1"/>
      <c r="AF291" s="1"/>
      <c r="AG291" s="1"/>
      <c r="AH291" s="1"/>
      <c r="AK291" s="1"/>
      <c r="AL291" s="1"/>
      <c r="AM291" s="1"/>
      <c r="AN291" s="1"/>
      <c r="AO291" s="1"/>
      <c r="AP291" s="1"/>
      <c r="AQ291" s="1"/>
      <c r="AR291" s="1"/>
      <c r="AS291" s="1"/>
      <c r="AV291" s="1"/>
      <c r="AW291" s="1"/>
      <c r="AX291" s="1"/>
      <c r="DV291">
        <v>17</v>
      </c>
      <c r="DW291" t="s">
        <v>43</v>
      </c>
      <c r="DX291" s="8">
        <v>43930</v>
      </c>
      <c r="DY291">
        <v>95</v>
      </c>
      <c r="EA291">
        <v>1</v>
      </c>
      <c r="GV291" s="8">
        <v>43982</v>
      </c>
      <c r="GW291">
        <v>32</v>
      </c>
      <c r="GX291" t="s">
        <v>106</v>
      </c>
      <c r="GY291">
        <v>39</v>
      </c>
      <c r="GZ291">
        <v>35</v>
      </c>
      <c r="HA291">
        <v>4</v>
      </c>
      <c r="HB291">
        <v>314</v>
      </c>
      <c r="HC291">
        <v>1</v>
      </c>
      <c r="HD291">
        <v>0</v>
      </c>
      <c r="HE291">
        <v>1</v>
      </c>
      <c r="HF291">
        <v>371</v>
      </c>
      <c r="HG291">
        <v>2989</v>
      </c>
      <c r="HH291">
        <v>423</v>
      </c>
      <c r="HI291">
        <v>38</v>
      </c>
      <c r="HJ291">
        <v>384</v>
      </c>
      <c r="HK291">
        <v>1</v>
      </c>
    </row>
    <row r="292" spans="1:325" ht="20.25">
      <c r="C292">
        <f>H291*D292</f>
        <v>110.06231926404286</v>
      </c>
      <c r="D292">
        <f>D291</f>
        <v>0.0017640962314499999</v>
      </c>
      <c r="E292" t="s">
        <v>34</v>
      </c>
      <c r="F292" s="10">
        <v>44180</v>
      </c>
      <c r="H292">
        <f>H291+C292</f>
        <v>62500.263773057217</v>
      </c>
      <c r="J292" s="4"/>
      <c r="K292" s="4"/>
      <c r="L292" s="4"/>
      <c r="M292" s="4"/>
      <c r="N292" s="4"/>
      <c r="V292" s="1"/>
      <c r="W292" s="1"/>
      <c r="Z292" s="1"/>
      <c r="AA292" s="1"/>
      <c r="AB292" s="1"/>
      <c r="AC292" s="1"/>
      <c r="AD292" s="1"/>
      <c r="AE292" s="1"/>
      <c r="AF292" s="1"/>
      <c r="AG292" s="1"/>
      <c r="AH292" s="1"/>
      <c r="AK292" s="1"/>
      <c r="AL292" s="1"/>
      <c r="AM292" s="1"/>
      <c r="AN292" s="1"/>
      <c r="AO292" s="1"/>
      <c r="AP292" s="1"/>
      <c r="AQ292" s="1"/>
      <c r="AR292" s="1"/>
      <c r="AS292" s="1"/>
      <c r="AV292" s="1"/>
      <c r="AW292" s="1"/>
      <c r="AX292" s="1"/>
      <c r="DV292">
        <v>17</v>
      </c>
      <c r="DW292" t="s">
        <v>43</v>
      </c>
      <c r="DX292" s="8">
        <v>43931</v>
      </c>
      <c r="DY292">
        <v>104</v>
      </c>
      <c r="EA292">
        <v>1</v>
      </c>
      <c r="GV292" s="8">
        <v>43983</v>
      </c>
      <c r="GW292">
        <v>32</v>
      </c>
      <c r="GX292" t="s">
        <v>106</v>
      </c>
      <c r="GY292">
        <v>40</v>
      </c>
      <c r="GZ292">
        <v>36</v>
      </c>
      <c r="HA292">
        <v>4</v>
      </c>
      <c r="HB292">
        <v>322</v>
      </c>
      <c r="HC292">
        <v>1</v>
      </c>
      <c r="HD292">
        <v>0</v>
      </c>
      <c r="HE292">
        <v>1</v>
      </c>
      <c r="HF292">
        <v>396</v>
      </c>
      <c r="HG292">
        <v>3190</v>
      </c>
      <c r="HH292">
        <v>456</v>
      </c>
      <c r="HI292">
        <v>40</v>
      </c>
      <c r="HJ292">
        <v>415</v>
      </c>
      <c r="HK292">
        <v>1</v>
      </c>
    </row>
    <row r="293" spans="1:325" ht="20.25">
      <c r="C293">
        <f>H292*D293</f>
        <v>110.2564797866812</v>
      </c>
      <c r="D293">
        <f>D292</f>
        <v>0.0017640962314499999</v>
      </c>
      <c r="E293" t="s">
        <v>35</v>
      </c>
      <c r="F293" s="10">
        <v>44181</v>
      </c>
      <c r="H293">
        <f>H292+C293</f>
        <v>62610.520252843897</v>
      </c>
      <c r="J293" s="1"/>
      <c r="K293" s="1"/>
      <c r="L293" s="1"/>
      <c r="O293" s="1"/>
      <c r="P293" s="1"/>
      <c r="Q293" s="1"/>
      <c r="V293" s="1"/>
      <c r="W293" s="1"/>
      <c r="Z293" s="1"/>
      <c r="AA293" s="1"/>
      <c r="AB293" s="1"/>
      <c r="AC293" s="1"/>
      <c r="AD293" s="1"/>
      <c r="AE293" s="1"/>
      <c r="AF293" s="1"/>
      <c r="AG293" s="1"/>
      <c r="AH293" s="1"/>
      <c r="AK293" s="1"/>
      <c r="AL293" s="1"/>
      <c r="AM293" s="1"/>
      <c r="AN293" s="1"/>
      <c r="AO293" s="1"/>
      <c r="AP293" s="1"/>
      <c r="AQ293" s="1"/>
      <c r="AR293" s="1"/>
      <c r="AS293" s="1"/>
      <c r="AV293" s="1"/>
      <c r="AW293" s="1"/>
      <c r="AX293" s="1"/>
      <c r="DV293">
        <v>17</v>
      </c>
      <c r="DW293" t="s">
        <v>43</v>
      </c>
      <c r="DX293" s="8">
        <v>43932</v>
      </c>
      <c r="DY293">
        <v>137</v>
      </c>
      <c r="EA293">
        <v>1</v>
      </c>
      <c r="GV293" s="8">
        <v>43984</v>
      </c>
      <c r="GW293">
        <v>32</v>
      </c>
      <c r="GX293" t="s">
        <v>106</v>
      </c>
      <c r="GY293">
        <v>41</v>
      </c>
      <c r="GZ293">
        <v>37</v>
      </c>
      <c r="HA293">
        <v>4</v>
      </c>
      <c r="HB293">
        <v>330</v>
      </c>
      <c r="HC293">
        <v>1</v>
      </c>
      <c r="HD293">
        <v>0</v>
      </c>
      <c r="HE293">
        <v>1</v>
      </c>
      <c r="HF293">
        <v>407</v>
      </c>
      <c r="HG293">
        <v>3279</v>
      </c>
      <c r="HH293">
        <v>468</v>
      </c>
      <c r="HI293">
        <v>41</v>
      </c>
      <c r="HJ293">
        <v>426</v>
      </c>
      <c r="HK293">
        <v>1</v>
      </c>
    </row>
    <row r="294" spans="1:325" ht="20.25">
      <c r="C294">
        <f>H293*D294</f>
        <v>110.45098282716582</v>
      </c>
      <c r="D294">
        <f>D293</f>
        <v>0.0017640962314499999</v>
      </c>
      <c r="E294" t="s">
        <v>37</v>
      </c>
      <c r="F294" s="10">
        <v>44182</v>
      </c>
      <c r="H294">
        <f>H293+C294</f>
        <v>62720.971235671066</v>
      </c>
      <c r="J294" s="1"/>
      <c r="V294" s="1"/>
      <c r="W294" s="1"/>
      <c r="Z294" s="1"/>
      <c r="AA294" s="1"/>
      <c r="AB294" s="1"/>
      <c r="AC294" s="1"/>
      <c r="AD294" s="1"/>
      <c r="AE294" s="1"/>
      <c r="AF294" s="1"/>
      <c r="AG294" s="1"/>
      <c r="AH294" s="1"/>
      <c r="AK294" s="1"/>
      <c r="AL294" s="1"/>
      <c r="AM294" s="1"/>
      <c r="AN294" s="1"/>
      <c r="AO294" s="1"/>
      <c r="AP294" s="1"/>
      <c r="AQ294" s="1"/>
      <c r="AR294" s="1"/>
      <c r="AS294" s="1"/>
      <c r="AV294" s="1"/>
      <c r="AW294" s="1"/>
      <c r="AX294" s="1"/>
      <c r="DV294">
        <v>17</v>
      </c>
      <c r="DW294" t="s">
        <v>43</v>
      </c>
      <c r="DX294" s="8">
        <v>43933</v>
      </c>
      <c r="DY294">
        <v>145</v>
      </c>
      <c r="EA294">
        <v>1</v>
      </c>
      <c r="GV294" s="8">
        <v>43914</v>
      </c>
      <c r="GW294">
        <v>48</v>
      </c>
      <c r="GX294" t="s">
        <v>107</v>
      </c>
      <c r="GY294">
        <v>0</v>
      </c>
      <c r="HC294">
        <v>0</v>
      </c>
    </row>
    <row r="295" spans="1:325" ht="20.25">
      <c r="C295">
        <f>H294*D295</f>
        <v>110.64582898973117</v>
      </c>
      <c r="D295">
        <f>D294</f>
        <v>0.0017640962314499999</v>
      </c>
      <c r="E295" t="s">
        <v>38</v>
      </c>
      <c r="F295" s="10">
        <v>44183</v>
      </c>
      <c r="H295">
        <f>H294+C295</f>
        <v>62831.617064660801</v>
      </c>
      <c r="J295" s="1"/>
      <c r="K295" s="1"/>
      <c r="L295" s="1"/>
      <c r="O295" s="1"/>
      <c r="P295" s="1"/>
      <c r="Q295" s="1"/>
      <c r="V295" s="1"/>
      <c r="W295" s="1"/>
      <c r="Z295" s="1"/>
      <c r="AA295" s="1"/>
      <c r="AB295" s="1"/>
      <c r="AC295" s="1"/>
      <c r="AD295" s="1"/>
      <c r="AE295" s="1"/>
      <c r="AF295" s="1"/>
      <c r="AG295" s="1"/>
      <c r="AH295" s="1"/>
      <c r="AK295" s="1"/>
      <c r="AL295" s="1"/>
      <c r="AM295" s="1"/>
      <c r="AN295" s="1"/>
      <c r="AO295" s="1"/>
      <c r="AP295" s="1"/>
      <c r="AQ295" s="1"/>
      <c r="AR295" s="1"/>
      <c r="AS295" s="1"/>
      <c r="AV295" s="1"/>
      <c r="AW295" s="1"/>
      <c r="AX295" s="1"/>
      <c r="DV295">
        <v>17</v>
      </c>
      <c r="DW295" t="s">
        <v>43</v>
      </c>
      <c r="DX295" s="8">
        <v>43934</v>
      </c>
      <c r="DY295">
        <v>169</v>
      </c>
      <c r="EA295">
        <v>1</v>
      </c>
      <c r="GV295" s="8">
        <v>43915</v>
      </c>
      <c r="GW295">
        <v>48</v>
      </c>
      <c r="GX295" t="s">
        <v>107</v>
      </c>
      <c r="GY295">
        <v>0</v>
      </c>
      <c r="HC295">
        <v>0</v>
      </c>
    </row>
    <row r="296" spans="1:325" ht="20.25">
      <c r="C296">
        <f>H295*D296</f>
        <v>110.84101887967762</v>
      </c>
      <c r="D296">
        <f>D295</f>
        <v>0.0017640962314499999</v>
      </c>
      <c r="E296" t="s">
        <v>40</v>
      </c>
      <c r="F296" s="10">
        <v>44184</v>
      </c>
      <c r="H296">
        <f>H295+C296</f>
        <v>62942.458083540478</v>
      </c>
      <c r="J296" s="1"/>
      <c r="V296" s="1"/>
      <c r="W296" s="1"/>
      <c r="Z296" s="1"/>
      <c r="AA296" s="1"/>
      <c r="AB296" s="1"/>
      <c r="AC296" s="1"/>
      <c r="AD296" s="1"/>
      <c r="AE296" s="1"/>
      <c r="AF296" s="1"/>
      <c r="AG296" s="1"/>
      <c r="AH296" s="1"/>
      <c r="AK296" s="1"/>
      <c r="AL296" s="1"/>
      <c r="AM296" s="1"/>
      <c r="AN296" s="1"/>
      <c r="AO296" s="1"/>
      <c r="AP296" s="1"/>
      <c r="AQ296" s="1"/>
      <c r="AR296" s="1"/>
      <c r="AS296" s="1"/>
      <c r="AV296" s="1"/>
      <c r="AW296" s="1"/>
      <c r="AX296" s="1"/>
      <c r="DV296">
        <v>17</v>
      </c>
      <c r="DW296" t="s">
        <v>43</v>
      </c>
      <c r="DX296" s="8">
        <v>43935</v>
      </c>
      <c r="DY296">
        <v>177</v>
      </c>
      <c r="EA296">
        <v>6</v>
      </c>
      <c r="GV296" s="8">
        <v>43916</v>
      </c>
      <c r="GW296">
        <v>48</v>
      </c>
      <c r="GX296" t="s">
        <v>107</v>
      </c>
      <c r="GY296">
        <v>0</v>
      </c>
      <c r="HC296">
        <v>0</v>
      </c>
    </row>
    <row r="297" spans="1:325" ht="20.25">
      <c r="C297">
        <f>H296*D297</f>
        <v>111.03655310337334</v>
      </c>
      <c r="D297">
        <f>D296</f>
        <v>0.0017640962314499999</v>
      </c>
      <c r="E297" t="s">
        <v>30</v>
      </c>
      <c r="F297" s="10">
        <v>44185</v>
      </c>
      <c r="H297">
        <f>H296+C297</f>
        <v>63053.494636643853</v>
      </c>
      <c r="J297" s="1"/>
      <c r="V297" s="1"/>
      <c r="W297" s="1"/>
      <c r="Z297" s="1"/>
      <c r="AA297" s="1"/>
      <c r="AB297" s="1"/>
      <c r="AC297" s="1"/>
      <c r="AD297" s="1"/>
      <c r="AE297" s="1"/>
      <c r="AF297" s="1"/>
      <c r="AG297" s="1"/>
      <c r="AH297" s="1"/>
      <c r="AK297" s="1"/>
      <c r="AL297" s="1"/>
      <c r="AM297" s="1"/>
      <c r="AN297" s="1"/>
      <c r="AO297" s="1"/>
      <c r="AP297" s="1"/>
      <c r="AQ297" s="1"/>
      <c r="AR297" s="1"/>
      <c r="AS297" s="1"/>
      <c r="AV297" s="1"/>
      <c r="AW297" s="1"/>
      <c r="AX297" s="1"/>
      <c r="DV297">
        <v>17</v>
      </c>
      <c r="DW297" t="s">
        <v>43</v>
      </c>
      <c r="DX297" s="8">
        <v>43936</v>
      </c>
      <c r="DY297">
        <v>180</v>
      </c>
      <c r="EA297">
        <v>9</v>
      </c>
      <c r="GV297" s="8">
        <v>43917</v>
      </c>
      <c r="GW297">
        <v>48</v>
      </c>
      <c r="GX297" t="s">
        <v>107</v>
      </c>
      <c r="GY297">
        <v>0</v>
      </c>
      <c r="HC297">
        <v>0</v>
      </c>
    </row>
    <row r="298" spans="1:325" ht="20.25">
      <c r="C298">
        <f>H297*D298</f>
        <v>111.2324322682562</v>
      </c>
      <c r="D298">
        <f>D297</f>
        <v>0.0017640962314499999</v>
      </c>
      <c r="E298" t="s">
        <v>33</v>
      </c>
      <c r="F298" s="10">
        <v>44186</v>
      </c>
      <c r="H298">
        <f>H297+C298</f>
        <v>63164.727068912107</v>
      </c>
      <c r="J298" s="1"/>
      <c r="V298" s="1"/>
      <c r="W298" s="1"/>
      <c r="Z298" s="1"/>
      <c r="AA298" s="1"/>
      <c r="AB298" s="1"/>
      <c r="AC298" s="1"/>
      <c r="AD298" s="1"/>
      <c r="AE298" s="1"/>
      <c r="AF298" s="1"/>
      <c r="AG298" s="1"/>
      <c r="AH298" s="1"/>
      <c r="AK298" s="1"/>
      <c r="AL298" s="1"/>
      <c r="AM298" s="1"/>
      <c r="AN298" s="1"/>
      <c r="AO298" s="1"/>
      <c r="AP298" s="1"/>
      <c r="AQ298" s="1"/>
      <c r="AR298" s="1"/>
      <c r="AS298" s="1"/>
      <c r="AV298" s="1"/>
      <c r="AW298" s="1"/>
      <c r="AX298" s="1"/>
      <c r="DV298">
        <v>17</v>
      </c>
      <c r="DW298" t="s">
        <v>43</v>
      </c>
      <c r="DX298" s="8">
        <v>43937</v>
      </c>
      <c r="DY298">
        <v>213</v>
      </c>
      <c r="DZ298">
        <v>355</v>
      </c>
      <c r="EA298">
        <v>10</v>
      </c>
      <c r="GV298" s="8">
        <v>43918</v>
      </c>
      <c r="GW298">
        <v>48</v>
      </c>
      <c r="GX298" t="s">
        <v>107</v>
      </c>
      <c r="GY298">
        <v>0</v>
      </c>
      <c r="HC298">
        <v>0</v>
      </c>
    </row>
    <row r="299" spans="1:325" ht="20.25">
      <c r="C299">
        <f>H298*D299</f>
        <v>111.42865698283565</v>
      </c>
      <c r="D299">
        <f>D298</f>
        <v>0.0017640962314499999</v>
      </c>
      <c r="E299" t="s">
        <v>34</v>
      </c>
      <c r="F299" s="10">
        <v>44187</v>
      </c>
      <c r="H299">
        <f>H298+C299</f>
        <v>63276.15572589494</v>
      </c>
      <c r="J299" s="1"/>
      <c r="V299" s="1"/>
      <c r="W299" s="1"/>
      <c r="Z299" s="1"/>
      <c r="AA299" s="1"/>
      <c r="AB299" s="1"/>
      <c r="AC299" s="1"/>
      <c r="AD299" s="1"/>
      <c r="AE299" s="1"/>
      <c r="AF299" s="1"/>
      <c r="AG299" s="1"/>
      <c r="AH299" s="1"/>
      <c r="AK299" s="1"/>
      <c r="AL299" s="1"/>
      <c r="AM299" s="1"/>
      <c r="AN299" s="1"/>
      <c r="AO299" s="1"/>
      <c r="AP299" s="1"/>
      <c r="AQ299" s="1"/>
      <c r="AR299" s="1"/>
      <c r="AS299" s="1"/>
      <c r="AV299" s="1"/>
      <c r="AW299" s="1"/>
      <c r="AX299" s="1"/>
      <c r="DV299">
        <v>17</v>
      </c>
      <c r="DW299" t="s">
        <v>43</v>
      </c>
      <c r="DX299" s="8">
        <v>43938</v>
      </c>
      <c r="DY299">
        <v>224</v>
      </c>
      <c r="DZ299">
        <v>373</v>
      </c>
      <c r="EA299">
        <v>14</v>
      </c>
      <c r="GV299" s="8">
        <v>43919</v>
      </c>
      <c r="GW299">
        <v>48</v>
      </c>
      <c r="GX299" t="s">
        <v>107</v>
      </c>
      <c r="GY299">
        <v>1</v>
      </c>
      <c r="HC299">
        <v>0</v>
      </c>
    </row>
    <row r="300" spans="1:325" ht="20.25">
      <c r="C300">
        <f>H299*D300</f>
        <v>111.62522785669459</v>
      </c>
      <c r="D300">
        <f>D299</f>
        <v>0.0017640962314499999</v>
      </c>
      <c r="E300" t="s">
        <v>35</v>
      </c>
      <c r="F300" s="10">
        <v>44188</v>
      </c>
      <c r="H300">
        <f>H299+C300</f>
        <v>63387.780953751637</v>
      </c>
      <c r="I300" s="1"/>
      <c r="J300" s="1"/>
      <c r="K300" s="1"/>
      <c r="L300" s="1"/>
      <c r="O300" s="1"/>
      <c r="P300" s="1"/>
      <c r="Q300" s="1"/>
      <c r="V300" s="1"/>
      <c r="W300" s="1"/>
      <c r="Z300" s="1"/>
      <c r="AA300" s="1"/>
      <c r="AB300" s="1"/>
      <c r="AC300" s="1"/>
      <c r="AD300" s="1"/>
      <c r="AE300" s="1"/>
      <c r="AF300" s="1"/>
      <c r="AG300" s="1"/>
      <c r="AH300" s="1"/>
      <c r="AK300" s="1"/>
      <c r="AL300" s="1"/>
      <c r="AM300" s="1"/>
      <c r="AN300" s="1"/>
      <c r="AO300" s="1"/>
      <c r="AP300" s="1"/>
      <c r="AQ300" s="1"/>
      <c r="AR300" s="1"/>
      <c r="AS300" s="1"/>
      <c r="AV300" s="1"/>
      <c r="AW300" s="1"/>
      <c r="AX300" s="1"/>
      <c r="DV300">
        <v>17</v>
      </c>
      <c r="DW300" t="s">
        <v>43</v>
      </c>
      <c r="DX300" s="8">
        <v>43939</v>
      </c>
      <c r="DY300">
        <v>238</v>
      </c>
      <c r="DZ300">
        <v>396</v>
      </c>
      <c r="EA300">
        <v>15</v>
      </c>
      <c r="GV300" s="8">
        <v>43920</v>
      </c>
      <c r="GW300">
        <v>48</v>
      </c>
      <c r="GX300" t="s">
        <v>107</v>
      </c>
      <c r="GY300">
        <v>2</v>
      </c>
      <c r="HC300">
        <v>0</v>
      </c>
    </row>
    <row r="301" spans="1:325" ht="20.25">
      <c r="C301">
        <f>H300*D301</f>
        <v>111.82214550049135</v>
      </c>
      <c r="D301">
        <f>D300</f>
        <v>0.0017640962314499999</v>
      </c>
      <c r="E301" t="s">
        <v>37</v>
      </c>
      <c r="F301" s="10">
        <v>44189</v>
      </c>
      <c r="H301">
        <f>H300+C301</f>
        <v>63499.603099252126</v>
      </c>
      <c r="I301" s="1"/>
      <c r="J301" s="1"/>
      <c r="K301" s="1"/>
      <c r="L301" s="1"/>
      <c r="O301" s="1"/>
      <c r="P301" s="1"/>
      <c r="Q301" s="1"/>
      <c r="V301" s="1"/>
      <c r="W301" s="1"/>
      <c r="Z301" s="1"/>
      <c r="AA301" s="1"/>
      <c r="AB301" s="1"/>
      <c r="AC301" s="1"/>
      <c r="AD301" s="1"/>
      <c r="AE301" s="1"/>
      <c r="AF301" s="1"/>
      <c r="AG301" s="1"/>
      <c r="AH301" s="1"/>
      <c r="AK301" s="1"/>
      <c r="AL301" s="1"/>
      <c r="AM301" s="1"/>
      <c r="AN301" s="1"/>
      <c r="AO301" s="1"/>
      <c r="AP301" s="1"/>
      <c r="AQ301" s="1"/>
      <c r="AR301" s="1"/>
      <c r="AS301" s="1"/>
      <c r="AV301" s="1"/>
      <c r="AW301" s="1"/>
      <c r="AX301" s="1"/>
      <c r="DV301">
        <v>17</v>
      </c>
      <c r="DW301" t="s">
        <v>43</v>
      </c>
      <c r="DX301" s="8">
        <v>43940</v>
      </c>
      <c r="DY301">
        <v>241</v>
      </c>
      <c r="DZ301">
        <v>401</v>
      </c>
      <c r="EA301">
        <v>15</v>
      </c>
      <c r="GV301" s="8">
        <v>43921</v>
      </c>
      <c r="GW301">
        <v>48</v>
      </c>
      <c r="GX301" t="s">
        <v>107</v>
      </c>
      <c r="GY301">
        <v>2</v>
      </c>
      <c r="HC301">
        <v>0</v>
      </c>
    </row>
    <row r="302" spans="1:325" ht="20.25">
      <c r="C302">
        <f>H301*D302</f>
        <v>112.01941052596142</v>
      </c>
      <c r="D302">
        <f>D301</f>
        <v>0.0017640962314499999</v>
      </c>
      <c r="E302" t="s">
        <v>38</v>
      </c>
      <c r="F302" s="10">
        <v>44190</v>
      </c>
      <c r="H302">
        <f>H301+C302</f>
        <v>63611.622509778084</v>
      </c>
      <c r="I302" s="1"/>
      <c r="J302" s="1"/>
      <c r="K302" s="1"/>
      <c r="L302" s="1"/>
      <c r="O302" s="1"/>
      <c r="P302" s="1"/>
      <c r="Q302" s="1"/>
      <c r="V302" s="1"/>
      <c r="W302" s="1"/>
      <c r="Z302" s="1"/>
      <c r="AA302" s="1"/>
      <c r="AB302" s="1"/>
      <c r="AC302" s="1"/>
      <c r="AD302" s="1"/>
      <c r="AE302" s="1"/>
      <c r="AF302" s="1"/>
      <c r="AG302" s="1"/>
      <c r="AH302" s="1"/>
      <c r="AK302" s="1"/>
      <c r="AL302" s="1"/>
      <c r="AM302" s="1"/>
      <c r="AN302" s="1"/>
      <c r="AO302" s="1"/>
      <c r="AP302" s="1"/>
      <c r="AQ302" s="1"/>
      <c r="AR302" s="1"/>
      <c r="AS302" s="1"/>
      <c r="AV302" s="1"/>
      <c r="AW302" s="1"/>
      <c r="AX302" s="1"/>
      <c r="DV302">
        <v>17</v>
      </c>
      <c r="DW302" t="s">
        <v>43</v>
      </c>
      <c r="DX302" s="8">
        <v>43941</v>
      </c>
      <c r="DY302">
        <v>271</v>
      </c>
      <c r="DZ302">
        <v>451</v>
      </c>
      <c r="EA302">
        <v>20</v>
      </c>
      <c r="GV302" s="8">
        <v>43922</v>
      </c>
      <c r="GW302">
        <v>48</v>
      </c>
      <c r="GX302" t="s">
        <v>107</v>
      </c>
      <c r="GY302">
        <v>4</v>
      </c>
      <c r="HC302">
        <v>0</v>
      </c>
    </row>
    <row r="303" spans="1:325" ht="20.25">
      <c r="C303">
        <f>H302*D303</f>
        <v>112.2170235459195</v>
      </c>
      <c r="D303">
        <f>D302</f>
        <v>0.0017640962314499999</v>
      </c>
      <c r="E303" t="s">
        <v>40</v>
      </c>
      <c r="F303" s="10">
        <v>44191</v>
      </c>
      <c r="H303">
        <f>H302+C303</f>
        <v>63723.839533324004</v>
      </c>
      <c r="I303" s="1"/>
      <c r="J303" s="1"/>
      <c r="K303" s="1"/>
      <c r="L303" s="1"/>
      <c r="O303" s="1"/>
      <c r="P303" s="1"/>
      <c r="Q303" s="1"/>
      <c r="V303" s="1"/>
      <c r="W303" s="1"/>
      <c r="Z303" s="1"/>
      <c r="AA303" s="1"/>
      <c r="AB303" s="1"/>
      <c r="AC303" s="1"/>
      <c r="AD303" s="1"/>
      <c r="AE303" s="1"/>
      <c r="AF303" s="1"/>
      <c r="AG303" s="1"/>
      <c r="AH303" s="1"/>
      <c r="AK303" s="1"/>
      <c r="AL303" s="1"/>
      <c r="AM303" s="1"/>
      <c r="AN303" s="1"/>
      <c r="AO303" s="1"/>
      <c r="AP303" s="1"/>
      <c r="AQ303" s="1"/>
      <c r="AR303" s="1"/>
      <c r="AS303" s="1"/>
      <c r="AV303" s="1"/>
      <c r="AW303" s="1"/>
      <c r="AX303" s="1"/>
      <c r="DV303">
        <v>17</v>
      </c>
      <c r="DW303" t="s">
        <v>43</v>
      </c>
      <c r="DX303" s="8">
        <v>43942</v>
      </c>
      <c r="DY303">
        <v>281</v>
      </c>
      <c r="DZ303">
        <v>468</v>
      </c>
      <c r="EA303">
        <v>24</v>
      </c>
      <c r="GV303" s="8">
        <v>43923</v>
      </c>
      <c r="GW303">
        <v>48</v>
      </c>
      <c r="GX303" t="s">
        <v>107</v>
      </c>
      <c r="GY303">
        <v>4</v>
      </c>
      <c r="HC303">
        <v>1</v>
      </c>
    </row>
    <row r="304" spans="1:325" ht="20.25">
      <c r="C304">
        <f>H303*D304</f>
        <v>112.4149851742614</v>
      </c>
      <c r="D304">
        <f>D303</f>
        <v>0.0017640962314499999</v>
      </c>
      <c r="E304" t="s">
        <v>30</v>
      </c>
      <c r="F304" s="10">
        <v>44192</v>
      </c>
      <c r="H304">
        <f>H303+C304</f>
        <v>63836.254518498266</v>
      </c>
      <c r="I304" s="1"/>
      <c r="J304" s="1"/>
      <c r="K304" s="1"/>
      <c r="L304" s="1"/>
      <c r="O304" s="1"/>
      <c r="P304" s="1"/>
      <c r="Q304" s="1"/>
      <c r="V304" s="1"/>
      <c r="W304" s="1"/>
      <c r="Z304" s="1"/>
      <c r="AA304" s="1"/>
      <c r="AB304" s="1"/>
      <c r="AC304" s="1"/>
      <c r="AD304" s="1"/>
      <c r="AE304" s="1"/>
      <c r="AF304" s="1"/>
      <c r="AG304" s="1"/>
      <c r="AH304" s="1"/>
      <c r="AK304" s="1"/>
      <c r="AL304" s="1"/>
      <c r="AM304" s="1"/>
      <c r="AN304" s="1"/>
      <c r="AO304" s="1"/>
      <c r="AP304" s="1"/>
      <c r="AQ304" s="1"/>
      <c r="AR304" s="1"/>
      <c r="AS304" s="1"/>
      <c r="AV304" s="1"/>
      <c r="AW304" s="1"/>
      <c r="AX304" s="1"/>
      <c r="DV304">
        <v>17</v>
      </c>
      <c r="DW304" t="s">
        <v>43</v>
      </c>
      <c r="DX304" s="8">
        <v>43943</v>
      </c>
      <c r="DY304">
        <v>288</v>
      </c>
      <c r="DZ304">
        <v>480</v>
      </c>
      <c r="EA304">
        <v>27</v>
      </c>
      <c r="GV304" s="8">
        <v>43924</v>
      </c>
      <c r="GW304">
        <v>48</v>
      </c>
      <c r="GX304" t="s">
        <v>107</v>
      </c>
      <c r="GY304">
        <v>7</v>
      </c>
      <c r="HC304">
        <v>1</v>
      </c>
    </row>
    <row r="305" spans="1:325" ht="20.25">
      <c r="C305">
        <f>H304*D305</f>
        <v>112.61329602596582</v>
      </c>
      <c r="D305">
        <f>D304</f>
        <v>0.0017640962314499999</v>
      </c>
      <c r="E305" t="s">
        <v>33</v>
      </c>
      <c r="F305" s="10">
        <v>44193</v>
      </c>
      <c r="H305">
        <f>H304+C305</f>
        <v>63948.86781452423</v>
      </c>
      <c r="I305" s="1"/>
      <c r="J305" s="1"/>
      <c r="K305" s="1"/>
      <c r="L305" s="1"/>
      <c r="O305" s="1"/>
      <c r="P305" s="1"/>
      <c r="Q305" s="1"/>
      <c r="V305" s="1"/>
      <c r="W305" s="1"/>
      <c r="Z305" s="1"/>
      <c r="AA305" s="1"/>
      <c r="AB305" s="1"/>
      <c r="AC305" s="1"/>
      <c r="AD305" s="1"/>
      <c r="AE305" s="1"/>
      <c r="AF305" s="1"/>
      <c r="AG305" s="1"/>
      <c r="AH305" s="1"/>
      <c r="AK305" s="1"/>
      <c r="AL305" s="1"/>
      <c r="AM305" s="1"/>
      <c r="AN305" s="1"/>
      <c r="AO305" s="1"/>
      <c r="AP305" s="1"/>
      <c r="AQ305" s="1"/>
      <c r="AR305" s="1"/>
      <c r="AS305" s="1"/>
      <c r="AV305" s="1"/>
      <c r="AW305" s="1"/>
      <c r="AX305" s="1"/>
      <c r="DV305">
        <v>17</v>
      </c>
      <c r="DW305" t="s">
        <v>43</v>
      </c>
      <c r="DX305" s="8">
        <v>43944</v>
      </c>
      <c r="DY305">
        <v>291</v>
      </c>
      <c r="DZ305">
        <v>485</v>
      </c>
      <c r="EA305">
        <v>27</v>
      </c>
      <c r="GV305" s="8">
        <v>43925</v>
      </c>
      <c r="GW305">
        <v>48</v>
      </c>
      <c r="GX305" t="s">
        <v>107</v>
      </c>
      <c r="GY305">
        <v>7</v>
      </c>
      <c r="HC305">
        <v>1</v>
      </c>
    </row>
    <row r="306" spans="1:325" ht="20.25">
      <c r="C306">
        <f>H305*D306</f>
        <v>112.81195671709639</v>
      </c>
      <c r="D306">
        <f>D305</f>
        <v>0.0017640962314499999</v>
      </c>
      <c r="E306" t="s">
        <v>34</v>
      </c>
      <c r="F306" s="10">
        <v>44194</v>
      </c>
      <c r="H306">
        <f>H305+C306</f>
        <v>64061.679771241324</v>
      </c>
      <c r="I306" s="1"/>
      <c r="J306" s="1"/>
      <c r="K306" s="1"/>
      <c r="L306" s="1"/>
      <c r="O306" s="1"/>
      <c r="P306" s="1"/>
      <c r="Q306" s="1"/>
      <c r="V306" s="1"/>
      <c r="W306" s="1"/>
      <c r="Z306" s="1"/>
      <c r="AA306" s="1"/>
      <c r="AB306" s="1"/>
      <c r="AC306" s="1"/>
      <c r="AD306" s="1"/>
      <c r="AE306" s="1"/>
      <c r="AF306" s="1"/>
      <c r="AG306" s="1"/>
      <c r="AH306" s="1"/>
      <c r="AK306" s="1"/>
      <c r="AL306" s="1"/>
      <c r="AM306" s="1"/>
      <c r="AN306" s="1"/>
      <c r="AO306" s="1"/>
      <c r="AP306" s="1"/>
      <c r="AQ306" s="1"/>
      <c r="AR306" s="1"/>
      <c r="AS306" s="1"/>
      <c r="AV306" s="1"/>
      <c r="AW306" s="1"/>
      <c r="AX306" s="1"/>
      <c r="DV306">
        <v>17</v>
      </c>
      <c r="DW306" t="s">
        <v>43</v>
      </c>
      <c r="DX306" s="8">
        <v>43945</v>
      </c>
      <c r="DY306">
        <v>300</v>
      </c>
      <c r="DZ306">
        <v>500</v>
      </c>
      <c r="EA306">
        <v>34</v>
      </c>
      <c r="GV306" s="8">
        <v>43926</v>
      </c>
      <c r="GW306">
        <v>48</v>
      </c>
      <c r="GX306" t="s">
        <v>107</v>
      </c>
      <c r="GY306">
        <v>8</v>
      </c>
      <c r="HC306">
        <v>1</v>
      </c>
    </row>
    <row r="307" spans="1:325" ht="20.25">
      <c r="C307">
        <f>H306*D307</f>
        <v>113.01096786480352</v>
      </c>
      <c r="D307">
        <f>D306</f>
        <v>0.0017640962314499999</v>
      </c>
      <c r="E307" t="s">
        <v>35</v>
      </c>
      <c r="F307" s="10">
        <v>44195</v>
      </c>
      <c r="H307">
        <f>H306+C307</f>
        <v>64174.690739106125</v>
      </c>
      <c r="V307" s="1"/>
      <c r="W307" s="1"/>
      <c r="Z307" s="1"/>
      <c r="AA307" s="1"/>
      <c r="AB307" s="1"/>
      <c r="AC307" s="1"/>
      <c r="AD307" s="1"/>
      <c r="AE307" s="1"/>
      <c r="AF307" s="1"/>
      <c r="AG307" s="1"/>
      <c r="AH307" s="1"/>
      <c r="AK307" s="1"/>
      <c r="AL307" s="1"/>
      <c r="AM307" s="1"/>
      <c r="AN307" s="1"/>
      <c r="AO307" s="1"/>
      <c r="AP307" s="1"/>
      <c r="AQ307" s="1"/>
      <c r="AR307" s="1"/>
      <c r="AS307" s="1"/>
      <c r="AV307" s="1"/>
      <c r="AW307" s="1"/>
      <c r="AX307" s="1"/>
      <c r="DV307">
        <v>17</v>
      </c>
      <c r="DW307" t="s">
        <v>43</v>
      </c>
      <c r="DX307" s="8">
        <v>43946</v>
      </c>
      <c r="DY307">
        <v>314</v>
      </c>
      <c r="DZ307">
        <v>523</v>
      </c>
      <c r="EA307">
        <v>37</v>
      </c>
      <c r="GV307" s="8">
        <v>43927</v>
      </c>
      <c r="GW307">
        <v>48</v>
      </c>
      <c r="GX307" t="s">
        <v>107</v>
      </c>
      <c r="GY307">
        <v>9</v>
      </c>
      <c r="HC307">
        <v>3</v>
      </c>
    </row>
    <row r="308" spans="1:325" ht="20.25">
      <c r="D308">
        <f>D307</f>
        <v>0.0017640962314499999</v>
      </c>
      <c r="E308" t="s">
        <v>37</v>
      </c>
      <c r="F308" s="10">
        <v>44196</v>
      </c>
      <c r="V308" s="1"/>
      <c r="W308" s="1"/>
      <c r="Z308" s="1"/>
      <c r="AA308" s="1"/>
      <c r="AB308" s="1"/>
      <c r="AC308" s="1"/>
      <c r="AD308" s="1"/>
      <c r="AE308" s="1"/>
      <c r="AF308" s="1"/>
      <c r="AG308" s="1"/>
      <c r="AH308" s="1"/>
      <c r="AK308" s="1"/>
      <c r="AL308" s="1"/>
      <c r="AM308" s="1"/>
      <c r="AN308" s="1"/>
      <c r="AO308" s="1"/>
      <c r="AP308" s="1"/>
      <c r="AQ308" s="1"/>
      <c r="AR308" s="1"/>
      <c r="AS308" s="1"/>
      <c r="AV308" s="1"/>
      <c r="AW308" s="1"/>
      <c r="AX308" s="1"/>
      <c r="DV308">
        <v>17</v>
      </c>
      <c r="DW308" t="s">
        <v>43</v>
      </c>
      <c r="DX308" s="8">
        <v>43947</v>
      </c>
      <c r="DY308">
        <v>321</v>
      </c>
      <c r="DZ308">
        <v>535</v>
      </c>
      <c r="EA308">
        <v>38</v>
      </c>
      <c r="GV308" s="8">
        <v>43928</v>
      </c>
      <c r="GW308">
        <v>48</v>
      </c>
      <c r="GX308" t="s">
        <v>107</v>
      </c>
      <c r="GY308">
        <v>10</v>
      </c>
      <c r="HC308">
        <v>3</v>
      </c>
    </row>
    <row r="309" spans="1:325" ht="20.25">
      <c r="D309">
        <f>D308</f>
        <v>0.0017640962314499999</v>
      </c>
      <c r="E309" t="s">
        <v>38</v>
      </c>
      <c r="F309" s="10">
        <v>44197</v>
      </c>
      <c r="H309" s="1" t="inlineStr">
        <is>
          <t>For the year 2021:</t>
        </is>
      </c>
      <c r="V309" s="1"/>
      <c r="W309" s="1"/>
      <c r="Z309" s="1"/>
      <c r="AA309" s="1"/>
      <c r="AB309" s="1"/>
      <c r="AC309" s="1"/>
      <c r="AD309" s="1"/>
      <c r="AE309" s="1"/>
      <c r="AF309" s="1"/>
      <c r="AG309" s="1"/>
      <c r="AH309" s="1"/>
      <c r="AK309" s="1"/>
      <c r="AL309" s="1"/>
      <c r="AM309" s="1"/>
      <c r="AN309" s="1"/>
      <c r="AO309" s="1"/>
      <c r="AP309" s="1"/>
      <c r="AQ309" s="1"/>
      <c r="AR309" s="1"/>
      <c r="AS309" s="1"/>
      <c r="AV309" s="1"/>
      <c r="AW309" s="1"/>
      <c r="AX309" s="1"/>
      <c r="DV309">
        <v>17</v>
      </c>
      <c r="DW309" t="s">
        <v>43</v>
      </c>
      <c r="DX309" s="8">
        <v>43948</v>
      </c>
      <c r="DY309">
        <v>333</v>
      </c>
      <c r="DZ309">
        <v>555</v>
      </c>
      <c r="EA309">
        <v>42</v>
      </c>
      <c r="GV309" s="8">
        <v>43929</v>
      </c>
      <c r="GW309">
        <v>48</v>
      </c>
      <c r="GX309" t="s">
        <v>107</v>
      </c>
      <c r="GY309">
        <v>10</v>
      </c>
      <c r="HC309">
        <v>3</v>
      </c>
    </row>
    <row r="310" spans="1:325" ht="20.25">
      <c r="D310">
        <f>D309</f>
        <v>0.0017640962314499999</v>
      </c>
      <c r="E310" t="s">
        <v>40</v>
      </c>
      <c r="F310" s="10">
        <v>44198</v>
      </c>
      <c r="H310" s="1"/>
      <c r="V310" s="1"/>
      <c r="W310" s="1"/>
      <c r="Z310" s="1"/>
      <c r="AA310" s="1"/>
      <c r="AB310" s="1"/>
      <c r="AC310" s="1"/>
      <c r="AD310" s="1"/>
      <c r="AE310" s="1"/>
      <c r="AF310" s="1"/>
      <c r="AG310" s="1"/>
      <c r="AH310" s="1"/>
      <c r="AK310" s="1"/>
      <c r="AL310" s="1"/>
      <c r="AM310" s="1"/>
      <c r="AN310" s="1"/>
      <c r="AO310" s="1"/>
      <c r="AP310" s="1"/>
      <c r="AQ310" s="1"/>
      <c r="AR310" s="1"/>
      <c r="AS310" s="1"/>
      <c r="AV310" s="1"/>
      <c r="AW310" s="1"/>
      <c r="AX310" s="1"/>
      <c r="DV310">
        <v>17</v>
      </c>
      <c r="DW310" t="s">
        <v>43</v>
      </c>
      <c r="DX310" s="8">
        <v>43949</v>
      </c>
      <c r="DY310">
        <v>337</v>
      </c>
      <c r="DZ310">
        <v>561</v>
      </c>
      <c r="EA310">
        <v>46</v>
      </c>
      <c r="GV310" s="8">
        <v>43930</v>
      </c>
      <c r="GW310">
        <v>48</v>
      </c>
      <c r="GX310" t="s">
        <v>107</v>
      </c>
      <c r="GY310">
        <v>12</v>
      </c>
      <c r="HC310">
        <v>3</v>
      </c>
    </row>
    <row r="311" spans="1:325" ht="20.25">
      <c r="D311">
        <f>D310</f>
        <v>0.0017640962314499999</v>
      </c>
      <c r="E311" t="s">
        <v>30</v>
      </c>
      <c r="F311" s="10">
        <v>44199</v>
      </c>
      <c r="H311" s="1" t="inlineStr">
        <is>
          <t>Use SUNDAY 1/3, 2/28, 3/7, 4/4, 5/9, 6/6, 7/11, 8/8, 9/5, 10/10, 11/7 and 12/12</t>
        </is>
      </c>
      <c r="V311" s="1"/>
      <c r="W311" s="1"/>
      <c r="Z311" s="1"/>
      <c r="AA311" s="1"/>
      <c r="AB311" s="1"/>
      <c r="AC311" s="1"/>
      <c r="AD311" s="1"/>
      <c r="AE311" s="1"/>
      <c r="AF311" s="1"/>
      <c r="AG311" s="1"/>
      <c r="AH311" s="1"/>
      <c r="AK311" s="1"/>
      <c r="AL311" s="1"/>
      <c r="AM311" s="1"/>
      <c r="AN311" s="1"/>
      <c r="AO311" s="1"/>
      <c r="AP311" s="1"/>
      <c r="AQ311" s="1"/>
      <c r="AR311" s="1"/>
      <c r="AS311" s="1"/>
      <c r="AV311" s="1"/>
      <c r="AW311" s="1"/>
      <c r="AX311" s="1"/>
      <c r="DV311">
        <v>17</v>
      </c>
      <c r="DW311" t="s">
        <v>43</v>
      </c>
      <c r="DX311" s="8">
        <v>43950</v>
      </c>
      <c r="DY311">
        <v>343</v>
      </c>
      <c r="DZ311">
        <v>571</v>
      </c>
      <c r="EA311">
        <v>49</v>
      </c>
      <c r="GV311" s="8">
        <v>43931</v>
      </c>
      <c r="GW311">
        <v>48</v>
      </c>
      <c r="GX311" t="s">
        <v>107</v>
      </c>
      <c r="GY311">
        <v>12</v>
      </c>
      <c r="HC311">
        <v>3</v>
      </c>
    </row>
    <row r="312" spans="1:325" ht="20.25">
      <c r="D312">
        <f>D311</f>
        <v>0.0017640962314499999</v>
      </c>
      <c r="E312" t="s">
        <v>33</v>
      </c>
      <c r="F312" s="10">
        <v>44200</v>
      </c>
      <c r="V312" s="1"/>
      <c r="W312" s="1"/>
      <c r="Z312" s="1"/>
      <c r="AA312" s="1"/>
      <c r="AB312" s="1"/>
      <c r="AC312" s="1"/>
      <c r="AD312" s="1"/>
      <c r="AE312" s="1"/>
      <c r="AF312" s="1"/>
      <c r="AG312" s="1"/>
      <c r="AH312" s="1"/>
      <c r="AK312" s="1"/>
      <c r="AL312" s="1"/>
      <c r="AM312" s="1"/>
      <c r="AN312" s="1"/>
      <c r="AO312" s="1"/>
      <c r="AP312" s="1"/>
      <c r="AQ312" s="1"/>
      <c r="AR312" s="1"/>
      <c r="AS312" s="1"/>
      <c r="AV312" s="1"/>
      <c r="AW312" s="1"/>
      <c r="AX312" s="1"/>
      <c r="DV312">
        <v>17</v>
      </c>
      <c r="DW312" t="s">
        <v>43</v>
      </c>
      <c r="DX312" s="8">
        <v>43951</v>
      </c>
      <c r="DY312">
        <v>360</v>
      </c>
      <c r="DZ312">
        <v>600</v>
      </c>
      <c r="EA312">
        <v>49</v>
      </c>
      <c r="GV312" s="8">
        <v>43932</v>
      </c>
      <c r="GW312">
        <v>48</v>
      </c>
      <c r="GX312" t="s">
        <v>107</v>
      </c>
      <c r="GY312">
        <v>13</v>
      </c>
      <c r="HC312">
        <v>3</v>
      </c>
    </row>
    <row r="313" spans="1:325" ht="20.25">
      <c r="D313">
        <f>D312</f>
        <v>0.0017640962314499999</v>
      </c>
      <c r="E313" t="s">
        <v>34</v>
      </c>
      <c r="F313" s="10">
        <v>44201</v>
      </c>
      <c r="V313" s="1"/>
      <c r="W313" s="1"/>
      <c r="Z313" s="1"/>
      <c r="AA313" s="1"/>
      <c r="AB313" s="1"/>
      <c r="AC313" s="1"/>
      <c r="AD313" s="1"/>
      <c r="AE313" s="1"/>
      <c r="AF313" s="1"/>
      <c r="AG313" s="1"/>
      <c r="AH313" s="1"/>
      <c r="AK313" s="1"/>
      <c r="AL313" s="1"/>
      <c r="AM313" s="1"/>
      <c r="AN313" s="1"/>
      <c r="AO313" s="1"/>
      <c r="AP313" s="1"/>
      <c r="AQ313" s="1"/>
      <c r="AR313" s="1"/>
      <c r="AS313" s="1"/>
      <c r="AV313" s="1"/>
      <c r="AW313" s="1"/>
      <c r="AX313" s="1"/>
      <c r="DV313">
        <v>17</v>
      </c>
      <c r="DW313" t="s">
        <v>43</v>
      </c>
      <c r="DX313" s="8">
        <v>43952</v>
      </c>
      <c r="DY313">
        <v>380</v>
      </c>
      <c r="DZ313">
        <v>633</v>
      </c>
      <c r="EA313">
        <v>49</v>
      </c>
      <c r="GV313" s="8">
        <v>43933</v>
      </c>
      <c r="GW313">
        <v>48</v>
      </c>
      <c r="GX313" t="s">
        <v>107</v>
      </c>
      <c r="GY313">
        <v>13</v>
      </c>
      <c r="HC313">
        <v>3</v>
      </c>
    </row>
    <row r="314" spans="1:325" ht="20.25">
      <c r="D314">
        <f>D313</f>
        <v>0.0017640962314499999</v>
      </c>
      <c r="E314" t="s">
        <v>35</v>
      </c>
      <c r="F314" s="10">
        <v>44202</v>
      </c>
      <c r="V314" s="1"/>
      <c r="W314" s="1"/>
      <c r="Z314" s="1"/>
      <c r="AA314" s="1"/>
      <c r="AB314" s="1"/>
      <c r="AC314" s="1"/>
      <c r="AD314" s="1"/>
      <c r="AE314" s="1"/>
      <c r="AF314" s="1"/>
      <c r="AG314" s="1"/>
      <c r="AH314" s="1"/>
      <c r="AK314" s="1"/>
      <c r="AL314" s="1"/>
      <c r="AM314" s="1"/>
      <c r="AN314" s="1"/>
      <c r="AO314" s="1"/>
      <c r="AP314" s="1"/>
      <c r="AQ314" s="1"/>
      <c r="AR314" s="1"/>
      <c r="AS314" s="1"/>
      <c r="AV314" s="1"/>
      <c r="AW314" s="1"/>
      <c r="AX314" s="1"/>
      <c r="DV314">
        <v>17</v>
      </c>
      <c r="DW314" t="s">
        <v>43</v>
      </c>
      <c r="DX314" s="8">
        <v>43953</v>
      </c>
      <c r="DY314">
        <v>395</v>
      </c>
      <c r="DZ314">
        <v>658</v>
      </c>
      <c r="EA314">
        <v>51</v>
      </c>
      <c r="GV314" s="8">
        <v>43934</v>
      </c>
      <c r="GW314">
        <v>48</v>
      </c>
      <c r="GX314" t="s">
        <v>107</v>
      </c>
      <c r="GY314">
        <v>13</v>
      </c>
      <c r="HC314">
        <v>3</v>
      </c>
    </row>
    <row r="315" spans="1:325" ht="20.25">
      <c r="D315">
        <f>D314</f>
        <v>0.0017640962314499999</v>
      </c>
      <c r="E315" t="s">
        <v>37</v>
      </c>
      <c r="F315" t="inlineStr">
        <is>
          <t>7 jan 2021 - WEEK ONE</t>
        </is>
      </c>
      <c r="H315" t="inlineStr">
        <is>
          <t>ISO Week ONE always contains the first Thursday of that year.</t>
        </is>
      </c>
      <c r="V315" s="1"/>
      <c r="W315" s="1"/>
      <c r="Z315" s="1"/>
      <c r="AA315" s="1"/>
      <c r="AB315" s="1"/>
      <c r="AC315" s="1"/>
      <c r="AD315" s="1"/>
      <c r="AE315" s="1"/>
      <c r="AF315" s="1"/>
      <c r="AG315" s="1"/>
      <c r="AH315" s="1"/>
      <c r="AK315" s="1"/>
      <c r="AL315" s="1"/>
      <c r="AM315" s="1"/>
      <c r="AN315" s="1"/>
      <c r="AO315" s="1"/>
      <c r="AP315" s="1"/>
      <c r="AQ315" s="1"/>
      <c r="AR315" s="1"/>
      <c r="AS315" s="1"/>
      <c r="AV315" s="1"/>
      <c r="AW315" s="1"/>
      <c r="AX315" s="1"/>
      <c r="DV315">
        <v>17</v>
      </c>
      <c r="DW315" t="s">
        <v>43</v>
      </c>
      <c r="DX315" s="8">
        <v>43954</v>
      </c>
      <c r="DY315">
        <v>399</v>
      </c>
      <c r="DZ315">
        <v>665</v>
      </c>
      <c r="EA315">
        <v>51</v>
      </c>
      <c r="GV315" s="8">
        <v>43935</v>
      </c>
      <c r="GW315">
        <v>48</v>
      </c>
      <c r="GX315" t="s">
        <v>107</v>
      </c>
      <c r="GY315">
        <v>14</v>
      </c>
      <c r="HC315">
        <v>3</v>
      </c>
      <c r="JP315" s="2"/>
    </row>
    <row r="316" spans="1:325" ht="20.25">
      <c r="D316">
        <f>D315</f>
        <v>0.0017640962314499999</v>
      </c>
      <c r="E316" t="s">
        <v>38</v>
      </c>
      <c r="F316" s="10">
        <v>44204</v>
      </c>
      <c r="V316" s="1"/>
      <c r="W316" s="1"/>
      <c r="Z316" s="1"/>
      <c r="AA316" s="1"/>
      <c r="AB316" s="1"/>
      <c r="AC316" s="1"/>
      <c r="AD316" s="1"/>
      <c r="AE316" s="1"/>
      <c r="AF316" s="1"/>
      <c r="AG316" s="1"/>
      <c r="AH316" s="1"/>
      <c r="AK316" s="1"/>
      <c r="AL316" s="1"/>
      <c r="AM316" s="1"/>
      <c r="AN316" s="1"/>
      <c r="AO316" s="1"/>
      <c r="AP316" s="1"/>
      <c r="AQ316" s="1"/>
      <c r="AR316" s="1"/>
      <c r="AS316" s="1"/>
      <c r="AV316" s="1"/>
      <c r="AW316" s="1"/>
      <c r="AX316" s="1"/>
      <c r="DV316">
        <v>17</v>
      </c>
      <c r="DW316" t="s">
        <v>43</v>
      </c>
      <c r="DX316" s="8">
        <v>43955</v>
      </c>
      <c r="DY316">
        <v>406</v>
      </c>
      <c r="DZ316">
        <v>676</v>
      </c>
      <c r="EA316">
        <v>52</v>
      </c>
      <c r="GV316" s="8">
        <v>43936</v>
      </c>
      <c r="GW316">
        <v>48</v>
      </c>
      <c r="GX316" t="s">
        <v>107</v>
      </c>
      <c r="GY316">
        <v>15</v>
      </c>
      <c r="HC316">
        <v>4</v>
      </c>
      <c r="JP316" s="2"/>
    </row>
    <row r="317" spans="1:325" ht="20.25">
      <c r="D317">
        <f>D316</f>
        <v>0.0017640962314499999</v>
      </c>
      <c r="E317" t="s">
        <v>40</v>
      </c>
      <c r="F317" s="10">
        <v>44205</v>
      </c>
      <c r="V317" s="1"/>
      <c r="W317" s="1"/>
      <c r="Z317" s="1"/>
      <c r="AA317" s="1"/>
      <c r="AB317" s="1"/>
      <c r="AC317" s="1"/>
      <c r="AD317" s="1"/>
      <c r="AE317" s="1"/>
      <c r="AF317" s="1"/>
      <c r="AG317" s="1"/>
      <c r="AH317" s="1"/>
      <c r="AK317" s="1"/>
      <c r="AL317" s="1"/>
      <c r="AM317" s="1"/>
      <c r="AN317" s="1"/>
      <c r="AO317" s="1"/>
      <c r="AP317" s="1"/>
      <c r="AQ317" s="1"/>
      <c r="AR317" s="1"/>
      <c r="AS317" s="1"/>
      <c r="AV317" s="1"/>
      <c r="AW317" s="1"/>
      <c r="AX317" s="1"/>
      <c r="DV317">
        <v>17</v>
      </c>
      <c r="DW317" t="s">
        <v>43</v>
      </c>
      <c r="DX317" s="8">
        <v>43956</v>
      </c>
      <c r="DY317">
        <v>420</v>
      </c>
      <c r="DZ317">
        <v>700</v>
      </c>
      <c r="EA317">
        <v>53</v>
      </c>
      <c r="GV317" s="8">
        <v>43937</v>
      </c>
      <c r="GW317">
        <v>48</v>
      </c>
      <c r="GX317" t="s">
        <v>107</v>
      </c>
      <c r="GY317">
        <v>16</v>
      </c>
      <c r="HB317">
        <v>98</v>
      </c>
      <c r="HC317">
        <v>4</v>
      </c>
      <c r="JP317" s="2"/>
    </row>
    <row r="318" spans="1:325" ht="20.25">
      <c r="D318">
        <f>D317</f>
        <v>0.0017640962314499999</v>
      </c>
      <c r="E318" t="s">
        <v>30</v>
      </c>
      <c r="F318" s="10">
        <v>44206</v>
      </c>
      <c r="V318" s="1"/>
      <c r="W318" s="1"/>
      <c r="Z318" s="1"/>
      <c r="AA318" s="1"/>
      <c r="AB318" s="1"/>
      <c r="AC318" s="1"/>
      <c r="AD318" s="1"/>
      <c r="AE318" s="1"/>
      <c r="AF318" s="1"/>
      <c r="AG318" s="1"/>
      <c r="AH318" s="1"/>
      <c r="AK318" s="1"/>
      <c r="AL318" s="1"/>
      <c r="AM318" s="1"/>
      <c r="AN318" s="1"/>
      <c r="AO318" s="1"/>
      <c r="AP318" s="1"/>
      <c r="AQ318" s="1"/>
      <c r="AR318" s="1"/>
      <c r="AS318" s="1"/>
      <c r="AV318" s="1"/>
      <c r="AW318" s="1"/>
      <c r="AX318" s="1"/>
      <c r="DV318">
        <v>17</v>
      </c>
      <c r="DW318" t="s">
        <v>43</v>
      </c>
      <c r="DX318" s="8">
        <v>43957</v>
      </c>
      <c r="DY318">
        <v>424</v>
      </c>
      <c r="DZ318">
        <v>706</v>
      </c>
      <c r="EA318">
        <v>54</v>
      </c>
      <c r="GV318" s="8">
        <v>43938</v>
      </c>
      <c r="GW318">
        <v>48</v>
      </c>
      <c r="GX318" t="s">
        <v>107</v>
      </c>
      <c r="GY318">
        <v>17</v>
      </c>
      <c r="HB318">
        <v>104</v>
      </c>
      <c r="HC318">
        <v>4</v>
      </c>
    </row>
    <row r="319" spans="1:325" ht="20.25">
      <c r="D319">
        <f>D318</f>
        <v>0.0017640962314499999</v>
      </c>
      <c r="E319" t="s">
        <v>33</v>
      </c>
      <c r="F319" s="10">
        <v>44207</v>
      </c>
      <c r="DV319">
        <v>17</v>
      </c>
      <c r="DW319" t="s">
        <v>43</v>
      </c>
      <c r="DX319" s="8">
        <v>43958</v>
      </c>
      <c r="DY319">
        <v>426</v>
      </c>
      <c r="DZ319">
        <v>710</v>
      </c>
      <c r="EA319">
        <v>55</v>
      </c>
      <c r="GV319" s="8">
        <v>43939</v>
      </c>
      <c r="GW319">
        <v>48</v>
      </c>
      <c r="GX319" t="s">
        <v>107</v>
      </c>
      <c r="GY319">
        <v>23</v>
      </c>
      <c r="HB319">
        <v>141</v>
      </c>
      <c r="HC319">
        <v>4</v>
      </c>
    </row>
    <row r="320" spans="1:325" ht="20.25">
      <c r="D320">
        <f>D319</f>
        <v>0.0017640962314499999</v>
      </c>
      <c r="E320" t="s">
        <v>34</v>
      </c>
      <c r="F320" s="10">
        <v>44208</v>
      </c>
      <c r="DV320">
        <v>17</v>
      </c>
      <c r="DW320" t="s">
        <v>43</v>
      </c>
      <c r="DX320" s="8">
        <v>43959</v>
      </c>
      <c r="DY320">
        <v>434</v>
      </c>
      <c r="DZ320">
        <v>723</v>
      </c>
      <c r="EA320">
        <v>56</v>
      </c>
      <c r="GV320" s="8">
        <v>43940</v>
      </c>
      <c r="GW320">
        <v>48</v>
      </c>
      <c r="GX320" t="s">
        <v>107</v>
      </c>
      <c r="GY320">
        <v>22</v>
      </c>
      <c r="HB320">
        <v>135</v>
      </c>
      <c r="HC320">
        <v>4</v>
      </c>
    </row>
    <row r="321" spans="1:325" ht="20.25">
      <c r="D321">
        <f>D320</f>
        <v>0.0017640962314499999</v>
      </c>
      <c r="E321" t="s">
        <v>35</v>
      </c>
      <c r="F321" s="10">
        <v>44209</v>
      </c>
      <c r="DV321">
        <v>17</v>
      </c>
      <c r="DW321" t="s">
        <v>43</v>
      </c>
      <c r="DX321" s="8">
        <v>43960</v>
      </c>
      <c r="DY321">
        <v>442</v>
      </c>
      <c r="DZ321">
        <v>736</v>
      </c>
      <c r="EA321">
        <v>56</v>
      </c>
      <c r="GV321" s="8">
        <v>43941</v>
      </c>
      <c r="GW321">
        <v>48</v>
      </c>
      <c r="GX321" t="s">
        <v>107</v>
      </c>
      <c r="GY321">
        <v>25</v>
      </c>
      <c r="HB321">
        <v>153</v>
      </c>
      <c r="HC321">
        <v>4</v>
      </c>
    </row>
    <row r="322" spans="1:325" ht="24">
      <c r="D322">
        <f>D321</f>
        <v>0.0017640962314499999</v>
      </c>
      <c r="E322" t="s">
        <v>37</v>
      </c>
      <c r="F322" s="10">
        <v>44210</v>
      </c>
      <c r="X322" t="inlineStr">
        <is>
          <t>older Source: https://portal.ct.gov/Coronavirus/Pages/Governors-Press-Releases</t>
        </is>
      </c>
      <c r="DV322">
        <v>17</v>
      </c>
      <c r="DW322" t="s">
        <v>43</v>
      </c>
      <c r="DX322" s="8">
        <v>43961</v>
      </c>
      <c r="DY322">
        <v>439</v>
      </c>
      <c r="DZ322">
        <v>731</v>
      </c>
      <c r="EA322">
        <v>56</v>
      </c>
      <c r="GV322" s="8">
        <v>43942</v>
      </c>
      <c r="GW322">
        <v>48</v>
      </c>
      <c r="GX322" t="s">
        <v>107</v>
      </c>
      <c r="GY322">
        <v>26</v>
      </c>
      <c r="HB322">
        <v>160</v>
      </c>
      <c r="HC322">
        <v>4</v>
      </c>
    </row>
    <row r="323" spans="1:325" ht="20.25">
      <c r="D323">
        <f>D322</f>
        <v>0.0017640962314499999</v>
      </c>
      <c r="E323" t="s">
        <v>38</v>
      </c>
      <c r="F323" s="10">
        <v>44211</v>
      </c>
      <c r="DV323">
        <v>17</v>
      </c>
      <c r="DW323" t="s">
        <v>43</v>
      </c>
      <c r="DX323" s="8">
        <v>43962</v>
      </c>
      <c r="DY323">
        <v>443</v>
      </c>
      <c r="DZ323">
        <v>738</v>
      </c>
      <c r="EA323">
        <v>57</v>
      </c>
      <c r="GV323" s="8">
        <v>43943</v>
      </c>
      <c r="GW323">
        <v>48</v>
      </c>
      <c r="GX323" t="s">
        <v>107</v>
      </c>
      <c r="GY323">
        <v>27</v>
      </c>
      <c r="HB323">
        <v>166</v>
      </c>
      <c r="HC323">
        <v>4</v>
      </c>
    </row>
    <row r="324" spans="1:325" ht="25">
      <c r="D324">
        <f>D323</f>
        <v>0.0017640962314499999</v>
      </c>
      <c r="E324" t="s">
        <v>40</v>
      </c>
      <c r="F324" s="10">
        <v>44212</v>
      </c>
      <c r="X324" t="inlineStr">
        <is>
          <t>recent Source: https://portal.ct.gov/-/media/Coronavirus/CTDPHCOVID19summary3312020.pdf?la=en</t>
        </is>
      </c>
      <c r="DV324">
        <v>17</v>
      </c>
      <c r="DW324" t="s">
        <v>43</v>
      </c>
      <c r="DX324" s="8">
        <v>43963</v>
      </c>
      <c r="DY324">
        <v>452</v>
      </c>
      <c r="DZ324">
        <v>753</v>
      </c>
      <c r="EA324">
        <v>59</v>
      </c>
      <c r="GV324" s="8">
        <v>43944</v>
      </c>
      <c r="GW324">
        <v>48</v>
      </c>
      <c r="GX324" t="s">
        <v>107</v>
      </c>
      <c r="GY324">
        <v>28</v>
      </c>
      <c r="HB324">
        <v>172</v>
      </c>
      <c r="HC324">
        <v>4</v>
      </c>
    </row>
    <row r="325" spans="1:325" ht="25">
      <c r="D325">
        <f>D324</f>
        <v>0.0017640962314499999</v>
      </c>
      <c r="E325" t="s">
        <v>30</v>
      </c>
      <c r="F325" s="10">
        <v>44213</v>
      </c>
      <c r="X325" t="inlineStr">
        <is>
          <t>recent Source: https://portal.ct.gov/Office-of-the-Governor/News/Press-Releases/2020/04-2020/Governor-Lamont-Coronavirus-Update-April-16</t>
        </is>
      </c>
      <c r="DV325">
        <v>17</v>
      </c>
      <c r="DW325" t="s">
        <v>43</v>
      </c>
      <c r="DX325" s="8">
        <v>43964</v>
      </c>
      <c r="DY325">
        <v>469</v>
      </c>
      <c r="DZ325">
        <v>781</v>
      </c>
      <c r="EA325">
        <v>60</v>
      </c>
      <c r="GV325" s="8">
        <v>43945</v>
      </c>
      <c r="GW325">
        <v>48</v>
      </c>
      <c r="GX325" t="s">
        <v>107</v>
      </c>
      <c r="GY325">
        <v>28</v>
      </c>
      <c r="HB325">
        <v>172</v>
      </c>
      <c r="HC325">
        <v>5</v>
      </c>
    </row>
    <row r="326" spans="1:325" ht="20.25">
      <c r="D326">
        <f>D325</f>
        <v>0.0017640962314499999</v>
      </c>
      <c r="E326" t="s">
        <v>33</v>
      </c>
      <c r="F326" s="10">
        <v>44214</v>
      </c>
      <c r="Z326" s="1"/>
      <c r="AA326" s="1"/>
      <c r="AB326" s="1"/>
      <c r="AC326" s="1"/>
      <c r="AD326" s="1"/>
      <c r="AE326" s="1"/>
      <c r="AF326" s="1"/>
      <c r="AG326" s="1"/>
      <c r="AH326" s="1"/>
      <c r="AK326" s="1"/>
      <c r="AL326" s="1"/>
      <c r="AM326" s="1"/>
      <c r="AN326" s="1"/>
      <c r="AO326" s="1"/>
      <c r="AP326" s="1"/>
      <c r="AQ326" s="1"/>
      <c r="AR326" s="1"/>
      <c r="AS326" s="1"/>
      <c r="AV326" s="1"/>
      <c r="AW326" s="1"/>
      <c r="DV326">
        <v>17</v>
      </c>
      <c r="DW326" t="s">
        <v>43</v>
      </c>
      <c r="DX326" s="8">
        <v>43965</v>
      </c>
      <c r="DY326">
        <v>483</v>
      </c>
      <c r="DZ326">
        <v>805</v>
      </c>
      <c r="EA326">
        <v>62</v>
      </c>
      <c r="GV326" s="8">
        <v>43946</v>
      </c>
      <c r="GW326">
        <v>48</v>
      </c>
      <c r="GX326" t="s">
        <v>107</v>
      </c>
      <c r="GY326">
        <v>27</v>
      </c>
      <c r="HB326">
        <v>166</v>
      </c>
      <c r="HC326">
        <v>4</v>
      </c>
    </row>
    <row r="327" spans="1:325" ht="25">
      <c r="D327">
        <f>D326</f>
        <v>0.0017640962314499999</v>
      </c>
      <c r="E327" t="s">
        <v>34</v>
      </c>
      <c r="F327" s="10">
        <v>44215</v>
      </c>
      <c r="X327" t="inlineStr">
        <is>
          <t>export: $ ssconvert -T Gnumeric_stf:stf_csv thisfile.gnumeric thisfile.csv</t>
        </is>
      </c>
      <c r="DV327">
        <v>17</v>
      </c>
      <c r="DW327" t="s">
        <v>43</v>
      </c>
      <c r="DX327" s="8">
        <v>43966</v>
      </c>
      <c r="DY327">
        <v>489</v>
      </c>
      <c r="DZ327">
        <v>815</v>
      </c>
      <c r="EA327">
        <v>62</v>
      </c>
      <c r="GV327" s="8">
        <v>43947</v>
      </c>
      <c r="GW327">
        <v>48</v>
      </c>
      <c r="GX327" t="s">
        <v>107</v>
      </c>
      <c r="GY327">
        <v>29</v>
      </c>
      <c r="HB327">
        <v>178</v>
      </c>
      <c r="HC327">
        <v>4</v>
      </c>
    </row>
    <row r="328" spans="1:325" ht="20.25">
      <c r="D328">
        <f>D327</f>
        <v>0.0017640962314499999</v>
      </c>
      <c r="E328" t="s">
        <v>35</v>
      </c>
      <c r="F328" s="10">
        <v>44216</v>
      </c>
      <c r="DV328">
        <v>20</v>
      </c>
      <c r="DW328" t="s">
        <v>45</v>
      </c>
      <c r="DX328" s="8">
        <v>43914</v>
      </c>
      <c r="DY328">
        <v>1</v>
      </c>
      <c r="EA328">
        <v>0</v>
      </c>
      <c r="GV328" s="8">
        <v>43948</v>
      </c>
      <c r="GW328">
        <v>48</v>
      </c>
      <c r="GX328" t="s">
        <v>107</v>
      </c>
      <c r="GY328">
        <v>31</v>
      </c>
      <c r="HB328">
        <v>190</v>
      </c>
      <c r="HC328">
        <v>4</v>
      </c>
    </row>
    <row r="329" spans="1:325" ht="25">
      <c r="D329">
        <f>D328</f>
        <v>0.0017640962314499999</v>
      </c>
      <c r="E329" t="s">
        <v>37</v>
      </c>
      <c r="F329" s="10">
        <v>44217</v>
      </c>
      <c r="X329" t="inlineStr">
        <is>
          <t>March 31: Hospitalization by county presented in a graphic (only?)</t>
        </is>
      </c>
      <c r="DV329">
        <v>20</v>
      </c>
      <c r="DW329" t="s">
        <v>45</v>
      </c>
      <c r="DX329" s="8">
        <v>43915</v>
      </c>
      <c r="DY329">
        <v>1</v>
      </c>
      <c r="EA329">
        <v>0</v>
      </c>
      <c r="GV329" s="8">
        <v>43949</v>
      </c>
      <c r="GW329">
        <v>48</v>
      </c>
      <c r="GX329" t="s">
        <v>107</v>
      </c>
      <c r="GY329">
        <v>31</v>
      </c>
      <c r="HB329">
        <v>190</v>
      </c>
      <c r="HC329">
        <v>4</v>
      </c>
    </row>
    <row r="330" spans="1:325" ht="20.25">
      <c r="E330" t="s">
        <v>38</v>
      </c>
      <c r="F330" s="10">
        <v>44218</v>
      </c>
      <c r="DV330">
        <v>20</v>
      </c>
      <c r="DW330" t="s">
        <v>45</v>
      </c>
      <c r="DX330" s="8">
        <v>43916</v>
      </c>
      <c r="DY330">
        <v>1</v>
      </c>
      <c r="EA330">
        <v>0</v>
      </c>
      <c r="GV330" s="8">
        <v>43950</v>
      </c>
      <c r="GW330">
        <v>48</v>
      </c>
      <c r="GX330" t="s">
        <v>107</v>
      </c>
      <c r="GY330">
        <v>32</v>
      </c>
      <c r="HB330">
        <v>196</v>
      </c>
      <c r="HC330">
        <v>4</v>
      </c>
    </row>
    <row r="331" spans="1:325" ht="25">
      <c r="E331" t="s">
        <v>40</v>
      </c>
      <c r="F331" s="10">
        <v>44219</v>
      </c>
      <c r="X331" t="inlineStr">
        <is>
          <t>31 March 23:09 UTC: many cosmetic changes, columns deleted (or added).</t>
        </is>
      </c>
      <c r="DV331">
        <v>20</v>
      </c>
      <c r="DW331" t="s">
        <v>45</v>
      </c>
      <c r="DX331" s="8">
        <v>43917</v>
      </c>
      <c r="DY331">
        <v>3</v>
      </c>
      <c r="EA331">
        <v>0</v>
      </c>
      <c r="GV331" s="8">
        <v>43951</v>
      </c>
      <c r="GW331">
        <v>48</v>
      </c>
      <c r="GX331" t="s">
        <v>107</v>
      </c>
      <c r="GY331">
        <v>34</v>
      </c>
      <c r="HB331">
        <v>209</v>
      </c>
      <c r="HC331">
        <v>4</v>
      </c>
    </row>
    <row r="332" spans="1:325" ht="25">
      <c r="E332" t="s">
        <v>30</v>
      </c>
      <c r="F332" s="10">
        <v>44220</v>
      </c>
      <c r="X332" t="inlineStr">
        <is>
          <t>Hopefully, no major corruption of data/forumlas present after these major edits.</t>
        </is>
      </c>
      <c r="DV332">
        <v>20</v>
      </c>
      <c r="DW332" t="s">
        <v>45</v>
      </c>
      <c r="DX332" s="8">
        <v>43918</v>
      </c>
      <c r="DY332">
        <v>4</v>
      </c>
      <c r="EA332">
        <v>0</v>
      </c>
      <c r="GV332" s="8">
        <v>43952</v>
      </c>
      <c r="GW332">
        <v>48</v>
      </c>
      <c r="GX332" t="s">
        <v>107</v>
      </c>
      <c r="GY332">
        <v>34</v>
      </c>
      <c r="HB332">
        <v>209</v>
      </c>
      <c r="HC332">
        <v>4</v>
      </c>
    </row>
    <row r="333" spans="1:325" ht="20.25">
      <c r="E333" t="s">
        <v>33</v>
      </c>
      <c r="F333" s="10">
        <v>44221</v>
      </c>
      <c r="DV333">
        <v>20</v>
      </c>
      <c r="DW333" t="s">
        <v>45</v>
      </c>
      <c r="DX333" s="8">
        <v>43919</v>
      </c>
      <c r="DY333">
        <v>4</v>
      </c>
      <c r="EA333">
        <v>0</v>
      </c>
      <c r="GV333" s="8">
        <v>43953</v>
      </c>
      <c r="GW333">
        <v>48</v>
      </c>
      <c r="GX333" t="s">
        <v>107</v>
      </c>
      <c r="GY333">
        <v>38</v>
      </c>
      <c r="HB333">
        <v>233</v>
      </c>
      <c r="HC333">
        <v>4</v>
      </c>
    </row>
    <row r="334" spans="1:325" ht="25">
      <c r="E334" t="s">
        <v>34</v>
      </c>
      <c r="F334" s="10">
        <v>44222</v>
      </c>
      <c r="X334" t="inlineStr">
        <is>
          <t>1 April: Column D now formatted as percentile</t>
        </is>
      </c>
      <c r="DV334">
        <v>20</v>
      </c>
      <c r="DW334" t="s">
        <v>45</v>
      </c>
      <c r="DX334" s="8">
        <v>43920</v>
      </c>
      <c r="DY334">
        <v>4</v>
      </c>
      <c r="EA334">
        <v>0</v>
      </c>
      <c r="GV334" s="8">
        <v>43954</v>
      </c>
      <c r="GW334">
        <v>48</v>
      </c>
      <c r="GX334" t="s">
        <v>107</v>
      </c>
      <c r="GY334">
        <v>38</v>
      </c>
      <c r="HB334">
        <v>233</v>
      </c>
      <c r="HC334">
        <v>4</v>
      </c>
    </row>
    <row r="335" spans="1:325" ht="25">
      <c r="E335" t="s">
        <v>35</v>
      </c>
      <c r="F335" s="10">
        <v>44223</v>
      </c>
      <c r="X335" t="inlineStr">
        <is>
          <t>7 April: 1.09 becomes 1.11 for arbitrary growth reduction supposition expressed in Column D (Multiplier).</t>
        </is>
      </c>
      <c r="DV335">
        <v>20</v>
      </c>
      <c r="DW335" t="s">
        <v>45</v>
      </c>
      <c r="DX335" s="8">
        <v>43921</v>
      </c>
      <c r="DY335">
        <v>5</v>
      </c>
      <c r="EA335">
        <v>0</v>
      </c>
      <c r="GV335" s="8">
        <v>43955</v>
      </c>
      <c r="GW335">
        <v>48</v>
      </c>
      <c r="GX335" t="s">
        <v>107</v>
      </c>
      <c r="GY335">
        <v>37</v>
      </c>
      <c r="HB335">
        <v>227</v>
      </c>
      <c r="HC335">
        <v>4</v>
      </c>
    </row>
    <row r="336" spans="1:325" ht="25">
      <c r="E336" t="s">
        <v>37</v>
      </c>
      <c r="F336" s="10">
        <v>44224</v>
      </c>
      <c r="X336" t="inlineStr">
        <is>
          <t>7 April: Column G goes from 100x to 50x (arbitrary value chosen)</t>
        </is>
      </c>
      <c r="DV336">
        <v>20</v>
      </c>
      <c r="DW336" t="s">
        <v>45</v>
      </c>
      <c r="DX336" s="8">
        <v>43922</v>
      </c>
      <c r="DY336">
        <v>5</v>
      </c>
      <c r="EA336">
        <v>0</v>
      </c>
      <c r="GV336" s="8">
        <v>43956</v>
      </c>
      <c r="GW336">
        <v>48</v>
      </c>
      <c r="GX336" t="s">
        <v>107</v>
      </c>
      <c r="GY336">
        <v>40</v>
      </c>
      <c r="HB336">
        <v>245</v>
      </c>
      <c r="HC336">
        <v>4</v>
      </c>
    </row>
    <row r="337" spans="1:325" ht="25">
      <c r="E337" t="s">
        <v>38</v>
      </c>
      <c r="F337" s="10">
        <v>44225</v>
      </c>
      <c r="Z337" t="inlineStr">
        <is>
          <t>(the 100x scaling factor was also arbitrary)</t>
        </is>
      </c>
      <c r="DV337">
        <v>20</v>
      </c>
      <c r="DW337" t="s">
        <v>45</v>
      </c>
      <c r="DX337" s="8">
        <v>43923</v>
      </c>
      <c r="DY337">
        <v>5</v>
      </c>
      <c r="EA337">
        <v>0</v>
      </c>
      <c r="GV337" s="8">
        <v>43957</v>
      </c>
      <c r="GW337">
        <v>48</v>
      </c>
      <c r="GX337" t="s">
        <v>107</v>
      </c>
      <c r="GY337">
        <v>41</v>
      </c>
      <c r="HB337">
        <v>252</v>
      </c>
      <c r="HC337">
        <v>4</v>
      </c>
    </row>
    <row r="338" spans="1:325" ht="25">
      <c r="E338" t="s">
        <v>40</v>
      </c>
      <c r="F338" s="10">
        <v>44226</v>
      </c>
      <c r="X338" t="inlineStr">
        <is>
          <t>7 April: Litchfield County is doubling its Confirmed cases every 6.5 days or so.</t>
        </is>
      </c>
      <c r="DV338">
        <v>20</v>
      </c>
      <c r="DW338" t="s">
        <v>45</v>
      </c>
      <c r="DX338" s="8">
        <v>43924</v>
      </c>
      <c r="DY338">
        <v>6</v>
      </c>
      <c r="EA338">
        <v>0</v>
      </c>
      <c r="GV338" s="8">
        <v>43958</v>
      </c>
      <c r="GW338">
        <v>48</v>
      </c>
      <c r="GX338" t="s">
        <v>107</v>
      </c>
      <c r="GY338">
        <v>42</v>
      </c>
      <c r="HB338">
        <v>258</v>
      </c>
      <c r="HC338">
        <v>4</v>
      </c>
    </row>
    <row r="339" spans="1:325" ht="25">
      <c r="E339" t="s">
        <v>30</v>
      </c>
      <c r="F339" s="10">
        <v>44227</v>
      </c>
      <c r="Z339" t="inlineStr">
        <is>
          <t>(own analysis; ignorant and simplistic, there, on Litchfield Cty doublings. ;)</t>
        </is>
      </c>
      <c r="DV339">
        <v>20</v>
      </c>
      <c r="DW339" t="s">
        <v>45</v>
      </c>
      <c r="DX339" s="8">
        <v>43925</v>
      </c>
      <c r="DY339">
        <v>6</v>
      </c>
      <c r="EA339">
        <v>0</v>
      </c>
      <c r="GV339" s="8">
        <v>43959</v>
      </c>
      <c r="GW339">
        <v>48</v>
      </c>
      <c r="GX339" t="s">
        <v>107</v>
      </c>
      <c r="GY339">
        <v>42</v>
      </c>
      <c r="HB339">
        <v>258</v>
      </c>
      <c r="HC339">
        <v>4</v>
      </c>
    </row>
    <row r="340" spans="1:325" ht="25">
      <c r="E340" t="s">
        <v>33</v>
      </c>
      <c r="F340" s="10">
        <v>44228</v>
      </c>
      <c r="X340" t="inlineStr">
        <is>
          <t>9 April: USA Confirmed (far columns, right) now expressed in 3 digits (up from 2 digits, formerly).</t>
        </is>
      </c>
      <c r="DV340">
        <v>20</v>
      </c>
      <c r="DW340" t="s">
        <v>45</v>
      </c>
      <c r="DX340" s="8">
        <v>43926</v>
      </c>
      <c r="DY340">
        <v>6</v>
      </c>
      <c r="EA340">
        <v>0</v>
      </c>
      <c r="GV340" s="8">
        <v>43960</v>
      </c>
      <c r="GW340">
        <v>48</v>
      </c>
      <c r="GX340" t="s">
        <v>107</v>
      </c>
      <c r="GY340">
        <v>42</v>
      </c>
      <c r="HB340">
        <v>258</v>
      </c>
      <c r="HC340">
        <v>4</v>
      </c>
    </row>
    <row r="341" spans="1:325" ht="25">
      <c r="E341" t="s">
        <v>34</v>
      </c>
      <c r="F341" s="10">
        <v>44229</v>
      </c>
      <c r="Z341" t="inlineStr">
        <is>
          <t>This reflects that they've reached consistently below 10 percent, and so</t>
        </is>
      </c>
      <c r="DV341">
        <v>20</v>
      </c>
      <c r="DW341" t="s">
        <v>45</v>
      </c>
      <c r="DX341" s="8">
        <v>43927</v>
      </c>
      <c r="DY341">
        <v>6</v>
      </c>
      <c r="EA341">
        <v>0</v>
      </c>
      <c r="GV341" s="8">
        <v>43961</v>
      </c>
      <c r="GW341">
        <v>48</v>
      </c>
      <c r="GX341" t="s">
        <v>107</v>
      </c>
      <c r="GY341">
        <v>41</v>
      </c>
      <c r="HB341">
        <v>252</v>
      </c>
      <c r="HC341">
        <v>4</v>
      </c>
    </row>
    <row r="342" spans="1:325" ht="25">
      <c r="E342" t="s">
        <v>35</v>
      </c>
      <c r="F342" s="10">
        <v>44230</v>
      </c>
      <c r="Z342" t="inlineStr">
        <is>
          <t>require another digit of precision (the decimal point has moved</t>
        </is>
      </c>
      <c r="DV342">
        <v>20</v>
      </c>
      <c r="DW342" t="s">
        <v>45</v>
      </c>
      <c r="DX342" s="8">
        <v>43928</v>
      </c>
      <c r="DY342">
        <v>6</v>
      </c>
      <c r="EA342">
        <v>0</v>
      </c>
      <c r="GV342" s="8">
        <v>43962</v>
      </c>
      <c r="GW342">
        <v>48</v>
      </c>
      <c r="GX342" t="s">
        <v>107</v>
      </c>
      <c r="GY342">
        <v>41</v>
      </c>
      <c r="HB342">
        <v>252</v>
      </c>
      <c r="HC342">
        <v>4</v>
      </c>
    </row>
    <row r="343" spans="1:325" ht="25">
      <c r="E343" t="s">
        <v>37</v>
      </c>
      <c r="F343" s="10">
        <v>44231</v>
      </c>
      <c r="Z343" t="inlineStr">
        <is>
          <t>over one place)</t>
        </is>
      </c>
      <c r="DV343">
        <v>20</v>
      </c>
      <c r="DW343" t="s">
        <v>45</v>
      </c>
      <c r="DX343" s="8">
        <v>43929</v>
      </c>
      <c r="DY343">
        <v>7</v>
      </c>
      <c r="EA343">
        <v>0</v>
      </c>
      <c r="GV343" s="8">
        <v>43963</v>
      </c>
      <c r="GW343">
        <v>48</v>
      </c>
      <c r="GX343" t="s">
        <v>107</v>
      </c>
      <c r="GY343">
        <v>41</v>
      </c>
      <c r="HB343">
        <v>252</v>
      </c>
      <c r="HC343">
        <v>4</v>
      </c>
    </row>
    <row r="344" spans="1:325" ht="25">
      <c r="E344" t="s">
        <v>38</v>
      </c>
      <c r="F344" s="10">
        <v>44232</v>
      </c>
      <c r="X344" t="inlineStr">
        <is>
          <t>9 April: Have not kept up with the state epidemiologist's estimate</t>
        </is>
      </c>
      <c r="DV344">
        <v>20</v>
      </c>
      <c r="DW344" t="s">
        <v>45</v>
      </c>
      <c r="DX344" s="8">
        <v>43930</v>
      </c>
      <c r="DY344">
        <v>9</v>
      </c>
      <c r="EA344">
        <v>0</v>
      </c>
      <c r="GV344" s="8">
        <v>43964</v>
      </c>
      <c r="GW344">
        <v>48</v>
      </c>
      <c r="GX344" t="s">
        <v>107</v>
      </c>
      <c r="GY344">
        <v>43</v>
      </c>
      <c r="HB344">
        <v>264</v>
      </c>
      <c r="HC344">
        <v>4</v>
      </c>
    </row>
    <row r="345" spans="1:325" ht="25">
      <c r="E345" t="s">
        <v>40</v>
      </c>
      <c r="F345" s="10">
        <v>44233</v>
      </c>
      <c r="Z345" t="inlineStr">
        <is>
          <t>of the multiplier factor (Confirmed and tested vs estimated true count of cases</t>
        </is>
      </c>
      <c r="DV345">
        <v>20</v>
      </c>
      <c r="DW345" t="s">
        <v>45</v>
      </c>
      <c r="DX345" s="8">
        <v>43931</v>
      </c>
      <c r="DY345">
        <v>11</v>
      </c>
      <c r="EA345">
        <v>0</v>
      </c>
      <c r="GV345" s="8">
        <v>43965</v>
      </c>
      <c r="GW345">
        <v>48</v>
      </c>
      <c r="GX345" t="s">
        <v>107</v>
      </c>
      <c r="GY345">
        <v>44</v>
      </c>
      <c r="HB345">
        <v>270</v>
      </c>
      <c r="HC345">
        <v>4</v>
      </c>
    </row>
    <row r="346" spans="1:325" ht="25">
      <c r="E346" t="s">
        <v>30</v>
      </c>
      <c r="F346" s="10">
        <v>44234</v>
      </c>
      <c r="Z346" t="inlineStr">
        <is>
          <t>in the state of Connecticut) and (therefore) still using a '50x' multiplier,</t>
        </is>
      </c>
      <c r="DV346">
        <v>20</v>
      </c>
      <c r="DW346" t="s">
        <v>45</v>
      </c>
      <c r="DX346" s="8">
        <v>43932</v>
      </c>
      <c r="DY346">
        <v>12</v>
      </c>
      <c r="EA346">
        <v>0</v>
      </c>
      <c r="GV346" s="8">
        <v>43966</v>
      </c>
      <c r="GW346">
        <v>48</v>
      </c>
      <c r="GX346" t="s">
        <v>107</v>
      </c>
      <c r="GY346">
        <v>46</v>
      </c>
      <c r="HB346">
        <v>282</v>
      </c>
      <c r="HC346">
        <v>4</v>
      </c>
    </row>
    <row r="347" spans="1:325" ht="25">
      <c r="E347" t="s">
        <v>33</v>
      </c>
      <c r="F347" s="10">
        <v>44235</v>
      </c>
      <c r="Z347" t="inlineStr">
        <is>
          <t>with no particular justification for this figure.</t>
        </is>
      </c>
      <c r="DV347">
        <v>20</v>
      </c>
      <c r="DW347" t="s">
        <v>45</v>
      </c>
      <c r="DX347" s="8">
        <v>43933</v>
      </c>
      <c r="DY347">
        <v>12</v>
      </c>
      <c r="EA347">
        <v>0</v>
      </c>
      <c r="GV347" s="8">
        <v>43967</v>
      </c>
      <c r="GW347">
        <v>48</v>
      </c>
      <c r="GX347" t="s">
        <v>107</v>
      </c>
      <c r="GY347">
        <v>49</v>
      </c>
      <c r="HB347">
        <v>301</v>
      </c>
      <c r="HC347">
        <v>4</v>
      </c>
      <c r="HF347">
        <v>266</v>
      </c>
    </row>
    <row r="348" spans="1:325" ht="25">
      <c r="E348" t="s">
        <v>34</v>
      </c>
      <c r="F348" s="10">
        <v>44236</v>
      </c>
      <c r="X348" t="inlineStr">
        <is>
          <t>12 April: demoted from 50x to 35x (measured) transmission multiplier.</t>
        </is>
      </c>
      <c r="DV348">
        <v>20</v>
      </c>
      <c r="DW348" t="s">
        <v>45</v>
      </c>
      <c r="DX348" s="8">
        <v>43934</v>
      </c>
      <c r="DY348">
        <v>13</v>
      </c>
      <c r="EA348">
        <v>0</v>
      </c>
      <c r="GV348" s="8">
        <v>43968</v>
      </c>
      <c r="GW348">
        <v>48</v>
      </c>
      <c r="GX348" t="s">
        <v>107</v>
      </c>
      <c r="GY348">
        <v>50</v>
      </c>
      <c r="HB348">
        <v>307</v>
      </c>
      <c r="HC348">
        <v>4</v>
      </c>
      <c r="HF348">
        <v>295</v>
      </c>
    </row>
    <row r="349" spans="1:325" ht="25">
      <c r="E349" t="s">
        <v>35</v>
      </c>
      <c r="F349" s="10">
        <v>44237</v>
      </c>
      <c r="Z349" t="inlineStr">
        <is>
          <t>Reference value only - please do not quote it in any context.</t>
        </is>
      </c>
      <c r="DV349">
        <v>20</v>
      </c>
      <c r="DW349" t="s">
        <v>45</v>
      </c>
      <c r="DX349" s="8">
        <v>43935</v>
      </c>
      <c r="DY349">
        <v>14</v>
      </c>
      <c r="EA349">
        <v>0</v>
      </c>
      <c r="GV349" s="8">
        <v>43969</v>
      </c>
      <c r="GW349">
        <v>48</v>
      </c>
      <c r="GX349" t="s">
        <v>107</v>
      </c>
      <c r="GY349">
        <v>50</v>
      </c>
      <c r="HB349">
        <v>307</v>
      </c>
      <c r="HC349">
        <v>4</v>
      </c>
      <c r="HF349">
        <v>305</v>
      </c>
    </row>
    <row r="350" spans="1:325" ht="25">
      <c r="E350" t="s">
        <v>37</v>
      </c>
      <c r="F350" s="10">
        <v>44238</v>
      </c>
      <c r="Z350" t="inlineStr">
        <is>
          <t>(Assign some other value to it, based on some other</t>
        </is>
      </c>
      <c r="DV350">
        <v>20</v>
      </c>
      <c r="DW350" t="s">
        <v>45</v>
      </c>
      <c r="DX350" s="8">
        <v>43936</v>
      </c>
      <c r="DY350">
        <v>14</v>
      </c>
      <c r="EA350">
        <v>0</v>
      </c>
      <c r="GV350" s="8">
        <v>43970</v>
      </c>
      <c r="GW350">
        <v>48</v>
      </c>
      <c r="GX350" t="s">
        <v>107</v>
      </c>
      <c r="GY350">
        <v>53</v>
      </c>
      <c r="HB350">
        <v>325</v>
      </c>
      <c r="HC350">
        <v>4</v>
      </c>
      <c r="HF350">
        <v>334</v>
      </c>
    </row>
    <row r="351" spans="1:325" ht="25">
      <c r="E351" t="s">
        <v>38</v>
      </c>
      <c r="F351" s="10">
        <v>44239</v>
      </c>
      <c r="Z351" t="inlineStr">
        <is>
          <t>findings than given here).</t>
        </is>
      </c>
      <c r="DV351">
        <v>20</v>
      </c>
      <c r="DW351" t="s">
        <v>45</v>
      </c>
      <c r="DX351" s="8">
        <v>43937</v>
      </c>
      <c r="DY351">
        <v>14</v>
      </c>
      <c r="DZ351">
        <v>145</v>
      </c>
      <c r="EA351">
        <v>0</v>
      </c>
      <c r="GV351" s="8">
        <v>43971</v>
      </c>
      <c r="GW351">
        <v>48</v>
      </c>
      <c r="GX351" t="s">
        <v>107</v>
      </c>
      <c r="GY351">
        <v>52</v>
      </c>
      <c r="HB351">
        <v>319</v>
      </c>
      <c r="HC351">
        <v>4</v>
      </c>
      <c r="HF351">
        <v>333</v>
      </c>
      <c r="HG351">
        <v>2043</v>
      </c>
    </row>
    <row r="352" spans="1:325" ht="25">
      <c r="E352" t="s">
        <v>40</v>
      </c>
      <c r="F352" s="10">
        <v>44240</v>
      </c>
      <c r="X352" t="inlineStr">
        <is>
          <t>15 April: formalized entry (column L labels added)</t>
        </is>
      </c>
      <c r="DV352">
        <v>20</v>
      </c>
      <c r="DW352" t="s">
        <v>45</v>
      </c>
      <c r="DX352" s="8">
        <v>43938</v>
      </c>
      <c r="DY352">
        <v>15</v>
      </c>
      <c r="DZ352">
        <v>155</v>
      </c>
      <c r="EA352">
        <v>0</v>
      </c>
      <c r="GV352" s="8">
        <v>43972</v>
      </c>
      <c r="GW352">
        <v>48</v>
      </c>
      <c r="GX352" t="s">
        <v>107</v>
      </c>
      <c r="GY352">
        <v>55</v>
      </c>
      <c r="HB352">
        <v>337</v>
      </c>
      <c r="HC352">
        <v>4</v>
      </c>
      <c r="HF352">
        <v>345</v>
      </c>
      <c r="HG352">
        <v>2117</v>
      </c>
    </row>
    <row r="353" spans="1:325" ht="25">
      <c r="E353" t="s">
        <v>30</v>
      </c>
      <c r="F353" s="10">
        <v>44241</v>
      </c>
      <c r="X353" t="inlineStr">
        <is>
          <t>17 April: formatting fixes esp. Comma separation</t>
        </is>
      </c>
      <c r="DV353">
        <v>20</v>
      </c>
      <c r="DW353" t="s">
        <v>45</v>
      </c>
      <c r="DX353" s="8">
        <v>43939</v>
      </c>
      <c r="DY353">
        <v>15</v>
      </c>
      <c r="DZ353">
        <v>155</v>
      </c>
      <c r="EA353">
        <v>0</v>
      </c>
      <c r="GV353" s="8">
        <v>43973</v>
      </c>
      <c r="GW353">
        <v>48</v>
      </c>
      <c r="GX353" t="s">
        <v>107</v>
      </c>
      <c r="GY353">
        <v>55</v>
      </c>
      <c r="HB353">
        <v>337</v>
      </c>
      <c r="HC353">
        <v>4</v>
      </c>
      <c r="HF353">
        <v>360</v>
      </c>
      <c r="HG353">
        <v>2209</v>
      </c>
    </row>
    <row r="354" spans="1:325" ht="25">
      <c r="E354" t="s">
        <v>33</v>
      </c>
      <c r="F354" s="10">
        <v>44242</v>
      </c>
      <c r="X354" t="inlineStr">
        <is>
          <t>19 April: Y Axis Major ticks now 1024 (exact power of two)</t>
        </is>
      </c>
      <c r="DV354">
        <v>20</v>
      </c>
      <c r="DW354" t="s">
        <v>45</v>
      </c>
      <c r="DX354" s="8">
        <v>43940</v>
      </c>
      <c r="DY354">
        <v>15</v>
      </c>
      <c r="DZ354">
        <v>155</v>
      </c>
      <c r="EA354">
        <v>0</v>
      </c>
      <c r="GV354" s="8">
        <v>43974</v>
      </c>
      <c r="GW354">
        <v>48</v>
      </c>
      <c r="GX354" t="s">
        <v>107</v>
      </c>
      <c r="GY354">
        <v>56</v>
      </c>
      <c r="HB354">
        <v>344</v>
      </c>
      <c r="HC354">
        <v>4</v>
      </c>
      <c r="HF354">
        <v>373</v>
      </c>
      <c r="HG354">
        <v>2288</v>
      </c>
    </row>
    <row r="355" spans="1:325" ht="25">
      <c r="E355" t="s">
        <v>34</v>
      </c>
      <c r="F355" s="10">
        <v>44243</v>
      </c>
      <c r="X355" t="inlineStr">
        <is>
          <t>19 April: The graph was easy enough to maintain and so is included, standard, now.</t>
        </is>
      </c>
      <c r="DV355">
        <v>20</v>
      </c>
      <c r="DW355" t="s">
        <v>45</v>
      </c>
      <c r="DX355" s="8">
        <v>43941</v>
      </c>
      <c r="DY355">
        <v>18</v>
      </c>
      <c r="DZ355">
        <v>186</v>
      </c>
      <c r="EA355">
        <v>2</v>
      </c>
      <c r="GV355" s="8">
        <v>43975</v>
      </c>
      <c r="GW355">
        <v>48</v>
      </c>
      <c r="GX355" t="s">
        <v>107</v>
      </c>
      <c r="GY355">
        <v>57</v>
      </c>
      <c r="HB355">
        <v>350</v>
      </c>
      <c r="HC355">
        <v>5</v>
      </c>
      <c r="HF355">
        <v>391</v>
      </c>
      <c r="HG355">
        <v>2399</v>
      </c>
    </row>
    <row r="356" spans="1:325" ht="25">
      <c r="E356" t="s">
        <v>35</v>
      </c>
      <c r="F356" s="10">
        <v>44244</v>
      </c>
      <c r="W356" s="1"/>
      <c r="X356" t="inlineStr">
        <is>
          <t>19 April: Column G goes from 35x to 15x (arbitrary value chosen)</t>
        </is>
      </c>
      <c r="Z356" s="1"/>
      <c r="AA356" s="1"/>
      <c r="AB356" s="1"/>
      <c r="AC356" s="1"/>
      <c r="AD356" s="1"/>
      <c r="AE356" s="1"/>
      <c r="AF356" s="1"/>
      <c r="AG356" s="1"/>
      <c r="AH356" s="1"/>
      <c r="AK356" s="1"/>
      <c r="AL356" s="1"/>
      <c r="AM356" s="1"/>
      <c r="AN356" s="1"/>
      <c r="AO356" s="1"/>
      <c r="AP356" s="1"/>
      <c r="AQ356" s="1"/>
      <c r="AR356" s="1"/>
      <c r="AS356" s="1"/>
      <c r="AV356" s="1"/>
      <c r="AW356" s="1"/>
      <c r="DV356">
        <v>20</v>
      </c>
      <c r="DW356" t="s">
        <v>45</v>
      </c>
      <c r="DX356" s="8">
        <v>43942</v>
      </c>
      <c r="DY356">
        <v>18</v>
      </c>
      <c r="DZ356">
        <v>186</v>
      </c>
      <c r="EA356">
        <v>2</v>
      </c>
      <c r="GV356" s="8">
        <v>43976</v>
      </c>
      <c r="GW356">
        <v>48</v>
      </c>
      <c r="GX356" t="s">
        <v>107</v>
      </c>
      <c r="GY356">
        <v>57</v>
      </c>
      <c r="HB356">
        <v>350</v>
      </c>
      <c r="HC356">
        <v>5</v>
      </c>
      <c r="HF356">
        <v>397</v>
      </c>
      <c r="HG356">
        <v>2436</v>
      </c>
    </row>
    <row r="357" spans="1:325" ht="25">
      <c r="E357" t="s">
        <v>37</v>
      </c>
      <c r="F357" s="10">
        <v>44245</v>
      </c>
      <c r="W357" s="1"/>
      <c r="X357" t="inlineStr">
        <is>
          <t>09 June: The checksum system in place (columns DJ thru DQ, with skips) seems to</t>
        </is>
      </c>
      <c r="Z357" s="1"/>
      <c r="AA357" s="1"/>
      <c r="AB357" s="1"/>
      <c r="AC357" s="1"/>
      <c r="AD357" s="1"/>
      <c r="AE357" s="1"/>
      <c r="AF357" s="1"/>
      <c r="AG357" s="1"/>
      <c r="AH357" s="1"/>
      <c r="AK357" s="1"/>
      <c r="AL357" s="1"/>
      <c r="AM357" s="1"/>
      <c r="AN357" s="1"/>
      <c r="AO357" s="1"/>
      <c r="AP357" s="1"/>
      <c r="AQ357" s="1"/>
      <c r="AR357" s="1"/>
      <c r="AS357" s="1"/>
      <c r="AV357" s="1"/>
      <c r="AW357" s="1"/>
      <c r="DV357">
        <v>20</v>
      </c>
      <c r="DW357" t="s">
        <v>45</v>
      </c>
      <c r="DX357" s="8">
        <v>43943</v>
      </c>
      <c r="DY357">
        <v>18</v>
      </c>
      <c r="DZ357">
        <v>186</v>
      </c>
      <c r="EA357">
        <v>2</v>
      </c>
      <c r="GV357" s="8">
        <v>43977</v>
      </c>
      <c r="GW357">
        <v>48</v>
      </c>
      <c r="GX357" t="s">
        <v>107</v>
      </c>
      <c r="GY357">
        <v>57</v>
      </c>
      <c r="HB357">
        <v>350</v>
      </c>
      <c r="HC357">
        <v>5</v>
      </c>
      <c r="HF357">
        <v>407</v>
      </c>
      <c r="HG357">
        <v>2497</v>
      </c>
    </row>
    <row r="358" spans="1:325" ht="25">
      <c r="E358" t="s">
        <v>38</v>
      </c>
      <c r="F358" s="10">
        <v>44246</v>
      </c>
      <c r="W358" s="1"/>
      <c r="Y358" t="inlineStr">
        <is>
          <t>continue to function well, as a data-entry mistake detection mechanism.</t>
        </is>
      </c>
      <c r="Z358" s="1"/>
      <c r="AA358" s="1"/>
      <c r="AB358" s="1"/>
      <c r="AC358" s="1"/>
      <c r="AD358" s="1"/>
      <c r="AE358" s="1"/>
      <c r="AF358" s="1"/>
      <c r="AG358" s="1"/>
      <c r="AH358" s="1"/>
      <c r="AK358" s="1"/>
      <c r="AL358" s="1"/>
      <c r="AM358" s="1"/>
      <c r="AN358" s="1"/>
      <c r="AO358" s="1"/>
      <c r="AP358" s="1"/>
      <c r="AQ358" s="1"/>
      <c r="AR358" s="1"/>
      <c r="AS358" s="1"/>
      <c r="AV358" s="1"/>
      <c r="AW358" s="1"/>
      <c r="DV358">
        <v>20</v>
      </c>
      <c r="DW358" t="s">
        <v>45</v>
      </c>
      <c r="DX358" s="8">
        <v>43944</v>
      </c>
      <c r="DY358">
        <v>18</v>
      </c>
      <c r="DZ358">
        <v>186</v>
      </c>
      <c r="EA358">
        <v>2</v>
      </c>
      <c r="GV358" s="8">
        <v>43978</v>
      </c>
      <c r="GW358">
        <v>48</v>
      </c>
      <c r="GX358" t="s">
        <v>107</v>
      </c>
      <c r="GY358">
        <v>57</v>
      </c>
      <c r="HB358">
        <v>350</v>
      </c>
      <c r="HC358">
        <v>5</v>
      </c>
      <c r="HF358">
        <v>427</v>
      </c>
      <c r="HG358">
        <v>2620</v>
      </c>
    </row>
    <row r="359" spans="1:325" ht="20.25">
      <c r="E359" t="s">
        <v>40</v>
      </c>
      <c r="F359" s="10">
        <v>44247</v>
      </c>
      <c r="W359" s="1"/>
      <c r="Z359" s="1"/>
      <c r="AA359" s="1"/>
      <c r="AB359" s="1"/>
      <c r="AC359" s="1"/>
      <c r="AD359" s="1"/>
      <c r="AE359" s="1"/>
      <c r="AF359" s="1"/>
      <c r="AG359" s="1"/>
      <c r="AH359" s="1"/>
      <c r="AK359" s="1"/>
      <c r="AL359" s="1"/>
      <c r="AM359" s="1"/>
      <c r="AN359" s="1"/>
      <c r="AO359" s="1"/>
      <c r="AP359" s="1"/>
      <c r="AQ359" s="1"/>
      <c r="AR359" s="1"/>
      <c r="AS359" s="1"/>
      <c r="AV359" s="1"/>
      <c r="AW359" s="1"/>
      <c r="DV359">
        <v>20</v>
      </c>
      <c r="DW359" t="s">
        <v>45</v>
      </c>
      <c r="DX359" s="8">
        <v>43945</v>
      </c>
      <c r="DY359">
        <v>18</v>
      </c>
      <c r="DZ359">
        <v>186</v>
      </c>
      <c r="EA359">
        <v>2</v>
      </c>
      <c r="GV359" s="8">
        <v>43979</v>
      </c>
      <c r="GW359">
        <v>48</v>
      </c>
      <c r="GX359" t="s">
        <v>107</v>
      </c>
      <c r="GY359">
        <v>58</v>
      </c>
      <c r="HB359">
        <v>356</v>
      </c>
      <c r="HC359">
        <v>5</v>
      </c>
      <c r="HF359">
        <v>434</v>
      </c>
      <c r="HG359">
        <v>2663</v>
      </c>
    </row>
    <row r="360" spans="1:325" ht="20.25">
      <c r="E360" t="s">
        <v>30</v>
      </c>
      <c r="F360" s="10">
        <v>44248</v>
      </c>
      <c r="Z360" s="1"/>
      <c r="AA360" s="1"/>
      <c r="AB360" s="1"/>
      <c r="AC360" s="1"/>
      <c r="AD360" s="1"/>
      <c r="AE360" s="1"/>
      <c r="AF360" s="1"/>
      <c r="AG360" s="1"/>
      <c r="AH360" s="1"/>
      <c r="AK360" s="1"/>
      <c r="AL360" s="1"/>
      <c r="AM360" s="1"/>
      <c r="AN360" s="1"/>
      <c r="AO360" s="1"/>
      <c r="AP360" s="1"/>
      <c r="AQ360" s="1"/>
      <c r="AR360" s="1"/>
      <c r="DV360">
        <v>20</v>
      </c>
      <c r="DW360" t="s">
        <v>45</v>
      </c>
      <c r="DX360" s="8">
        <v>43946</v>
      </c>
      <c r="DY360">
        <v>19</v>
      </c>
      <c r="DZ360">
        <v>197</v>
      </c>
      <c r="EA360">
        <v>2</v>
      </c>
      <c r="GV360" s="8">
        <v>43980</v>
      </c>
      <c r="GW360">
        <v>48</v>
      </c>
      <c r="GX360" t="s">
        <v>107</v>
      </c>
      <c r="GY360">
        <v>58</v>
      </c>
      <c r="HB360">
        <v>356</v>
      </c>
      <c r="HC360">
        <v>5</v>
      </c>
      <c r="HF360">
        <v>446</v>
      </c>
      <c r="HG360">
        <v>2736</v>
      </c>
    </row>
    <row r="361" spans="1:325" ht="20.25">
      <c r="E361" t="s">
        <v>33</v>
      </c>
      <c r="F361" s="10">
        <v>44249</v>
      </c>
      <c r="Z361" s="1"/>
      <c r="AA361" s="1"/>
      <c r="AB361" s="1"/>
      <c r="AC361" s="1"/>
      <c r="AD361" s="1"/>
      <c r="AE361" s="1"/>
      <c r="AF361" s="1"/>
      <c r="AG361" s="1"/>
      <c r="AH361" s="1"/>
      <c r="AK361" s="1"/>
      <c r="AL361" s="1"/>
      <c r="AM361" s="1"/>
      <c r="AN361" s="1"/>
      <c r="AO361" s="1"/>
      <c r="AP361" s="1"/>
      <c r="AQ361" s="1"/>
      <c r="AR361" s="1"/>
      <c r="DV361">
        <v>20</v>
      </c>
      <c r="DW361" t="s">
        <v>45</v>
      </c>
      <c r="DX361" s="8">
        <v>43947</v>
      </c>
      <c r="DY361">
        <v>19</v>
      </c>
      <c r="DZ361">
        <v>197</v>
      </c>
      <c r="EA361">
        <v>2</v>
      </c>
      <c r="GV361" s="8">
        <v>43981</v>
      </c>
      <c r="GW361">
        <v>48</v>
      </c>
      <c r="GX361" t="s">
        <v>107</v>
      </c>
      <c r="GY361">
        <v>58</v>
      </c>
      <c r="HB361">
        <v>356</v>
      </c>
      <c r="HC361">
        <v>5</v>
      </c>
      <c r="HF361">
        <v>451</v>
      </c>
      <c r="HG361">
        <v>2767</v>
      </c>
    </row>
    <row r="362" spans="1:325" ht="20.25">
      <c r="E362" t="s">
        <v>34</v>
      </c>
      <c r="F362" s="10">
        <v>44250</v>
      </c>
      <c r="Z362" s="1"/>
      <c r="AA362" s="1"/>
      <c r="AB362" s="1"/>
      <c r="AC362" s="1"/>
      <c r="AD362" s="1"/>
      <c r="AE362" s="1"/>
      <c r="AF362" s="1"/>
      <c r="AG362" s="1"/>
      <c r="AH362" s="1"/>
      <c r="AK362" s="1"/>
      <c r="AL362" s="1"/>
      <c r="AM362" s="1"/>
      <c r="AN362" s="1"/>
      <c r="AO362" s="1"/>
      <c r="AP362" s="1"/>
      <c r="AQ362" s="1"/>
      <c r="AR362" s="1"/>
      <c r="DV362">
        <v>20</v>
      </c>
      <c r="DW362" t="s">
        <v>45</v>
      </c>
      <c r="DX362" s="8">
        <v>43948</v>
      </c>
      <c r="DY362">
        <v>19</v>
      </c>
      <c r="DZ362">
        <v>197</v>
      </c>
      <c r="EA362">
        <v>2</v>
      </c>
      <c r="GV362" s="8">
        <v>43982</v>
      </c>
      <c r="GW362">
        <v>48</v>
      </c>
      <c r="GX362" t="s">
        <v>107</v>
      </c>
      <c r="GY362">
        <v>59</v>
      </c>
      <c r="GZ362">
        <v>53</v>
      </c>
      <c r="HA362">
        <v>6</v>
      </c>
      <c r="HB362">
        <v>362</v>
      </c>
      <c r="HC362">
        <v>5</v>
      </c>
      <c r="HD362">
        <v>5</v>
      </c>
      <c r="HE362">
        <v>0</v>
      </c>
      <c r="HF362">
        <v>467</v>
      </c>
      <c r="HG362">
        <v>2865</v>
      </c>
      <c r="HH362">
        <v>524</v>
      </c>
      <c r="HI362">
        <v>61</v>
      </c>
      <c r="HJ362">
        <v>463</v>
      </c>
      <c r="HK362">
        <v>0</v>
      </c>
    </row>
    <row r="363" spans="1:325" ht="20.25">
      <c r="E363" t="s">
        <v>35</v>
      </c>
      <c r="F363" s="10">
        <v>44251</v>
      </c>
      <c r="Z363" s="1"/>
      <c r="AA363" s="1"/>
      <c r="AB363" s="1"/>
      <c r="AC363" s="1"/>
      <c r="AD363" s="1"/>
      <c r="AE363" s="1"/>
      <c r="AF363" s="1"/>
      <c r="AG363" s="1"/>
      <c r="AH363" s="1"/>
      <c r="AK363" s="1"/>
      <c r="AL363" s="1"/>
      <c r="AM363" s="1"/>
      <c r="AN363" s="1"/>
      <c r="AO363" s="1"/>
      <c r="AP363" s="1"/>
      <c r="AQ363" s="1"/>
      <c r="AR363" s="1"/>
      <c r="DV363">
        <v>20</v>
      </c>
      <c r="DW363" t="s">
        <v>45</v>
      </c>
      <c r="DX363" s="8">
        <v>43949</v>
      </c>
      <c r="DY363">
        <v>19</v>
      </c>
      <c r="DZ363">
        <v>197</v>
      </c>
      <c r="EA363">
        <v>1</v>
      </c>
      <c r="GV363" s="8">
        <v>43983</v>
      </c>
      <c r="GW363">
        <v>48</v>
      </c>
      <c r="GX363" t="s">
        <v>107</v>
      </c>
      <c r="GY363">
        <v>59</v>
      </c>
      <c r="GZ363">
        <v>53</v>
      </c>
      <c r="HA363">
        <v>6</v>
      </c>
      <c r="HB363">
        <v>362</v>
      </c>
      <c r="HC363">
        <v>5</v>
      </c>
      <c r="HD363">
        <v>5</v>
      </c>
      <c r="HE363">
        <v>0</v>
      </c>
      <c r="HF363">
        <v>486</v>
      </c>
      <c r="HG363">
        <v>2982</v>
      </c>
      <c r="HH363">
        <v>545</v>
      </c>
      <c r="HI363">
        <v>61</v>
      </c>
      <c r="HJ363">
        <v>484</v>
      </c>
      <c r="HK363">
        <v>0</v>
      </c>
    </row>
    <row r="364" spans="1:325" ht="20.25">
      <c r="E364" t="s">
        <v>37</v>
      </c>
      <c r="F364" s="10">
        <v>44252</v>
      </c>
      <c r="Z364" s="1"/>
      <c r="AA364" s="1"/>
      <c r="AB364" s="1"/>
      <c r="AC364" s="1"/>
      <c r="AD364" s="1"/>
      <c r="AE364" s="1"/>
      <c r="AF364" s="1"/>
      <c r="AG364" s="1"/>
      <c r="AH364" s="1"/>
      <c r="AK364" s="1"/>
      <c r="AL364" s="1"/>
      <c r="AM364" s="1"/>
      <c r="AN364" s="1"/>
      <c r="AO364" s="1"/>
      <c r="AP364" s="1"/>
      <c r="AQ364" s="1"/>
      <c r="AR364" s="1"/>
      <c r="DV364">
        <v>20</v>
      </c>
      <c r="DW364" t="s">
        <v>45</v>
      </c>
      <c r="DX364" s="8">
        <v>43950</v>
      </c>
      <c r="DY364">
        <v>18</v>
      </c>
      <c r="DZ364">
        <v>186</v>
      </c>
      <c r="EA364">
        <v>1</v>
      </c>
      <c r="GV364" s="8">
        <v>43984</v>
      </c>
      <c r="GW364">
        <v>48</v>
      </c>
      <c r="GX364" t="s">
        <v>107</v>
      </c>
      <c r="GY364">
        <v>61</v>
      </c>
      <c r="GZ364">
        <v>55</v>
      </c>
      <c r="HA364">
        <v>6</v>
      </c>
      <c r="HB364">
        <v>374</v>
      </c>
      <c r="HC364">
        <v>5</v>
      </c>
      <c r="HD364">
        <v>5</v>
      </c>
      <c r="HE364">
        <v>0</v>
      </c>
      <c r="HF364">
        <v>494</v>
      </c>
      <c r="HG364">
        <v>3031</v>
      </c>
      <c r="HH364">
        <v>555</v>
      </c>
      <c r="HI364">
        <v>63</v>
      </c>
      <c r="HJ364">
        <v>492</v>
      </c>
      <c r="HK364">
        <v>0</v>
      </c>
    </row>
    <row r="365" spans="1:325" ht="25">
      <c r="E365" t="s">
        <v>38</v>
      </c>
      <c r="F365" s="10">
        <v>44253</v>
      </c>
      <c r="X365" t="inlineStr">
        <is>
          <t>General:</t>
        </is>
      </c>
      <c r="DV365">
        <v>20</v>
      </c>
      <c r="DW365" t="s">
        <v>45</v>
      </c>
      <c r="DX365" s="8">
        <v>43951</v>
      </c>
      <c r="DY365">
        <v>18</v>
      </c>
      <c r="DZ365">
        <v>186</v>
      </c>
      <c r="EA365">
        <v>1</v>
      </c>
      <c r="GV365" s="8">
        <v>43914</v>
      </c>
      <c r="GW365">
        <v>67</v>
      </c>
      <c r="GX365" t="s">
        <v>63</v>
      </c>
      <c r="GY365">
        <v>0</v>
      </c>
      <c r="HC365">
        <v>0</v>
      </c>
    </row>
    <row r="366" spans="1:325" ht="25">
      <c r="E366" t="s">
        <v>40</v>
      </c>
      <c r="F366" s="10">
        <v>44254</v>
      </c>
      <c r="Z366" t="inlineStr">
        <is>
          <t>Latency:</t>
        </is>
      </c>
      <c r="DV366">
        <v>20</v>
      </c>
      <c r="DW366" t="s">
        <v>45</v>
      </c>
      <c r="DX366" s="8">
        <v>43952</v>
      </c>
      <c r="DY366">
        <v>18</v>
      </c>
      <c r="DZ366">
        <v>186</v>
      </c>
      <c r="EA366">
        <v>1</v>
      </c>
      <c r="GV366" s="8">
        <v>43915</v>
      </c>
      <c r="GW366">
        <v>67</v>
      </c>
      <c r="GX366" t="s">
        <v>63</v>
      </c>
      <c r="GY366">
        <v>0</v>
      </c>
      <c r="HC366">
        <v>0</v>
      </c>
    </row>
    <row r="367" spans="1:325" ht="25">
      <c r="E367" t="s">
        <v>30</v>
      </c>
      <c r="F367" s="10">
        <v>44255</v>
      </c>
      <c r="AC367" t="inlineStr">
        <is>
          <t>Confirmed: infected 5-7 days ago.</t>
        </is>
      </c>
      <c r="DV367">
        <v>20</v>
      </c>
      <c r="DW367" t="s">
        <v>45</v>
      </c>
      <c r="DX367" s="8">
        <v>43953</v>
      </c>
      <c r="DY367">
        <v>18</v>
      </c>
      <c r="DZ367">
        <v>186</v>
      </c>
      <c r="EA367">
        <v>1</v>
      </c>
      <c r="GV367" s="8">
        <v>43916</v>
      </c>
      <c r="GW367">
        <v>67</v>
      </c>
      <c r="GX367" t="s">
        <v>63</v>
      </c>
      <c r="GY367">
        <v>1</v>
      </c>
      <c r="HC367">
        <v>0</v>
      </c>
    </row>
    <row r="368" spans="1:325" ht="20.25">
      <c r="E368" t="s">
        <v>33</v>
      </c>
      <c r="F368" s="10">
        <v>44256</v>
      </c>
      <c r="DV368">
        <v>20</v>
      </c>
      <c r="DW368" t="s">
        <v>45</v>
      </c>
      <c r="DX368" s="8">
        <v>43954</v>
      </c>
      <c r="DY368">
        <v>18</v>
      </c>
      <c r="DZ368">
        <v>186</v>
      </c>
      <c r="EA368">
        <v>1</v>
      </c>
      <c r="GV368" s="8">
        <v>43917</v>
      </c>
      <c r="GW368">
        <v>67</v>
      </c>
      <c r="GX368" t="s">
        <v>63</v>
      </c>
      <c r="GY368">
        <v>1</v>
      </c>
      <c r="HC368">
        <v>0</v>
      </c>
    </row>
    <row r="369" spans="1:325" ht="25">
      <c r="E369" t="s">
        <v>34</v>
      </c>
      <c r="F369" s="10">
        <v>44257</v>
      </c>
      <c r="AC369" t="inlineStr">
        <is>
          <t>Hospitalized: infected 1-3 weeks ago.</t>
        </is>
      </c>
      <c r="DV369">
        <v>20</v>
      </c>
      <c r="DW369" t="s">
        <v>45</v>
      </c>
      <c r="DX369" s="8">
        <v>43955</v>
      </c>
      <c r="DY369">
        <v>18</v>
      </c>
      <c r="DZ369">
        <v>186</v>
      </c>
      <c r="EA369">
        <v>1</v>
      </c>
      <c r="GV369" s="8">
        <v>43918</v>
      </c>
      <c r="GW369">
        <v>67</v>
      </c>
      <c r="GX369" t="s">
        <v>63</v>
      </c>
      <c r="GY369">
        <v>1</v>
      </c>
      <c r="HC369">
        <v>0</v>
      </c>
    </row>
    <row r="370" spans="1:325" ht="20.25">
      <c r="E370" t="s">
        <v>35</v>
      </c>
      <c r="F370" s="10">
        <v>44258</v>
      </c>
      <c r="DV370">
        <v>20</v>
      </c>
      <c r="DW370" t="s">
        <v>45</v>
      </c>
      <c r="DX370" s="8">
        <v>43956</v>
      </c>
      <c r="DY370">
        <v>18</v>
      </c>
      <c r="DZ370">
        <v>186</v>
      </c>
      <c r="EA370">
        <v>1</v>
      </c>
      <c r="GV370" s="8">
        <v>43919</v>
      </c>
      <c r="GW370">
        <v>67</v>
      </c>
      <c r="GX370" t="s">
        <v>63</v>
      </c>
      <c r="GY370">
        <v>1</v>
      </c>
      <c r="HC370">
        <v>0</v>
      </c>
    </row>
    <row r="371" spans="1:325" ht="25">
      <c r="E371" t="s">
        <v>37</v>
      </c>
      <c r="F371" s="10">
        <v>44259</v>
      </c>
      <c r="AC371" t="inlineStr">
        <is>
          <t>Death: infected 3-4 weeks ago.</t>
        </is>
      </c>
      <c r="DV371">
        <v>20</v>
      </c>
      <c r="DW371" t="s">
        <v>45</v>
      </c>
      <c r="DX371" s="8">
        <v>43957</v>
      </c>
      <c r="DY371">
        <v>19</v>
      </c>
      <c r="DZ371">
        <v>197</v>
      </c>
      <c r="EA371">
        <v>1</v>
      </c>
      <c r="GV371" s="8">
        <v>43920</v>
      </c>
      <c r="GW371">
        <v>67</v>
      </c>
      <c r="GX371" t="s">
        <v>63</v>
      </c>
      <c r="GY371">
        <v>3</v>
      </c>
      <c r="HC371">
        <v>0</v>
      </c>
    </row>
    <row r="372" spans="1:325" ht="20.25">
      <c r="E372" t="s">
        <v>38</v>
      </c>
      <c r="F372" s="10">
        <v>44260</v>
      </c>
      <c r="DV372">
        <v>20</v>
      </c>
      <c r="DW372" t="s">
        <v>45</v>
      </c>
      <c r="DX372" s="8">
        <v>43958</v>
      </c>
      <c r="DY372">
        <v>19</v>
      </c>
      <c r="DZ372">
        <v>197</v>
      </c>
      <c r="EA372">
        <v>1</v>
      </c>
      <c r="GV372" s="8">
        <v>43921</v>
      </c>
      <c r="GW372">
        <v>67</v>
      </c>
      <c r="GX372" t="s">
        <v>63</v>
      </c>
      <c r="GY372">
        <v>3</v>
      </c>
      <c r="HC372">
        <v>0</v>
      </c>
    </row>
    <row r="373" spans="1:325" ht="25">
      <c r="E373" t="s">
        <v>40</v>
      </c>
      <c r="F373" s="10">
        <v>44261</v>
      </c>
      <c r="AF373" t="inlineStr">
        <is>
          <t>Source: Osterholm, 8 April 2020 (podcast).</t>
        </is>
      </c>
      <c r="DV373">
        <v>20</v>
      </c>
      <c r="DW373" t="s">
        <v>45</v>
      </c>
      <c r="DX373" s="8">
        <v>43959</v>
      </c>
      <c r="DY373">
        <v>19</v>
      </c>
      <c r="DZ373">
        <v>197</v>
      </c>
      <c r="EA373">
        <v>1</v>
      </c>
      <c r="GV373" s="8">
        <v>43922</v>
      </c>
      <c r="GW373">
        <v>67</v>
      </c>
      <c r="GX373" t="s">
        <v>63</v>
      </c>
      <c r="GY373">
        <v>4</v>
      </c>
      <c r="HC373">
        <v>0</v>
      </c>
    </row>
    <row r="374" spans="1:325" ht="20.25">
      <c r="E374" t="s">
        <v>30</v>
      </c>
      <c r="F374" s="10">
        <v>44262</v>
      </c>
      <c r="DV374">
        <v>20</v>
      </c>
      <c r="DW374" t="s">
        <v>45</v>
      </c>
      <c r="DX374" s="8">
        <v>43960</v>
      </c>
      <c r="DY374">
        <v>20</v>
      </c>
      <c r="DZ374">
        <v>207</v>
      </c>
      <c r="EA374">
        <v>1</v>
      </c>
      <c r="GV374" s="8">
        <v>43923</v>
      </c>
      <c r="GW374">
        <v>67</v>
      </c>
      <c r="GX374" t="s">
        <v>63</v>
      </c>
      <c r="GY374">
        <v>4</v>
      </c>
      <c r="HC374">
        <v>0</v>
      </c>
    </row>
    <row r="375" spans="1:325" ht="25">
      <c r="E375" t="s">
        <v>33</v>
      </c>
      <c r="F375" s="10">
        <v>44263</v>
      </c>
      <c r="AI375" t="inlineStr">
        <is>
          <t>https://twitter.com/CIDRAP/status/1248291432202407939</t>
        </is>
      </c>
      <c r="DV375">
        <v>20</v>
      </c>
      <c r="DW375" t="s">
        <v>45</v>
      </c>
      <c r="DX375" s="8">
        <v>43961</v>
      </c>
      <c r="DY375">
        <v>20</v>
      </c>
      <c r="DZ375">
        <v>207</v>
      </c>
      <c r="EA375">
        <v>1</v>
      </c>
      <c r="GV375" s="8">
        <v>43924</v>
      </c>
      <c r="GW375">
        <v>67</v>
      </c>
      <c r="GX375" t="s">
        <v>63</v>
      </c>
      <c r="GY375">
        <v>4</v>
      </c>
      <c r="HC375">
        <v>0</v>
      </c>
    </row>
    <row r="376" spans="1:325" ht="20.25">
      <c r="E376" t="s">
        <v>34</v>
      </c>
      <c r="F376" s="10">
        <v>44264</v>
      </c>
      <c r="DV376">
        <v>20</v>
      </c>
      <c r="DW376" t="s">
        <v>45</v>
      </c>
      <c r="DX376" s="8">
        <v>43962</v>
      </c>
      <c r="DY376">
        <v>20</v>
      </c>
      <c r="DZ376">
        <v>207</v>
      </c>
      <c r="EA376">
        <v>1</v>
      </c>
      <c r="GV376" s="8">
        <v>43925</v>
      </c>
      <c r="GW376">
        <v>67</v>
      </c>
      <c r="GX376" t="s">
        <v>63</v>
      </c>
      <c r="GY376">
        <v>4</v>
      </c>
      <c r="HC376">
        <v>0</v>
      </c>
    </row>
    <row r="377" spans="1:325" ht="25">
      <c r="E377" t="s">
        <v>35</v>
      </c>
      <c r="F377" s="10">
        <v>44265</v>
      </c>
      <c r="AK377" t="inlineStr">
        <is>
          <t>Episode 3 of Osterholm Update:</t>
        </is>
      </c>
      <c r="DV377">
        <v>20</v>
      </c>
      <c r="DW377" t="s">
        <v>45</v>
      </c>
      <c r="DX377" s="8">
        <v>43963</v>
      </c>
      <c r="DY377">
        <v>20</v>
      </c>
      <c r="DZ377">
        <v>207</v>
      </c>
      <c r="EA377">
        <v>1</v>
      </c>
      <c r="GV377" s="8">
        <v>43926</v>
      </c>
      <c r="GW377">
        <v>67</v>
      </c>
      <c r="GX377" t="s">
        <v>63</v>
      </c>
      <c r="GY377">
        <v>4</v>
      </c>
      <c r="HC377">
        <v>0</v>
      </c>
    </row>
    <row r="378" spans="1:325" ht="20.25">
      <c r="E378" t="s">
        <v>37</v>
      </c>
      <c r="F378" s="10">
        <v>44266</v>
      </c>
      <c r="DV378">
        <v>20</v>
      </c>
      <c r="DW378" t="s">
        <v>45</v>
      </c>
      <c r="DX378" s="8">
        <v>43964</v>
      </c>
      <c r="DY378">
        <v>21</v>
      </c>
      <c r="DZ378">
        <v>217</v>
      </c>
      <c r="EA378">
        <v>1</v>
      </c>
      <c r="GV378" s="8">
        <v>43927</v>
      </c>
      <c r="GW378">
        <v>67</v>
      </c>
      <c r="GX378" t="s">
        <v>63</v>
      </c>
      <c r="GY378">
        <v>5</v>
      </c>
      <c r="HC378">
        <v>0</v>
      </c>
    </row>
    <row r="379" spans="1:325" ht="25">
      <c r="E379" t="s">
        <v>38</v>
      </c>
      <c r="F379" s="10">
        <v>44267</v>
      </c>
      <c r="AN379" t="inlineStr">
        <is>
          <t>http://ow.ly/d5Gk30qwD7o #Coronavirus</t>
        </is>
      </c>
      <c r="DV379">
        <v>20</v>
      </c>
      <c r="DW379" t="s">
        <v>45</v>
      </c>
      <c r="DX379" s="8">
        <v>43965</v>
      </c>
      <c r="DY379">
        <v>21</v>
      </c>
      <c r="DZ379">
        <v>217</v>
      </c>
      <c r="EA379">
        <v>1</v>
      </c>
      <c r="GV379" s="8">
        <v>43928</v>
      </c>
      <c r="GW379">
        <v>67</v>
      </c>
      <c r="GX379" t="s">
        <v>63</v>
      </c>
      <c r="GY379">
        <v>5</v>
      </c>
      <c r="HC379">
        <v>0</v>
      </c>
    </row>
    <row r="380" spans="1:325" ht="20.25">
      <c r="E380" t="s">
        <v>40</v>
      </c>
      <c r="F380" s="10">
        <v>44268</v>
      </c>
      <c r="DV380">
        <v>20</v>
      </c>
      <c r="DW380" t="s">
        <v>45</v>
      </c>
      <c r="DX380" s="8">
        <v>43966</v>
      </c>
      <c r="DY380">
        <v>21</v>
      </c>
      <c r="DZ380">
        <v>217</v>
      </c>
      <c r="EA380">
        <v>1</v>
      </c>
      <c r="GV380" s="8">
        <v>43929</v>
      </c>
      <c r="GW380">
        <v>67</v>
      </c>
      <c r="GX380" t="s">
        <v>63</v>
      </c>
      <c r="GY380">
        <v>6</v>
      </c>
      <c r="HC380">
        <v>0</v>
      </c>
    </row>
    <row r="381" spans="1:325" ht="25">
      <c r="E381" t="s">
        <v>30</v>
      </c>
      <c r="F381" s="10">
        <v>44269</v>
      </c>
      <c r="AN381" t="inlineStr">
        <is>
          <t>#COVID19 is now live:</t>
        </is>
      </c>
      <c r="DV381">
        <v>23</v>
      </c>
      <c r="DW381" t="s">
        <v>46</v>
      </c>
      <c r="DX381" s="8">
        <v>43914</v>
      </c>
      <c r="DY381">
        <v>0</v>
      </c>
      <c r="EA381">
        <v>0</v>
      </c>
      <c r="GV381" s="8">
        <v>43930</v>
      </c>
      <c r="GW381">
        <v>67</v>
      </c>
      <c r="GX381" t="s">
        <v>63</v>
      </c>
      <c r="GY381">
        <v>7</v>
      </c>
      <c r="HC381">
        <v>0</v>
      </c>
    </row>
    <row r="382" spans="1:325" ht="25">
      <c r="E382" t="s">
        <v>33</v>
      </c>
      <c r="F382" s="10">
        <v>44270</v>
      </c>
      <c r="AN382" t="inlineStr">
        <is>
          <t>"Preparing For What's To Come,"</t>
        </is>
      </c>
      <c r="DV382">
        <v>23</v>
      </c>
      <c r="DW382" t="s">
        <v>46</v>
      </c>
      <c r="DX382" s="8">
        <v>43915</v>
      </c>
      <c r="DY382">
        <v>0</v>
      </c>
      <c r="EA382">
        <v>0</v>
      </c>
      <c r="GV382" s="8">
        <v>43931</v>
      </c>
      <c r="GW382">
        <v>67</v>
      </c>
      <c r="GX382" t="s">
        <v>63</v>
      </c>
      <c r="GY382">
        <v>7</v>
      </c>
      <c r="HC382">
        <v>0</v>
      </c>
    </row>
    <row r="383" spans="1:325" ht="25">
      <c r="E383" t="s">
        <v>34</v>
      </c>
      <c r="F383" s="10">
        <v>44271</v>
      </c>
      <c r="AN383" t="inlineStr">
        <is>
          <t>in which Dr. Osterholm discusses the US situation,</t>
        </is>
      </c>
      <c r="DV383">
        <v>23</v>
      </c>
      <c r="DW383" t="s">
        <v>46</v>
      </c>
      <c r="DX383" s="8">
        <v>43916</v>
      </c>
      <c r="DY383">
        <v>0</v>
      </c>
      <c r="EA383">
        <v>0</v>
      </c>
      <c r="GV383" s="8">
        <v>43932</v>
      </c>
      <c r="GW383">
        <v>67</v>
      </c>
      <c r="GX383" t="s">
        <v>63</v>
      </c>
      <c r="GY383">
        <v>9</v>
      </c>
      <c r="HC383">
        <v>0</v>
      </c>
    </row>
    <row r="384" spans="1:325" ht="25">
      <c r="E384" t="s">
        <v>35</v>
      </c>
      <c r="F384" s="10">
        <v>44272</v>
      </c>
      <c r="AN384" t="inlineStr">
        <is>
          <t>the potential for subsequent waves, racial</t>
        </is>
      </c>
      <c r="DV384">
        <v>23</v>
      </c>
      <c r="DW384" t="s">
        <v>46</v>
      </c>
      <c r="DX384" s="8">
        <v>43917</v>
      </c>
      <c r="DY384">
        <v>0</v>
      </c>
      <c r="EA384">
        <v>0</v>
      </c>
      <c r="GV384" s="8">
        <v>43933</v>
      </c>
      <c r="GW384">
        <v>67</v>
      </c>
      <c r="GX384" t="s">
        <v>63</v>
      </c>
      <c r="GY384">
        <v>9</v>
      </c>
      <c r="HC384">
        <v>0</v>
      </c>
    </row>
    <row r="385" spans="1:325" ht="25">
      <c r="E385" t="s">
        <v>37</v>
      </c>
      <c r="F385" s="10">
        <v>44273</v>
      </c>
      <c r="AN385" t="inlineStr">
        <is>
          <t>and gender disparities,</t>
        </is>
      </c>
      <c r="DV385">
        <v>23</v>
      </c>
      <c r="DW385" t="s">
        <v>46</v>
      </c>
      <c r="DX385" s="8">
        <v>43918</v>
      </c>
      <c r="DY385">
        <v>0</v>
      </c>
      <c r="EA385">
        <v>0</v>
      </c>
      <c r="GV385" s="8">
        <v>43934</v>
      </c>
      <c r="GW385">
        <v>67</v>
      </c>
      <c r="GX385" t="s">
        <v>63</v>
      </c>
      <c r="GY385">
        <v>7</v>
      </c>
      <c r="HC385">
        <v>0</v>
      </c>
    </row>
    <row r="386" spans="1:325" ht="25">
      <c r="E386" t="s">
        <v>38</v>
      </c>
      <c r="F386" s="10">
        <v>44274</v>
      </c>
      <c r="AN386" t="inlineStr">
        <is>
          <t>and the use of masks by the public</t>
        </is>
      </c>
      <c r="DV386">
        <v>23</v>
      </c>
      <c r="DW386" t="s">
        <v>46</v>
      </c>
      <c r="DX386" s="8">
        <v>43919</v>
      </c>
      <c r="DY386">
        <v>1</v>
      </c>
      <c r="EA386">
        <v>0</v>
      </c>
      <c r="GV386" s="8">
        <v>43935</v>
      </c>
      <c r="GW386">
        <v>67</v>
      </c>
      <c r="GX386" t="s">
        <v>63</v>
      </c>
      <c r="GY386">
        <v>7</v>
      </c>
      <c r="HC386">
        <v>0</v>
      </c>
    </row>
    <row r="387" spans="1:325" ht="20.25">
      <c r="E387" t="s">
        <v>40</v>
      </c>
      <c r="F387" s="10">
        <v>44275</v>
      </c>
      <c r="DV387">
        <v>23</v>
      </c>
      <c r="DW387" t="s">
        <v>46</v>
      </c>
      <c r="DX387" s="8">
        <v>43920</v>
      </c>
      <c r="DY387">
        <v>1</v>
      </c>
      <c r="EA387">
        <v>0</v>
      </c>
      <c r="GV387" s="8">
        <v>43936</v>
      </c>
      <c r="GW387">
        <v>67</v>
      </c>
      <c r="GX387" t="s">
        <v>63</v>
      </c>
      <c r="GY387">
        <v>7</v>
      </c>
      <c r="HC387">
        <v>0</v>
      </c>
    </row>
    <row r="388" spans="1:325" ht="20.25">
      <c r="E388" t="s">
        <v>30</v>
      </c>
      <c r="F388" s="10">
        <v>44276</v>
      </c>
      <c r="DV388">
        <v>23</v>
      </c>
      <c r="DW388" t="s">
        <v>46</v>
      </c>
      <c r="DX388" s="8">
        <v>43921</v>
      </c>
      <c r="DY388">
        <v>1</v>
      </c>
      <c r="EA388">
        <v>0</v>
      </c>
      <c r="GV388" s="8">
        <v>43937</v>
      </c>
      <c r="GW388">
        <v>67</v>
      </c>
      <c r="GX388" t="s">
        <v>63</v>
      </c>
      <c r="GY388">
        <v>8</v>
      </c>
      <c r="HB388">
        <v>84</v>
      </c>
      <c r="HC388">
        <v>0</v>
      </c>
    </row>
    <row r="389" spans="1:325" ht="20.25">
      <c r="E389" t="s">
        <v>33</v>
      </c>
      <c r="F389">
        <v>22</v>
      </c>
      <c r="DV389">
        <v>23</v>
      </c>
      <c r="DW389" t="s">
        <v>46</v>
      </c>
      <c r="DX389" s="8">
        <v>43922</v>
      </c>
      <c r="DY389">
        <v>2</v>
      </c>
      <c r="EA389">
        <v>0</v>
      </c>
      <c r="GV389" s="8">
        <v>43938</v>
      </c>
      <c r="GW389">
        <v>67</v>
      </c>
      <c r="GX389" t="s">
        <v>63</v>
      </c>
      <c r="GY389">
        <v>10</v>
      </c>
      <c r="HB389">
        <v>105</v>
      </c>
      <c r="HC389">
        <v>0</v>
      </c>
      <c r="JO389" t="inlineStr">
        <is>
          <t>June 4th maps to scale 95</t>
        </is>
      </c>
      <c r="JT389">
        <v>4</v>
      </c>
      <c r="JU389">
        <v>95</v>
      </c>
    </row>
    <row r="390" spans="1:325" ht="20.25">
      <c r="E390" t="s">
        <v>34</v>
      </c>
      <c r="F390">
        <v>23</v>
      </c>
      <c r="DV390">
        <v>23</v>
      </c>
      <c r="DW390" t="s">
        <v>46</v>
      </c>
      <c r="DX390" s="8">
        <v>43923</v>
      </c>
      <c r="DY390">
        <v>2</v>
      </c>
      <c r="EA390">
        <v>0</v>
      </c>
      <c r="GV390" s="8">
        <v>43939</v>
      </c>
      <c r="GW390">
        <v>67</v>
      </c>
      <c r="GX390" t="s">
        <v>63</v>
      </c>
      <c r="GY390">
        <v>10</v>
      </c>
      <c r="HB390">
        <v>105</v>
      </c>
      <c r="HC390">
        <v>0</v>
      </c>
      <c r="JT390">
        <v>6</v>
      </c>
      <c r="JU390">
        <v>97</v>
      </c>
    </row>
    <row r="391" spans="1:325" ht="20.25">
      <c r="E391" t="s">
        <v>35</v>
      </c>
      <c r="F391">
        <v>24</v>
      </c>
      <c r="DV391">
        <v>23</v>
      </c>
      <c r="DW391" t="s">
        <v>46</v>
      </c>
      <c r="DX391" s="8">
        <v>43924</v>
      </c>
      <c r="DY391">
        <v>2</v>
      </c>
      <c r="EA391">
        <v>0</v>
      </c>
      <c r="GV391" s="8">
        <v>43940</v>
      </c>
      <c r="GW391">
        <v>67</v>
      </c>
      <c r="GX391" t="s">
        <v>63</v>
      </c>
      <c r="GY391">
        <v>11</v>
      </c>
      <c r="HB391">
        <v>116</v>
      </c>
      <c r="HC391">
        <v>0</v>
      </c>
      <c r="JT391">
        <v>8</v>
      </c>
      <c r="JU391">
        <v>99</v>
      </c>
    </row>
    <row r="392" spans="1:325" ht="20.25">
      <c r="E392" t="s">
        <v>37</v>
      </c>
      <c r="F392">
        <v>25</v>
      </c>
      <c r="DV392">
        <v>23</v>
      </c>
      <c r="DW392" t="s">
        <v>46</v>
      </c>
      <c r="DX392" s="8">
        <v>43925</v>
      </c>
      <c r="DY392">
        <v>2</v>
      </c>
      <c r="EA392">
        <v>0</v>
      </c>
      <c r="GV392" s="8">
        <v>43941</v>
      </c>
      <c r="GW392">
        <v>67</v>
      </c>
      <c r="GX392" t="s">
        <v>63</v>
      </c>
      <c r="GY392">
        <v>11</v>
      </c>
      <c r="HB392">
        <v>116</v>
      </c>
      <c r="HC392">
        <v>0</v>
      </c>
      <c r="JO392" t="inlineStr">
        <is>
          <t>June 10th maps to scale 101</t>
        </is>
      </c>
      <c r="JT392">
        <v>10</v>
      </c>
      <c r="JU392">
        <v>101</v>
      </c>
    </row>
    <row r="393" spans="1:325" ht="20.25">
      <c r="E393" t="s">
        <v>38</v>
      </c>
      <c r="F393">
        <v>26</v>
      </c>
      <c r="DV393">
        <v>23</v>
      </c>
      <c r="DW393" t="s">
        <v>46</v>
      </c>
      <c r="DX393" s="8">
        <v>43926</v>
      </c>
      <c r="DY393">
        <v>2</v>
      </c>
      <c r="EA393">
        <v>0</v>
      </c>
      <c r="GV393" s="8">
        <v>43942</v>
      </c>
      <c r="GW393">
        <v>67</v>
      </c>
      <c r="GX393" t="s">
        <v>63</v>
      </c>
      <c r="GY393">
        <v>11</v>
      </c>
      <c r="HB393">
        <v>116</v>
      </c>
      <c r="HC393">
        <v>0</v>
      </c>
    </row>
    <row r="394" spans="1:325" ht="20.25">
      <c r="E394" t="s">
        <v>40</v>
      </c>
      <c r="F394" s="10">
        <v>44282</v>
      </c>
      <c r="DV394">
        <v>23</v>
      </c>
      <c r="DW394" t="s">
        <v>46</v>
      </c>
      <c r="DX394" s="8">
        <v>43927</v>
      </c>
      <c r="DY394">
        <v>2</v>
      </c>
      <c r="EA394">
        <v>0</v>
      </c>
      <c r="GV394" s="8">
        <v>43943</v>
      </c>
      <c r="GW394">
        <v>67</v>
      </c>
      <c r="GX394" t="s">
        <v>63</v>
      </c>
      <c r="GY394">
        <v>11</v>
      </c>
      <c r="HB394">
        <v>116</v>
      </c>
      <c r="HC394">
        <v>0</v>
      </c>
    </row>
    <row r="395" spans="1:325" ht="20.25">
      <c r="E395" t="s">
        <v>30</v>
      </c>
      <c r="F395" s="10">
        <v>44283</v>
      </c>
      <c r="DV395">
        <v>23</v>
      </c>
      <c r="DW395" t="s">
        <v>46</v>
      </c>
      <c r="DX395" s="8">
        <v>43928</v>
      </c>
      <c r="DY395">
        <v>5</v>
      </c>
      <c r="EA395">
        <v>0</v>
      </c>
      <c r="GV395" s="8">
        <v>43944</v>
      </c>
      <c r="GW395">
        <v>67</v>
      </c>
      <c r="GX395" t="s">
        <v>63</v>
      </c>
      <c r="GY395">
        <v>12</v>
      </c>
      <c r="HB395">
        <v>127</v>
      </c>
      <c r="HC395">
        <v>0</v>
      </c>
    </row>
    <row r="396" spans="1:325" ht="20.25">
      <c r="E396" t="s">
        <v>33</v>
      </c>
      <c r="F396" s="10">
        <v>44284</v>
      </c>
      <c r="DV396">
        <v>23</v>
      </c>
      <c r="DW396" t="s">
        <v>46</v>
      </c>
      <c r="DX396" s="8">
        <v>43929</v>
      </c>
      <c r="DY396">
        <v>6</v>
      </c>
      <c r="EA396">
        <v>0</v>
      </c>
      <c r="GV396" s="8">
        <v>43945</v>
      </c>
      <c r="GW396">
        <v>67</v>
      </c>
      <c r="GX396" t="s">
        <v>63</v>
      </c>
      <c r="GY396">
        <v>15</v>
      </c>
      <c r="HB396">
        <v>158</v>
      </c>
      <c r="HC396">
        <v>1</v>
      </c>
    </row>
    <row r="397" spans="1:325" ht="20.25">
      <c r="E397" t="s">
        <v>34</v>
      </c>
      <c r="F397" s="10">
        <v>44285</v>
      </c>
      <c r="DV397">
        <v>23</v>
      </c>
      <c r="DW397" t="s">
        <v>46</v>
      </c>
      <c r="DX397" s="8">
        <v>43930</v>
      </c>
      <c r="DY397">
        <v>7</v>
      </c>
      <c r="EA397">
        <v>0</v>
      </c>
      <c r="GV397" s="8">
        <v>43946</v>
      </c>
      <c r="GW397">
        <v>67</v>
      </c>
      <c r="GX397" t="s">
        <v>63</v>
      </c>
      <c r="GY397">
        <v>14</v>
      </c>
      <c r="HB397">
        <v>148</v>
      </c>
      <c r="HC397">
        <v>1</v>
      </c>
    </row>
    <row r="398" spans="1:325" ht="20.25">
      <c r="E398" t="s">
        <v>35</v>
      </c>
      <c r="F398" s="10">
        <v>44286</v>
      </c>
      <c r="DV398">
        <v>23</v>
      </c>
      <c r="DW398" t="s">
        <v>46</v>
      </c>
      <c r="DX398" s="8">
        <v>43931</v>
      </c>
      <c r="DY398">
        <v>7</v>
      </c>
      <c r="EA398">
        <v>0</v>
      </c>
      <c r="GV398" s="8">
        <v>43947</v>
      </c>
      <c r="GW398">
        <v>67</v>
      </c>
      <c r="GX398" t="s">
        <v>63</v>
      </c>
      <c r="GY398">
        <v>14</v>
      </c>
      <c r="HB398">
        <v>148</v>
      </c>
      <c r="HC398">
        <v>1</v>
      </c>
    </row>
    <row r="399" spans="1:325" ht="20.25">
      <c r="E399" t="s">
        <v>37</v>
      </c>
      <c r="F399" s="10">
        <v>44287</v>
      </c>
      <c r="DV399">
        <v>23</v>
      </c>
      <c r="DW399" t="s">
        <v>46</v>
      </c>
      <c r="DX399" s="8">
        <v>43932</v>
      </c>
      <c r="DY399">
        <v>8</v>
      </c>
      <c r="EA399">
        <v>0</v>
      </c>
      <c r="GV399" s="8">
        <v>43948</v>
      </c>
      <c r="GW399">
        <v>67</v>
      </c>
      <c r="GX399" t="s">
        <v>63</v>
      </c>
      <c r="GY399">
        <v>14</v>
      </c>
      <c r="HB399">
        <v>148</v>
      </c>
      <c r="HC399">
        <v>1</v>
      </c>
    </row>
    <row r="400" spans="1:325" ht="20.25">
      <c r="E400" t="s">
        <v>38</v>
      </c>
      <c r="F400" s="10">
        <v>44288</v>
      </c>
      <c r="DV400">
        <v>23</v>
      </c>
      <c r="DW400" t="s">
        <v>46</v>
      </c>
      <c r="DX400" s="8">
        <v>43933</v>
      </c>
      <c r="DY400">
        <v>10</v>
      </c>
      <c r="EA400">
        <v>0</v>
      </c>
      <c r="GV400" s="8">
        <v>43949</v>
      </c>
      <c r="GW400">
        <v>67</v>
      </c>
      <c r="GX400" t="s">
        <v>63</v>
      </c>
      <c r="GY400">
        <v>14</v>
      </c>
      <c r="HB400">
        <v>148</v>
      </c>
      <c r="HC400">
        <v>1</v>
      </c>
    </row>
    <row r="401" spans="1:325" ht="20.25">
      <c r="E401" t="s">
        <v>40</v>
      </c>
      <c r="F401" s="10">
        <v>44289</v>
      </c>
      <c r="DV401">
        <v>23</v>
      </c>
      <c r="DW401" t="s">
        <v>46</v>
      </c>
      <c r="DX401" s="8">
        <v>43934</v>
      </c>
      <c r="DY401">
        <v>12</v>
      </c>
      <c r="EA401">
        <v>1</v>
      </c>
      <c r="GV401" s="8">
        <v>43950</v>
      </c>
      <c r="GW401">
        <v>67</v>
      </c>
      <c r="GX401" t="s">
        <v>63</v>
      </c>
      <c r="GY401">
        <v>15</v>
      </c>
      <c r="HB401">
        <v>158</v>
      </c>
      <c r="HC401">
        <v>2</v>
      </c>
    </row>
    <row r="402" spans="1:325" ht="20.25">
      <c r="E402" t="s">
        <v>30</v>
      </c>
      <c r="F402" s="10">
        <v>44290</v>
      </c>
      <c r="DV402">
        <v>23</v>
      </c>
      <c r="DW402" t="s">
        <v>46</v>
      </c>
      <c r="DX402" s="8">
        <v>43935</v>
      </c>
      <c r="DY402">
        <v>13</v>
      </c>
      <c r="EA402">
        <v>1</v>
      </c>
      <c r="GV402" s="8">
        <v>43951</v>
      </c>
      <c r="GW402">
        <v>67</v>
      </c>
      <c r="GX402" t="s">
        <v>63</v>
      </c>
      <c r="GY402">
        <v>15</v>
      </c>
      <c r="HB402">
        <v>158</v>
      </c>
      <c r="HC402">
        <v>2</v>
      </c>
    </row>
    <row r="403" spans="1:325" ht="20.25">
      <c r="E403" t="s">
        <v>33</v>
      </c>
      <c r="F403">
        <v>5</v>
      </c>
      <c r="DV403">
        <v>23</v>
      </c>
      <c r="DW403" t="s">
        <v>46</v>
      </c>
      <c r="DX403" s="8">
        <v>43936</v>
      </c>
      <c r="DY403">
        <v>22</v>
      </c>
      <c r="EA403">
        <v>4</v>
      </c>
      <c r="GV403" s="8">
        <v>43952</v>
      </c>
      <c r="GW403">
        <v>67</v>
      </c>
      <c r="GX403" t="s">
        <v>63</v>
      </c>
      <c r="GY403">
        <v>15</v>
      </c>
      <c r="HB403">
        <v>158</v>
      </c>
      <c r="HC403">
        <v>2</v>
      </c>
    </row>
    <row r="404" spans="1:325" ht="20.25">
      <c r="E404" t="s">
        <v>34</v>
      </c>
      <c r="F404">
        <v>6</v>
      </c>
      <c r="DV404">
        <v>23</v>
      </c>
      <c r="DW404" t="s">
        <v>46</v>
      </c>
      <c r="DX404" s="8">
        <v>43937</v>
      </c>
      <c r="DY404">
        <v>22</v>
      </c>
      <c r="DZ404">
        <v>214</v>
      </c>
      <c r="EA404">
        <v>1</v>
      </c>
      <c r="GV404" s="8">
        <v>43953</v>
      </c>
      <c r="GW404">
        <v>67</v>
      </c>
      <c r="GX404" t="s">
        <v>63</v>
      </c>
      <c r="GY404">
        <v>15</v>
      </c>
      <c r="HB404">
        <v>158</v>
      </c>
      <c r="HC404">
        <v>2</v>
      </c>
    </row>
    <row r="405" spans="1:325" ht="20.25">
      <c r="E405" t="s">
        <v>35</v>
      </c>
      <c r="F405" s="10">
        <v>44293</v>
      </c>
      <c r="DV405">
        <v>23</v>
      </c>
      <c r="DW405" t="s">
        <v>46</v>
      </c>
      <c r="DX405" s="8">
        <v>43938</v>
      </c>
      <c r="DY405">
        <v>24</v>
      </c>
      <c r="DZ405">
        <v>234</v>
      </c>
      <c r="EA405">
        <v>1</v>
      </c>
      <c r="GV405" s="8">
        <v>43954</v>
      </c>
      <c r="GW405">
        <v>67</v>
      </c>
      <c r="GX405" t="s">
        <v>63</v>
      </c>
      <c r="GY405">
        <v>15</v>
      </c>
      <c r="HB405">
        <v>158</v>
      </c>
      <c r="HC405">
        <v>2</v>
      </c>
    </row>
    <row r="406" spans="1:325" ht="20.25">
      <c r="E406" t="s">
        <v>37</v>
      </c>
      <c r="F406" s="10">
        <v>44294</v>
      </c>
      <c r="DV406">
        <v>23</v>
      </c>
      <c r="DW406" t="s">
        <v>46</v>
      </c>
      <c r="DX406" s="8">
        <v>43939</v>
      </c>
      <c r="DY406">
        <v>25</v>
      </c>
      <c r="DZ406">
        <v>243</v>
      </c>
      <c r="EA406">
        <v>1</v>
      </c>
      <c r="GV406" s="8">
        <v>43955</v>
      </c>
      <c r="GW406">
        <v>67</v>
      </c>
      <c r="GX406" t="s">
        <v>63</v>
      </c>
      <c r="GY406">
        <v>15</v>
      </c>
      <c r="HB406">
        <v>158</v>
      </c>
      <c r="HC406">
        <v>2</v>
      </c>
    </row>
    <row r="407" spans="1:325" ht="20.25">
      <c r="E407" t="s">
        <v>38</v>
      </c>
      <c r="F407">
        <v>9</v>
      </c>
      <c r="DV407">
        <v>23</v>
      </c>
      <c r="DW407" t="s">
        <v>46</v>
      </c>
      <c r="DX407" s="8">
        <v>43940</v>
      </c>
      <c r="DY407">
        <v>25</v>
      </c>
      <c r="DZ407">
        <v>243</v>
      </c>
      <c r="EA407">
        <v>1</v>
      </c>
      <c r="GV407" s="8">
        <v>43956</v>
      </c>
      <c r="GW407">
        <v>67</v>
      </c>
      <c r="GX407" t="s">
        <v>63</v>
      </c>
      <c r="GY407">
        <v>15</v>
      </c>
      <c r="HB407">
        <v>158</v>
      </c>
      <c r="HC407">
        <v>2</v>
      </c>
    </row>
    <row r="408" spans="1:325" ht="20.25">
      <c r="E408" t="s">
        <v>40</v>
      </c>
      <c r="F408">
        <v>10</v>
      </c>
      <c r="DV408">
        <v>23</v>
      </c>
      <c r="DW408" t="s">
        <v>46</v>
      </c>
      <c r="DX408" s="8">
        <v>43941</v>
      </c>
      <c r="DY408">
        <v>44</v>
      </c>
      <c r="DZ408">
        <v>428</v>
      </c>
      <c r="EA408">
        <v>6</v>
      </c>
      <c r="GV408" s="8">
        <v>43957</v>
      </c>
      <c r="GW408">
        <v>67</v>
      </c>
      <c r="GX408" t="s">
        <v>63</v>
      </c>
      <c r="GY408">
        <v>17</v>
      </c>
      <c r="HB408">
        <v>179</v>
      </c>
      <c r="HC408">
        <v>2</v>
      </c>
    </row>
    <row r="409" spans="1:325" ht="20.25">
      <c r="E409" t="s">
        <v>30</v>
      </c>
      <c r="F409" s="10">
        <v>44297</v>
      </c>
      <c r="DV409">
        <v>23</v>
      </c>
      <c r="DW409" t="s">
        <v>46</v>
      </c>
      <c r="DX409" s="8">
        <v>43942</v>
      </c>
      <c r="DY409">
        <v>44</v>
      </c>
      <c r="DZ409">
        <v>428</v>
      </c>
      <c r="EA409">
        <v>6</v>
      </c>
      <c r="GV409" s="8">
        <v>43958</v>
      </c>
      <c r="GW409">
        <v>67</v>
      </c>
      <c r="GX409" t="s">
        <v>63</v>
      </c>
      <c r="GY409">
        <v>17</v>
      </c>
      <c r="HB409">
        <v>179</v>
      </c>
      <c r="HC409">
        <v>2</v>
      </c>
    </row>
    <row r="410" spans="1:325" ht="20.25">
      <c r="E410" t="s">
        <v>33</v>
      </c>
      <c r="F410">
        <v>12</v>
      </c>
      <c r="DV410">
        <v>23</v>
      </c>
      <c r="DW410" t="s">
        <v>46</v>
      </c>
      <c r="DX410" s="8">
        <v>43943</v>
      </c>
      <c r="DY410">
        <v>45</v>
      </c>
      <c r="DZ410">
        <v>438</v>
      </c>
      <c r="EA410">
        <v>8</v>
      </c>
      <c r="GV410" s="8">
        <v>43959</v>
      </c>
      <c r="GW410">
        <v>67</v>
      </c>
      <c r="GX410" t="s">
        <v>63</v>
      </c>
      <c r="GY410">
        <v>17</v>
      </c>
      <c r="HB410">
        <v>179</v>
      </c>
      <c r="HC410">
        <v>2</v>
      </c>
    </row>
    <row r="411" spans="1:325" ht="20.25">
      <c r="E411" t="s">
        <v>34</v>
      </c>
      <c r="F411">
        <v>13</v>
      </c>
      <c r="DV411">
        <v>23</v>
      </c>
      <c r="DW411" t="s">
        <v>46</v>
      </c>
      <c r="DX411" s="8">
        <v>43944</v>
      </c>
      <c r="DY411">
        <v>46</v>
      </c>
      <c r="DZ411">
        <v>448</v>
      </c>
      <c r="EA411">
        <v>9</v>
      </c>
      <c r="GV411" s="8">
        <v>43960</v>
      </c>
      <c r="GW411">
        <v>67</v>
      </c>
      <c r="GX411" t="s">
        <v>63</v>
      </c>
      <c r="GY411">
        <v>17</v>
      </c>
      <c r="HB411">
        <v>179</v>
      </c>
      <c r="HC411">
        <v>2</v>
      </c>
    </row>
    <row r="412" spans="1:325" ht="20.25">
      <c r="E412" t="s">
        <v>35</v>
      </c>
      <c r="F412" s="10">
        <v>44300</v>
      </c>
      <c r="DV412">
        <v>23</v>
      </c>
      <c r="DW412" t="s">
        <v>46</v>
      </c>
      <c r="DX412" s="8">
        <v>43945</v>
      </c>
      <c r="DY412">
        <v>47</v>
      </c>
      <c r="DZ412">
        <v>458</v>
      </c>
      <c r="EA412">
        <v>10</v>
      </c>
      <c r="GV412" s="8">
        <v>43961</v>
      </c>
      <c r="GW412">
        <v>67</v>
      </c>
      <c r="GX412" t="s">
        <v>63</v>
      </c>
      <c r="GY412">
        <v>18</v>
      </c>
      <c r="HB412">
        <v>190</v>
      </c>
      <c r="HC412">
        <v>2</v>
      </c>
    </row>
    <row r="413" spans="1:325" ht="20.25">
      <c r="E413" t="s">
        <v>37</v>
      </c>
      <c r="F413">
        <v>15</v>
      </c>
      <c r="DV413">
        <v>23</v>
      </c>
      <c r="DW413" t="s">
        <v>46</v>
      </c>
      <c r="DX413" s="8">
        <v>43946</v>
      </c>
      <c r="DY413">
        <v>48</v>
      </c>
      <c r="DZ413">
        <v>467</v>
      </c>
      <c r="EA413">
        <v>10</v>
      </c>
      <c r="GV413" s="8">
        <v>43962</v>
      </c>
      <c r="GW413">
        <v>67</v>
      </c>
      <c r="GX413" t="s">
        <v>63</v>
      </c>
      <c r="GY413">
        <v>18</v>
      </c>
      <c r="HB413">
        <v>190</v>
      </c>
      <c r="HC413">
        <v>2</v>
      </c>
    </row>
    <row r="414" spans="1:325" ht="20.25">
      <c r="E414" t="s">
        <v>38</v>
      </c>
      <c r="F414">
        <v>16</v>
      </c>
      <c r="DV414">
        <v>23</v>
      </c>
      <c r="DW414" t="s">
        <v>46</v>
      </c>
      <c r="DX414" s="8">
        <v>43947</v>
      </c>
      <c r="DY414">
        <v>51</v>
      </c>
      <c r="DZ414">
        <v>497</v>
      </c>
      <c r="EA414">
        <v>12</v>
      </c>
      <c r="GV414" s="8">
        <v>43963</v>
      </c>
      <c r="GW414">
        <v>67</v>
      </c>
      <c r="GX414" t="s">
        <v>63</v>
      </c>
      <c r="GY414">
        <v>18</v>
      </c>
      <c r="HB414">
        <v>190</v>
      </c>
      <c r="HC414">
        <v>2</v>
      </c>
    </row>
    <row r="415" spans="1:325" ht="20.25">
      <c r="E415" t="s">
        <v>40</v>
      </c>
      <c r="F415">
        <v>17</v>
      </c>
      <c r="DV415">
        <v>23</v>
      </c>
      <c r="DW415" t="s">
        <v>46</v>
      </c>
      <c r="DX415" s="8">
        <v>43948</v>
      </c>
      <c r="DY415">
        <v>52</v>
      </c>
      <c r="DZ415">
        <v>506</v>
      </c>
      <c r="EA415">
        <v>14</v>
      </c>
      <c r="GV415" s="8">
        <v>43964</v>
      </c>
      <c r="GW415">
        <v>67</v>
      </c>
      <c r="GX415" t="s">
        <v>63</v>
      </c>
      <c r="GY415">
        <v>18</v>
      </c>
      <c r="HB415">
        <v>190</v>
      </c>
      <c r="HC415">
        <v>2</v>
      </c>
    </row>
    <row r="416" spans="1:325" ht="20.25">
      <c r="E416" t="s">
        <v>30</v>
      </c>
      <c r="F416" s="10">
        <v>44304</v>
      </c>
      <c r="DV416">
        <v>23</v>
      </c>
      <c r="DW416" t="s">
        <v>46</v>
      </c>
      <c r="DX416" s="8">
        <v>43949</v>
      </c>
      <c r="DY416">
        <v>53</v>
      </c>
      <c r="DZ416">
        <v>516</v>
      </c>
      <c r="EA416">
        <v>16</v>
      </c>
      <c r="GV416" s="8">
        <v>43965</v>
      </c>
      <c r="GW416">
        <v>67</v>
      </c>
      <c r="GX416" t="s">
        <v>63</v>
      </c>
      <c r="GY416">
        <v>18</v>
      </c>
      <c r="HB416">
        <v>190</v>
      </c>
      <c r="HC416">
        <v>2</v>
      </c>
    </row>
    <row r="417" spans="1:325" ht="20.25">
      <c r="E417" t="s">
        <v>33</v>
      </c>
      <c r="F417">
        <v>19</v>
      </c>
      <c r="DV417">
        <v>23</v>
      </c>
      <c r="DW417" t="s">
        <v>46</v>
      </c>
      <c r="DX417" s="8">
        <v>43950</v>
      </c>
      <c r="DY417">
        <v>56</v>
      </c>
      <c r="DZ417">
        <v>545</v>
      </c>
      <c r="EA417">
        <v>17</v>
      </c>
      <c r="GV417" s="8">
        <v>43966</v>
      </c>
      <c r="GW417">
        <v>67</v>
      </c>
      <c r="GX417" t="s">
        <v>63</v>
      </c>
      <c r="GY417">
        <v>18</v>
      </c>
      <c r="HB417">
        <v>190</v>
      </c>
      <c r="HC417">
        <v>2</v>
      </c>
    </row>
    <row r="418" spans="1:325" ht="20.25">
      <c r="E418" t="s">
        <v>34</v>
      </c>
      <c r="F418">
        <v>20</v>
      </c>
      <c r="DV418">
        <v>23</v>
      </c>
      <c r="DW418" t="s">
        <v>46</v>
      </c>
      <c r="DX418" s="8">
        <v>43951</v>
      </c>
      <c r="DY418">
        <v>58</v>
      </c>
      <c r="DZ418">
        <v>565</v>
      </c>
      <c r="EA418">
        <v>19</v>
      </c>
      <c r="GV418" s="8">
        <v>43967</v>
      </c>
      <c r="GW418">
        <v>67</v>
      </c>
      <c r="GX418" t="s">
        <v>63</v>
      </c>
      <c r="GY418">
        <v>19</v>
      </c>
      <c r="HB418">
        <v>200</v>
      </c>
      <c r="HC418">
        <v>2</v>
      </c>
      <c r="HF418">
        <v>159</v>
      </c>
    </row>
    <row r="419" spans="1:325" ht="20.25">
      <c r="E419" t="s">
        <v>35</v>
      </c>
      <c r="F419" s="10">
        <v>44307</v>
      </c>
      <c r="DV419">
        <v>23</v>
      </c>
      <c r="DW419" t="s">
        <v>46</v>
      </c>
      <c r="DX419" s="8">
        <v>43952</v>
      </c>
      <c r="DY419">
        <v>65</v>
      </c>
      <c r="DZ419">
        <v>633</v>
      </c>
      <c r="EA419">
        <v>19</v>
      </c>
      <c r="GV419" s="8">
        <v>43968</v>
      </c>
      <c r="GW419">
        <v>67</v>
      </c>
      <c r="GX419" t="s">
        <v>63</v>
      </c>
      <c r="GY419">
        <v>19</v>
      </c>
      <c r="HB419">
        <v>200</v>
      </c>
      <c r="HC419">
        <v>2</v>
      </c>
      <c r="HF419">
        <v>166</v>
      </c>
    </row>
    <row r="420" spans="1:325" ht="20.25">
      <c r="E420" t="s">
        <v>37</v>
      </c>
      <c r="F420">
        <v>22</v>
      </c>
      <c r="DV420">
        <v>23</v>
      </c>
      <c r="DW420" t="s">
        <v>46</v>
      </c>
      <c r="DX420" s="8">
        <v>43953</v>
      </c>
      <c r="DY420">
        <v>65</v>
      </c>
      <c r="DZ420">
        <v>633</v>
      </c>
      <c r="EA420">
        <v>19</v>
      </c>
      <c r="GV420" s="8">
        <v>43969</v>
      </c>
      <c r="GW420">
        <v>67</v>
      </c>
      <c r="GX420" t="s">
        <v>63</v>
      </c>
      <c r="GY420">
        <v>19</v>
      </c>
      <c r="HB420">
        <v>200</v>
      </c>
      <c r="HC420">
        <v>2</v>
      </c>
      <c r="HF420">
        <v>178</v>
      </c>
    </row>
    <row r="421" spans="1:325" ht="20.25">
      <c r="E421" t="s">
        <v>38</v>
      </c>
      <c r="F421">
        <v>23</v>
      </c>
      <c r="DV421">
        <v>23</v>
      </c>
      <c r="DW421" t="s">
        <v>46</v>
      </c>
      <c r="DX421" s="8">
        <v>43954</v>
      </c>
      <c r="DY421">
        <v>66</v>
      </c>
      <c r="DZ421">
        <v>643</v>
      </c>
      <c r="EA421">
        <v>21</v>
      </c>
      <c r="GV421" s="8">
        <v>43970</v>
      </c>
      <c r="GW421">
        <v>67</v>
      </c>
      <c r="GX421" t="s">
        <v>63</v>
      </c>
      <c r="GY421">
        <v>20</v>
      </c>
      <c r="HB421">
        <v>211</v>
      </c>
      <c r="HC421">
        <v>2</v>
      </c>
      <c r="HF421">
        <v>193</v>
      </c>
    </row>
    <row r="422" spans="1:325" ht="20.25">
      <c r="E422" t="s">
        <v>40</v>
      </c>
      <c r="F422">
        <v>24</v>
      </c>
      <c r="DV422">
        <v>23</v>
      </c>
      <c r="DW422" t="s">
        <v>46</v>
      </c>
      <c r="DX422" s="8">
        <v>43955</v>
      </c>
      <c r="DY422">
        <v>66</v>
      </c>
      <c r="DZ422">
        <v>643</v>
      </c>
      <c r="EA422">
        <v>21</v>
      </c>
      <c r="GV422" s="8">
        <v>43971</v>
      </c>
      <c r="GW422">
        <v>67</v>
      </c>
      <c r="GX422" t="s">
        <v>63</v>
      </c>
      <c r="GY422">
        <v>20</v>
      </c>
      <c r="HB422">
        <v>211</v>
      </c>
      <c r="HC422">
        <v>2</v>
      </c>
      <c r="HF422">
        <v>193</v>
      </c>
      <c r="HG422">
        <v>2035</v>
      </c>
    </row>
    <row r="423" spans="1:325" ht="20.25">
      <c r="E423" t="s">
        <v>30</v>
      </c>
      <c r="F423" s="10">
        <v>44311</v>
      </c>
      <c r="DV423">
        <v>23</v>
      </c>
      <c r="DW423" t="s">
        <v>46</v>
      </c>
      <c r="DX423" s="8">
        <v>43956</v>
      </c>
      <c r="DY423">
        <v>66</v>
      </c>
      <c r="DZ423">
        <v>643</v>
      </c>
      <c r="EA423">
        <v>21</v>
      </c>
      <c r="GV423" s="8">
        <v>43972</v>
      </c>
      <c r="GW423">
        <v>67</v>
      </c>
      <c r="GX423" t="s">
        <v>63</v>
      </c>
      <c r="GY423">
        <v>21</v>
      </c>
      <c r="HB423">
        <v>221</v>
      </c>
      <c r="HC423">
        <v>2</v>
      </c>
      <c r="HF423">
        <v>204</v>
      </c>
      <c r="HG423">
        <v>2151</v>
      </c>
    </row>
    <row r="424" spans="1:325" ht="20.25">
      <c r="E424" t="s">
        <v>33</v>
      </c>
      <c r="F424">
        <v>26</v>
      </c>
      <c r="DV424">
        <v>23</v>
      </c>
      <c r="DW424" t="s">
        <v>46</v>
      </c>
      <c r="DX424" s="8">
        <v>43957</v>
      </c>
      <c r="DY424">
        <v>67</v>
      </c>
      <c r="DZ424">
        <v>652</v>
      </c>
      <c r="EA424">
        <v>22</v>
      </c>
      <c r="GV424" s="8">
        <v>43973</v>
      </c>
      <c r="GW424">
        <v>67</v>
      </c>
      <c r="GX424" t="s">
        <v>63</v>
      </c>
      <c r="GY424">
        <v>21</v>
      </c>
      <c r="HB424">
        <v>221</v>
      </c>
      <c r="HC424">
        <v>2</v>
      </c>
      <c r="HF424">
        <v>214</v>
      </c>
      <c r="HG424">
        <v>2257</v>
      </c>
    </row>
    <row r="425" spans="1:325" ht="20.25">
      <c r="E425" t="s">
        <v>34</v>
      </c>
      <c r="F425">
        <v>27</v>
      </c>
      <c r="DV425">
        <v>23</v>
      </c>
      <c r="DW425" t="s">
        <v>46</v>
      </c>
      <c r="DX425" s="8">
        <v>43958</v>
      </c>
      <c r="DY425">
        <v>67</v>
      </c>
      <c r="DZ425">
        <v>652</v>
      </c>
      <c r="EA425">
        <v>22</v>
      </c>
      <c r="GV425" s="8">
        <v>43974</v>
      </c>
      <c r="GW425">
        <v>67</v>
      </c>
      <c r="GX425" t="s">
        <v>63</v>
      </c>
      <c r="GY425">
        <v>22</v>
      </c>
      <c r="HB425">
        <v>232</v>
      </c>
      <c r="HC425">
        <v>2</v>
      </c>
      <c r="HF425">
        <v>228</v>
      </c>
      <c r="HG425">
        <v>2405</v>
      </c>
    </row>
    <row r="426" spans="1:325" ht="20.25">
      <c r="E426" t="s">
        <v>35</v>
      </c>
      <c r="F426" s="10">
        <v>44314</v>
      </c>
      <c r="DV426">
        <v>23</v>
      </c>
      <c r="DW426" t="s">
        <v>46</v>
      </c>
      <c r="DX426" s="8">
        <v>43959</v>
      </c>
      <c r="DY426">
        <v>67</v>
      </c>
      <c r="DZ426">
        <v>652</v>
      </c>
      <c r="EA426">
        <v>22</v>
      </c>
      <c r="GV426" s="8">
        <v>43975</v>
      </c>
      <c r="GW426">
        <v>67</v>
      </c>
      <c r="GX426" t="s">
        <v>63</v>
      </c>
      <c r="GY426">
        <v>22</v>
      </c>
      <c r="HB426">
        <v>232</v>
      </c>
      <c r="HC426">
        <v>2</v>
      </c>
      <c r="HF426">
        <v>237</v>
      </c>
      <c r="HG426">
        <v>2499</v>
      </c>
    </row>
    <row r="427" spans="1:325" ht="20.25">
      <c r="E427" t="s">
        <v>37</v>
      </c>
      <c r="F427" s="10">
        <v>44315</v>
      </c>
      <c r="DV427">
        <v>23</v>
      </c>
      <c r="DW427" t="s">
        <v>46</v>
      </c>
      <c r="DX427" s="8">
        <v>43960</v>
      </c>
      <c r="DY427">
        <v>68</v>
      </c>
      <c r="DZ427">
        <v>662</v>
      </c>
      <c r="EA427">
        <v>22</v>
      </c>
      <c r="GV427" s="8">
        <v>43976</v>
      </c>
      <c r="GW427">
        <v>67</v>
      </c>
      <c r="GX427" t="s">
        <v>63</v>
      </c>
      <c r="GY427">
        <v>23</v>
      </c>
      <c r="HB427">
        <v>243</v>
      </c>
      <c r="HC427">
        <v>2</v>
      </c>
      <c r="HF427">
        <v>243</v>
      </c>
      <c r="HG427">
        <v>2563</v>
      </c>
    </row>
    <row r="428" spans="1:325" ht="20.25">
      <c r="E428" t="s">
        <v>38</v>
      </c>
      <c r="F428" s="10">
        <v>44316</v>
      </c>
      <c r="DV428">
        <v>23</v>
      </c>
      <c r="DW428" t="s">
        <v>46</v>
      </c>
      <c r="DX428" s="8">
        <v>43961</v>
      </c>
      <c r="DY428">
        <v>67</v>
      </c>
      <c r="DZ428">
        <v>652</v>
      </c>
      <c r="EA428">
        <v>22</v>
      </c>
      <c r="GV428" s="8">
        <v>43977</v>
      </c>
      <c r="GW428">
        <v>67</v>
      </c>
      <c r="GX428" t="s">
        <v>63</v>
      </c>
      <c r="GY428">
        <v>22</v>
      </c>
      <c r="HB428">
        <v>232</v>
      </c>
      <c r="HC428">
        <v>2</v>
      </c>
      <c r="HF428">
        <v>250</v>
      </c>
      <c r="HG428">
        <v>2637</v>
      </c>
    </row>
    <row r="429" spans="1:325" ht="20.25">
      <c r="E429" t="s">
        <v>40</v>
      </c>
      <c r="F429" s="10">
        <v>44317</v>
      </c>
      <c r="DV429">
        <v>23</v>
      </c>
      <c r="DW429" t="s">
        <v>46</v>
      </c>
      <c r="DX429" s="8">
        <v>43962</v>
      </c>
      <c r="DY429">
        <v>67</v>
      </c>
      <c r="DZ429">
        <v>652</v>
      </c>
      <c r="EA429">
        <v>22</v>
      </c>
      <c r="GV429" s="8">
        <v>43978</v>
      </c>
      <c r="GW429">
        <v>67</v>
      </c>
      <c r="GX429" t="s">
        <v>63</v>
      </c>
      <c r="GY429">
        <v>22</v>
      </c>
      <c r="HB429">
        <v>232</v>
      </c>
      <c r="HC429">
        <v>2</v>
      </c>
      <c r="HF429">
        <v>260</v>
      </c>
      <c r="HG429">
        <v>2742</v>
      </c>
    </row>
    <row r="430" spans="1:325" ht="20.25">
      <c r="E430" t="s">
        <v>30</v>
      </c>
      <c r="F430" s="10">
        <v>44318</v>
      </c>
      <c r="DV430">
        <v>23</v>
      </c>
      <c r="DW430" t="s">
        <v>46</v>
      </c>
      <c r="DX430" s="8">
        <v>43963</v>
      </c>
      <c r="DY430">
        <v>68</v>
      </c>
      <c r="DZ430">
        <v>662</v>
      </c>
      <c r="EA430">
        <v>22</v>
      </c>
      <c r="GV430" s="8">
        <v>43979</v>
      </c>
      <c r="GW430">
        <v>67</v>
      </c>
      <c r="GX430" t="s">
        <v>63</v>
      </c>
      <c r="GY430">
        <v>22</v>
      </c>
      <c r="HB430">
        <v>232</v>
      </c>
      <c r="HC430">
        <v>2</v>
      </c>
      <c r="HF430">
        <v>264</v>
      </c>
      <c r="HG430">
        <v>2784</v>
      </c>
    </row>
    <row r="431" spans="1:325" ht="20.25">
      <c r="E431" t="s">
        <v>33</v>
      </c>
      <c r="F431" s="10">
        <v>44319</v>
      </c>
      <c r="DV431">
        <v>23</v>
      </c>
      <c r="DW431" t="s">
        <v>46</v>
      </c>
      <c r="DX431" s="8">
        <v>43964</v>
      </c>
      <c r="DY431">
        <v>71</v>
      </c>
      <c r="DZ431">
        <v>691</v>
      </c>
      <c r="EA431">
        <v>23</v>
      </c>
      <c r="GV431" s="8">
        <v>43980</v>
      </c>
      <c r="GW431">
        <v>67</v>
      </c>
      <c r="GX431" t="s">
        <v>63</v>
      </c>
      <c r="GY431">
        <v>22</v>
      </c>
      <c r="HB431">
        <v>232</v>
      </c>
      <c r="HC431">
        <v>2</v>
      </c>
      <c r="HF431">
        <v>271</v>
      </c>
      <c r="HG431">
        <v>2858</v>
      </c>
    </row>
    <row r="432" spans="1:325" ht="20.25">
      <c r="E432" t="s">
        <v>34</v>
      </c>
      <c r="F432" s="10">
        <v>44320</v>
      </c>
      <c r="DV432">
        <v>23</v>
      </c>
      <c r="DW432" t="s">
        <v>46</v>
      </c>
      <c r="DX432" s="8">
        <v>43965</v>
      </c>
      <c r="DY432">
        <v>73</v>
      </c>
      <c r="DZ432">
        <v>711</v>
      </c>
      <c r="EA432">
        <v>23</v>
      </c>
      <c r="GV432" s="8">
        <v>43981</v>
      </c>
      <c r="GW432">
        <v>67</v>
      </c>
      <c r="GX432" t="s">
        <v>63</v>
      </c>
      <c r="GY432">
        <v>23</v>
      </c>
      <c r="HB432">
        <v>243</v>
      </c>
      <c r="HC432">
        <v>2</v>
      </c>
      <c r="HF432">
        <v>275</v>
      </c>
      <c r="HG432">
        <v>2900</v>
      </c>
    </row>
    <row r="433" spans="1:325" ht="20.25">
      <c r="E433" t="s">
        <v>35</v>
      </c>
      <c r="F433" s="10">
        <v>44321</v>
      </c>
      <c r="DV433">
        <v>23</v>
      </c>
      <c r="DW433" t="s">
        <v>46</v>
      </c>
      <c r="DX433" s="8">
        <v>43966</v>
      </c>
      <c r="DY433">
        <v>75</v>
      </c>
      <c r="DZ433">
        <v>730</v>
      </c>
      <c r="EA433">
        <v>23</v>
      </c>
      <c r="GV433" s="8">
        <v>43982</v>
      </c>
      <c r="GW433">
        <v>67</v>
      </c>
      <c r="GX433" t="s">
        <v>63</v>
      </c>
      <c r="GY433">
        <v>23</v>
      </c>
      <c r="GZ433">
        <v>22</v>
      </c>
      <c r="HA433">
        <v>1</v>
      </c>
      <c r="HB433">
        <v>243</v>
      </c>
      <c r="HC433">
        <v>2</v>
      </c>
      <c r="HD433">
        <v>1</v>
      </c>
      <c r="HE433">
        <v>1</v>
      </c>
      <c r="HF433">
        <v>283</v>
      </c>
      <c r="HG433">
        <v>2985</v>
      </c>
      <c r="HH433">
        <v>326</v>
      </c>
      <c r="HI433">
        <v>24</v>
      </c>
      <c r="HJ433">
        <v>302</v>
      </c>
      <c r="HK433">
        <v>0</v>
      </c>
    </row>
    <row r="434" spans="1:325" ht="20.25">
      <c r="E434" t="s">
        <v>37</v>
      </c>
      <c r="F434" s="10">
        <v>44322</v>
      </c>
      <c r="DV434">
        <v>33</v>
      </c>
      <c r="DW434" t="s">
        <v>48</v>
      </c>
      <c r="DX434" s="8">
        <v>43914</v>
      </c>
      <c r="DY434">
        <v>1</v>
      </c>
      <c r="EA434">
        <v>0</v>
      </c>
      <c r="GV434" s="8">
        <v>43983</v>
      </c>
      <c r="GW434">
        <v>67</v>
      </c>
      <c r="GX434" t="s">
        <v>63</v>
      </c>
      <c r="GY434">
        <v>24</v>
      </c>
      <c r="GZ434">
        <v>23</v>
      </c>
      <c r="HA434">
        <v>1</v>
      </c>
      <c r="HB434">
        <v>253</v>
      </c>
      <c r="HC434">
        <v>2</v>
      </c>
      <c r="HD434">
        <v>1</v>
      </c>
      <c r="HE434">
        <v>1</v>
      </c>
      <c r="HF434">
        <v>296</v>
      </c>
      <c r="HG434">
        <v>3122</v>
      </c>
      <c r="HH434">
        <v>343</v>
      </c>
      <c r="HI434">
        <v>25</v>
      </c>
      <c r="HJ434">
        <v>318</v>
      </c>
      <c r="HK434">
        <v>0</v>
      </c>
    </row>
    <row r="435" spans="1:325" ht="20.25">
      <c r="E435" t="s">
        <v>38</v>
      </c>
      <c r="F435" s="10">
        <v>44323</v>
      </c>
      <c r="DV435">
        <v>33</v>
      </c>
      <c r="DW435" t="s">
        <v>48</v>
      </c>
      <c r="DX435" s="8">
        <v>43915</v>
      </c>
      <c r="DY435">
        <v>1</v>
      </c>
      <c r="EA435">
        <v>0</v>
      </c>
      <c r="GV435" s="8">
        <v>43984</v>
      </c>
      <c r="GW435">
        <v>67</v>
      </c>
      <c r="GX435" t="s">
        <v>63</v>
      </c>
      <c r="GY435">
        <v>25</v>
      </c>
      <c r="GZ435">
        <v>24</v>
      </c>
      <c r="HA435">
        <v>1</v>
      </c>
      <c r="HB435">
        <v>264</v>
      </c>
      <c r="HC435">
        <v>2</v>
      </c>
      <c r="HD435">
        <v>1</v>
      </c>
      <c r="HE435">
        <v>1</v>
      </c>
      <c r="HF435">
        <v>301</v>
      </c>
      <c r="HG435">
        <v>3174</v>
      </c>
      <c r="HH435">
        <v>349</v>
      </c>
      <c r="HI435">
        <v>26</v>
      </c>
      <c r="HJ435">
        <v>323</v>
      </c>
      <c r="HK435">
        <v>0</v>
      </c>
    </row>
    <row r="436" spans="1:325" ht="20.25">
      <c r="E436" t="s">
        <v>40</v>
      </c>
      <c r="F436">
        <v>8</v>
      </c>
      <c r="DV436">
        <v>33</v>
      </c>
      <c r="DW436" t="s">
        <v>48</v>
      </c>
      <c r="DX436" s="8">
        <v>43916</v>
      </c>
      <c r="DY436">
        <v>1</v>
      </c>
      <c r="EA436">
        <v>0</v>
      </c>
      <c r="GV436" s="8">
        <v>43914</v>
      </c>
      <c r="GW436">
        <v>78</v>
      </c>
      <c r="GX436" t="s">
        <v>108</v>
      </c>
      <c r="GY436">
        <v>1</v>
      </c>
      <c r="HC436">
        <v>0</v>
      </c>
    </row>
    <row r="437" spans="1:325" ht="20.25">
      <c r="E437" t="s">
        <v>30</v>
      </c>
      <c r="F437" s="10">
        <v>44325</v>
      </c>
      <c r="DV437">
        <v>33</v>
      </c>
      <c r="DW437" t="s">
        <v>48</v>
      </c>
      <c r="DX437" s="8">
        <v>43917</v>
      </c>
      <c r="DY437">
        <v>1</v>
      </c>
      <c r="EA437">
        <v>0</v>
      </c>
      <c r="GV437" s="8">
        <v>43915</v>
      </c>
      <c r="GW437">
        <v>78</v>
      </c>
      <c r="GX437" t="s">
        <v>108</v>
      </c>
      <c r="GY437">
        <v>1</v>
      </c>
      <c r="HC437">
        <v>0</v>
      </c>
    </row>
    <row r="438" spans="1:325" ht="20.25">
      <c r="E438" t="s">
        <v>33</v>
      </c>
      <c r="F438">
        <v>10</v>
      </c>
      <c r="DV438">
        <v>33</v>
      </c>
      <c r="DW438" t="s">
        <v>48</v>
      </c>
      <c r="DX438" s="8">
        <v>43918</v>
      </c>
      <c r="DY438">
        <v>3</v>
      </c>
      <c r="EA438">
        <v>0</v>
      </c>
      <c r="GV438" s="8">
        <v>43916</v>
      </c>
      <c r="GW438">
        <v>78</v>
      </c>
      <c r="GX438" t="s">
        <v>108</v>
      </c>
      <c r="GY438">
        <v>1</v>
      </c>
      <c r="HC438">
        <v>0</v>
      </c>
    </row>
    <row r="439" spans="1:325" ht="20.25">
      <c r="E439" t="s">
        <v>34</v>
      </c>
      <c r="F439">
        <v>11</v>
      </c>
      <c r="DV439">
        <v>33</v>
      </c>
      <c r="DW439" t="s">
        <v>48</v>
      </c>
      <c r="DX439" s="8">
        <v>43919</v>
      </c>
      <c r="DY439">
        <v>4</v>
      </c>
      <c r="EA439">
        <v>0</v>
      </c>
      <c r="GV439" s="8">
        <v>43917</v>
      </c>
      <c r="GW439">
        <v>78</v>
      </c>
      <c r="GX439" t="s">
        <v>108</v>
      </c>
      <c r="GY439">
        <v>1</v>
      </c>
      <c r="HC439">
        <v>0</v>
      </c>
    </row>
    <row r="440" spans="1:325" ht="20.25">
      <c r="E440" t="s">
        <v>35</v>
      </c>
      <c r="F440">
        <v>12</v>
      </c>
      <c r="DV440">
        <v>33</v>
      </c>
      <c r="DW440" t="s">
        <v>48</v>
      </c>
      <c r="DX440" s="8">
        <v>43920</v>
      </c>
      <c r="DY440">
        <v>4</v>
      </c>
      <c r="EA440">
        <v>0</v>
      </c>
      <c r="GV440" s="8">
        <v>43918</v>
      </c>
      <c r="GW440">
        <v>78</v>
      </c>
      <c r="GX440" t="s">
        <v>108</v>
      </c>
      <c r="GY440">
        <v>1</v>
      </c>
      <c r="HC440">
        <v>0</v>
      </c>
    </row>
    <row r="441" spans="1:325" ht="20.25">
      <c r="E441" t="s">
        <v>37</v>
      </c>
      <c r="F441">
        <v>13</v>
      </c>
      <c r="DV441">
        <v>33</v>
      </c>
      <c r="DW441" t="s">
        <v>48</v>
      </c>
      <c r="DX441" s="8">
        <v>43921</v>
      </c>
      <c r="DY441">
        <v>5</v>
      </c>
      <c r="EA441">
        <v>0</v>
      </c>
      <c r="GV441" s="8">
        <v>43919</v>
      </c>
      <c r="GW441">
        <v>78</v>
      </c>
      <c r="GX441" t="s">
        <v>108</v>
      </c>
      <c r="GY441">
        <v>0</v>
      </c>
      <c r="HC441">
        <v>0</v>
      </c>
    </row>
    <row r="442" spans="1:325" ht="20.25">
      <c r="E442" t="s">
        <v>38</v>
      </c>
      <c r="F442" s="10">
        <v>44330</v>
      </c>
      <c r="DV442">
        <v>33</v>
      </c>
      <c r="DW442" t="s">
        <v>48</v>
      </c>
      <c r="DX442" s="8">
        <v>43922</v>
      </c>
      <c r="DY442">
        <v>7</v>
      </c>
      <c r="EA442">
        <v>1</v>
      </c>
      <c r="GV442" s="8">
        <v>43920</v>
      </c>
      <c r="GW442">
        <v>78</v>
      </c>
      <c r="GX442" t="s">
        <v>108</v>
      </c>
      <c r="GY442">
        <v>1</v>
      </c>
      <c r="HC442">
        <v>0</v>
      </c>
    </row>
    <row r="443" spans="1:325" ht="20.25">
      <c r="E443" t="s">
        <v>40</v>
      </c>
      <c r="F443" s="10">
        <v>44331</v>
      </c>
      <c r="DV443">
        <v>33</v>
      </c>
      <c r="DW443" t="s">
        <v>48</v>
      </c>
      <c r="DX443" s="8">
        <v>43923</v>
      </c>
      <c r="DY443">
        <v>7</v>
      </c>
      <c r="EA443">
        <v>1</v>
      </c>
      <c r="GV443" s="8">
        <v>43921</v>
      </c>
      <c r="GW443">
        <v>78</v>
      </c>
      <c r="GX443" t="s">
        <v>108</v>
      </c>
      <c r="GY443">
        <v>1</v>
      </c>
      <c r="HC443">
        <v>0</v>
      </c>
    </row>
    <row r="444" spans="1:325" ht="20.25">
      <c r="E444" t="s">
        <v>30</v>
      </c>
      <c r="F444">
        <v>16</v>
      </c>
      <c r="DV444">
        <v>33</v>
      </c>
      <c r="DW444" t="s">
        <v>48</v>
      </c>
      <c r="DX444" s="8">
        <v>43924</v>
      </c>
      <c r="DY444">
        <v>9</v>
      </c>
      <c r="EA444">
        <v>1</v>
      </c>
      <c r="GV444" s="8">
        <v>43922</v>
      </c>
      <c r="GW444">
        <v>78</v>
      </c>
      <c r="GX444" t="s">
        <v>108</v>
      </c>
      <c r="GY444">
        <v>1</v>
      </c>
      <c r="HC444">
        <v>0</v>
      </c>
    </row>
    <row r="445" spans="1:325" ht="20.25">
      <c r="E445" t="s">
        <v>33</v>
      </c>
      <c r="F445">
        <v>17</v>
      </c>
      <c r="DV445">
        <v>33</v>
      </c>
      <c r="DW445" t="s">
        <v>48</v>
      </c>
      <c r="DX445" s="8">
        <v>43925</v>
      </c>
      <c r="DY445">
        <v>9</v>
      </c>
      <c r="EA445">
        <v>1</v>
      </c>
      <c r="GV445" s="8">
        <v>43923</v>
      </c>
      <c r="GW445">
        <v>78</v>
      </c>
      <c r="GX445" t="s">
        <v>108</v>
      </c>
      <c r="GY445">
        <v>1</v>
      </c>
      <c r="HC445">
        <v>0</v>
      </c>
    </row>
    <row r="446" spans="1:325" ht="20.25">
      <c r="E446" t="s">
        <v>34</v>
      </c>
      <c r="F446">
        <v>18</v>
      </c>
      <c r="DV446">
        <v>33</v>
      </c>
      <c r="DW446" t="s">
        <v>48</v>
      </c>
      <c r="DX446" s="8">
        <v>43926</v>
      </c>
      <c r="DY446">
        <v>11</v>
      </c>
      <c r="EA446">
        <v>1</v>
      </c>
      <c r="GV446" s="8">
        <v>43924</v>
      </c>
      <c r="GW446">
        <v>78</v>
      </c>
      <c r="GX446" t="s">
        <v>108</v>
      </c>
      <c r="GY446">
        <v>2</v>
      </c>
      <c r="HC446">
        <v>0</v>
      </c>
    </row>
    <row r="447" spans="1:325" ht="20.25">
      <c r="E447" t="s">
        <v>35</v>
      </c>
      <c r="F447">
        <v>19</v>
      </c>
      <c r="DV447">
        <v>33</v>
      </c>
      <c r="DW447" t="s">
        <v>48</v>
      </c>
      <c r="DX447" s="8">
        <v>43927</v>
      </c>
      <c r="DY447">
        <v>14</v>
      </c>
      <c r="EA447">
        <v>1</v>
      </c>
      <c r="GV447" s="8">
        <v>43925</v>
      </c>
      <c r="GW447">
        <v>78</v>
      </c>
      <c r="GX447" t="s">
        <v>108</v>
      </c>
      <c r="GY447">
        <v>2</v>
      </c>
      <c r="HC447">
        <v>0</v>
      </c>
    </row>
    <row r="448" spans="1:325" ht="20.25">
      <c r="E448" t="s">
        <v>37</v>
      </c>
      <c r="F448">
        <v>20</v>
      </c>
      <c r="DV448">
        <v>33</v>
      </c>
      <c r="DW448" t="s">
        <v>48</v>
      </c>
      <c r="DX448" s="8">
        <v>43928</v>
      </c>
      <c r="DY448">
        <v>15</v>
      </c>
      <c r="EA448">
        <v>1</v>
      </c>
      <c r="GV448" s="8">
        <v>43926</v>
      </c>
      <c r="GW448">
        <v>78</v>
      </c>
      <c r="GX448" t="s">
        <v>108</v>
      </c>
      <c r="GY448">
        <v>2</v>
      </c>
      <c r="HC448">
        <v>0</v>
      </c>
    </row>
    <row r="449" spans="1:325" ht="20.25">
      <c r="E449" t="s">
        <v>38</v>
      </c>
      <c r="F449">
        <v>21</v>
      </c>
      <c r="DV449">
        <v>33</v>
      </c>
      <c r="DW449" t="s">
        <v>48</v>
      </c>
      <c r="DX449" s="8">
        <v>43929</v>
      </c>
      <c r="DY449">
        <v>17</v>
      </c>
      <c r="EA449">
        <v>1</v>
      </c>
      <c r="GV449" s="8">
        <v>43927</v>
      </c>
      <c r="GW449">
        <v>78</v>
      </c>
      <c r="GX449" t="s">
        <v>108</v>
      </c>
      <c r="GY449">
        <v>2</v>
      </c>
      <c r="HC449">
        <v>0</v>
      </c>
    </row>
    <row r="450" spans="1:325" ht="20.25">
      <c r="E450" t="s">
        <v>40</v>
      </c>
      <c r="F450">
        <v>22</v>
      </c>
      <c r="DV450">
        <v>33</v>
      </c>
      <c r="DW450" t="s">
        <v>48</v>
      </c>
      <c r="DX450" s="8">
        <v>43930</v>
      </c>
      <c r="DY450">
        <v>18</v>
      </c>
      <c r="EA450">
        <v>1</v>
      </c>
      <c r="GV450" s="8">
        <v>43928</v>
      </c>
      <c r="GW450">
        <v>78</v>
      </c>
      <c r="GX450" t="s">
        <v>108</v>
      </c>
      <c r="GY450">
        <v>3</v>
      </c>
      <c r="HC450">
        <v>0</v>
      </c>
    </row>
    <row r="451" spans="1:325" ht="20.25">
      <c r="E451" t="s">
        <v>30</v>
      </c>
      <c r="F451">
        <v>23</v>
      </c>
      <c r="DV451">
        <v>33</v>
      </c>
      <c r="DW451" t="s">
        <v>48</v>
      </c>
      <c r="DX451" s="8">
        <v>43931</v>
      </c>
      <c r="DY451">
        <v>21</v>
      </c>
      <c r="EA451">
        <v>1</v>
      </c>
      <c r="GV451" s="8">
        <v>43929</v>
      </c>
      <c r="GW451">
        <v>78</v>
      </c>
      <c r="GX451" t="s">
        <v>108</v>
      </c>
      <c r="GY451">
        <v>4</v>
      </c>
      <c r="HC451">
        <v>0</v>
      </c>
    </row>
    <row r="452" spans="1:325" ht="20.25">
      <c r="E452" t="s">
        <v>33</v>
      </c>
      <c r="F452">
        <v>24</v>
      </c>
      <c r="DV452">
        <v>33</v>
      </c>
      <c r="DW452" t="s">
        <v>48</v>
      </c>
      <c r="DX452" s="8">
        <v>43932</v>
      </c>
      <c r="DY452">
        <v>24</v>
      </c>
      <c r="EA452">
        <v>1</v>
      </c>
      <c r="GV452" s="8">
        <v>43930</v>
      </c>
      <c r="GW452">
        <v>78</v>
      </c>
      <c r="GX452" t="s">
        <v>108</v>
      </c>
      <c r="GY452">
        <v>5</v>
      </c>
      <c r="HC452">
        <v>0</v>
      </c>
    </row>
    <row r="453" spans="1:325" ht="20.25">
      <c r="E453" t="s">
        <v>34</v>
      </c>
      <c r="F453">
        <v>25</v>
      </c>
      <c r="DV453">
        <v>33</v>
      </c>
      <c r="DW453" t="s">
        <v>48</v>
      </c>
      <c r="DX453" s="8">
        <v>43933</v>
      </c>
      <c r="DY453">
        <v>26</v>
      </c>
      <c r="EA453">
        <v>1</v>
      </c>
      <c r="GV453" s="8">
        <v>43931</v>
      </c>
      <c r="GW453">
        <v>78</v>
      </c>
      <c r="GX453" t="s">
        <v>108</v>
      </c>
      <c r="GY453">
        <v>5</v>
      </c>
      <c r="HC453">
        <v>0</v>
      </c>
    </row>
    <row r="454" spans="1:325" ht="20.25">
      <c r="E454" t="s">
        <v>35</v>
      </c>
      <c r="F454">
        <v>26</v>
      </c>
      <c r="DV454">
        <v>33</v>
      </c>
      <c r="DW454" t="s">
        <v>48</v>
      </c>
      <c r="DX454" s="8">
        <v>43934</v>
      </c>
      <c r="DY454">
        <v>26</v>
      </c>
      <c r="EA454">
        <v>1</v>
      </c>
      <c r="GV454" s="8">
        <v>43932</v>
      </c>
      <c r="GW454">
        <v>78</v>
      </c>
      <c r="GX454" t="s">
        <v>108</v>
      </c>
      <c r="GY454">
        <v>6</v>
      </c>
      <c r="HC454">
        <v>0</v>
      </c>
    </row>
    <row r="455" spans="1:325" ht="20.25">
      <c r="E455" t="s">
        <v>37</v>
      </c>
      <c r="F455">
        <v>27</v>
      </c>
      <c r="DV455">
        <v>33</v>
      </c>
      <c r="DW455" t="s">
        <v>48</v>
      </c>
      <c r="DX455" s="8">
        <v>43935</v>
      </c>
      <c r="DY455">
        <v>28</v>
      </c>
      <c r="EA455">
        <v>1</v>
      </c>
      <c r="GV455" s="8">
        <v>43933</v>
      </c>
      <c r="GW455">
        <v>78</v>
      </c>
      <c r="GX455" t="s">
        <v>108</v>
      </c>
      <c r="GY455">
        <v>6</v>
      </c>
      <c r="HC455">
        <v>0</v>
      </c>
    </row>
    <row r="456" spans="1:325" ht="20.25">
      <c r="E456" t="s">
        <v>38</v>
      </c>
      <c r="F456">
        <v>28</v>
      </c>
      <c r="DV456">
        <v>33</v>
      </c>
      <c r="DW456" t="s">
        <v>48</v>
      </c>
      <c r="DX456" s="8">
        <v>43936</v>
      </c>
      <c r="DY456">
        <v>28</v>
      </c>
      <c r="EA456">
        <v>1</v>
      </c>
      <c r="GV456" s="8">
        <v>43934</v>
      </c>
      <c r="GW456">
        <v>78</v>
      </c>
      <c r="GX456" t="s">
        <v>108</v>
      </c>
      <c r="GY456">
        <v>6</v>
      </c>
      <c r="HC456">
        <v>0</v>
      </c>
    </row>
    <row r="457" spans="1:325" ht="20.25">
      <c r="E457" t="s">
        <v>40</v>
      </c>
      <c r="F457">
        <v>29</v>
      </c>
      <c r="DV457">
        <v>33</v>
      </c>
      <c r="DW457" t="s">
        <v>48</v>
      </c>
      <c r="DX457" s="8">
        <v>43937</v>
      </c>
      <c r="DY457">
        <v>29</v>
      </c>
      <c r="DZ457">
        <v>209</v>
      </c>
      <c r="EA457">
        <v>1</v>
      </c>
      <c r="GV457" s="8">
        <v>43935</v>
      </c>
      <c r="GW457">
        <v>78</v>
      </c>
      <c r="GX457" t="s">
        <v>108</v>
      </c>
      <c r="GY457">
        <v>7</v>
      </c>
      <c r="HC457">
        <v>0</v>
      </c>
    </row>
    <row r="458" spans="1:325" ht="20.25">
      <c r="E458" t="s">
        <v>30</v>
      </c>
      <c r="F458" s="10">
        <v>44346</v>
      </c>
      <c r="DV458">
        <v>33</v>
      </c>
      <c r="DW458" t="s">
        <v>48</v>
      </c>
      <c r="DX458" s="8">
        <v>43938</v>
      </c>
      <c r="DY458">
        <v>31</v>
      </c>
      <c r="DZ458">
        <v>223</v>
      </c>
      <c r="EA458">
        <v>1</v>
      </c>
      <c r="GV458" s="8">
        <v>43936</v>
      </c>
      <c r="GW458">
        <v>78</v>
      </c>
      <c r="GX458" t="s">
        <v>108</v>
      </c>
      <c r="GY458">
        <v>6</v>
      </c>
      <c r="HC458">
        <v>1</v>
      </c>
    </row>
    <row r="459" spans="1:325" ht="20.25">
      <c r="E459" t="s">
        <v>33</v>
      </c>
      <c r="F459" s="10">
        <v>44347</v>
      </c>
      <c r="DV459">
        <v>33</v>
      </c>
      <c r="DW459" t="s">
        <v>48</v>
      </c>
      <c r="DX459" s="8">
        <v>43939</v>
      </c>
      <c r="DY459">
        <v>34</v>
      </c>
      <c r="DZ459">
        <v>245</v>
      </c>
      <c r="EA459">
        <v>2</v>
      </c>
      <c r="GV459" s="8">
        <v>43937</v>
      </c>
      <c r="GW459">
        <v>78</v>
      </c>
      <c r="GX459" t="s">
        <v>108</v>
      </c>
      <c r="GY459">
        <v>7</v>
      </c>
      <c r="HB459">
        <v>27</v>
      </c>
      <c r="HC459">
        <v>1</v>
      </c>
    </row>
    <row r="460" spans="1:325" ht="20.25">
      <c r="E460" t="s">
        <v>34</v>
      </c>
      <c r="F460" s="10">
        <v>44348</v>
      </c>
      <c r="DV460">
        <v>33</v>
      </c>
      <c r="DW460" t="s">
        <v>48</v>
      </c>
      <c r="DX460" s="8">
        <v>43940</v>
      </c>
      <c r="DY460">
        <v>34</v>
      </c>
      <c r="DZ460">
        <v>245</v>
      </c>
      <c r="EA460">
        <v>2</v>
      </c>
      <c r="GV460" s="8">
        <v>43938</v>
      </c>
      <c r="GW460">
        <v>78</v>
      </c>
      <c r="GX460" t="s">
        <v>108</v>
      </c>
      <c r="GY460">
        <v>9</v>
      </c>
      <c r="HB460">
        <v>35</v>
      </c>
      <c r="HC460">
        <v>1</v>
      </c>
    </row>
    <row r="461" spans="1:325" ht="20.25">
      <c r="E461" t="s">
        <v>35</v>
      </c>
      <c r="F461">
        <v>2</v>
      </c>
      <c r="DV461">
        <v>33</v>
      </c>
      <c r="DW461" t="s">
        <v>48</v>
      </c>
      <c r="DX461" s="8">
        <v>43941</v>
      </c>
      <c r="DY461">
        <v>34</v>
      </c>
      <c r="DZ461">
        <v>245</v>
      </c>
      <c r="EA461">
        <v>2</v>
      </c>
      <c r="GV461" s="8">
        <v>43939</v>
      </c>
      <c r="GW461">
        <v>78</v>
      </c>
      <c r="GX461" t="s">
        <v>108</v>
      </c>
      <c r="GY461">
        <v>9</v>
      </c>
      <c r="HB461">
        <v>35</v>
      </c>
      <c r="HC461">
        <v>1</v>
      </c>
    </row>
    <row r="462" spans="1:325" ht="20.25">
      <c r="E462" t="s">
        <v>37</v>
      </c>
      <c r="F462">
        <v>3</v>
      </c>
      <c r="DV462">
        <v>33</v>
      </c>
      <c r="DW462" t="s">
        <v>48</v>
      </c>
      <c r="DX462" s="8">
        <v>43942</v>
      </c>
      <c r="DY462">
        <v>34</v>
      </c>
      <c r="DZ462">
        <v>245</v>
      </c>
      <c r="EA462">
        <v>2</v>
      </c>
      <c r="GV462" s="8">
        <v>43940</v>
      </c>
      <c r="GW462">
        <v>78</v>
      </c>
      <c r="GX462" t="s">
        <v>108</v>
      </c>
      <c r="GY462">
        <v>9</v>
      </c>
      <c r="HB462">
        <v>35</v>
      </c>
      <c r="HC462">
        <v>1</v>
      </c>
    </row>
    <row r="463" spans="1:325" ht="20.25">
      <c r="E463" t="s">
        <v>38</v>
      </c>
      <c r="F463">
        <v>4</v>
      </c>
      <c r="DV463">
        <v>33</v>
      </c>
      <c r="DW463" t="s">
        <v>48</v>
      </c>
      <c r="DX463" s="8">
        <v>43943</v>
      </c>
      <c r="DY463">
        <v>40</v>
      </c>
      <c r="DZ463">
        <v>288</v>
      </c>
      <c r="EA463">
        <v>2</v>
      </c>
      <c r="GV463" s="8">
        <v>43941</v>
      </c>
      <c r="GW463">
        <v>78</v>
      </c>
      <c r="GX463" t="s">
        <v>108</v>
      </c>
      <c r="GY463">
        <v>10</v>
      </c>
      <c r="HB463">
        <v>39</v>
      </c>
      <c r="HC463">
        <v>1</v>
      </c>
    </row>
    <row r="464" spans="1:325" ht="20.25">
      <c r="E464" t="s">
        <v>40</v>
      </c>
      <c r="F464">
        <v>5</v>
      </c>
      <c r="DV464">
        <v>33</v>
      </c>
      <c r="DW464" t="s">
        <v>48</v>
      </c>
      <c r="DX464" s="8">
        <v>43944</v>
      </c>
      <c r="DY464">
        <v>42</v>
      </c>
      <c r="DZ464">
        <v>302</v>
      </c>
      <c r="EA464">
        <v>2</v>
      </c>
      <c r="GV464" s="8">
        <v>43942</v>
      </c>
      <c r="GW464">
        <v>78</v>
      </c>
      <c r="GX464" t="s">
        <v>108</v>
      </c>
      <c r="GY464">
        <v>9</v>
      </c>
      <c r="HB464">
        <v>35</v>
      </c>
      <c r="HC464">
        <v>1</v>
      </c>
    </row>
    <row r="465" spans="1:325" ht="20.25">
      <c r="E465" t="s">
        <v>30</v>
      </c>
      <c r="F465" s="10">
        <v>44353</v>
      </c>
      <c r="DV465">
        <v>33</v>
      </c>
      <c r="DW465" t="s">
        <v>48</v>
      </c>
      <c r="DX465" s="8">
        <v>43945</v>
      </c>
      <c r="DY465">
        <v>43</v>
      </c>
      <c r="DZ465">
        <v>309</v>
      </c>
      <c r="EA465">
        <v>4</v>
      </c>
      <c r="GV465" s="8">
        <v>43943</v>
      </c>
      <c r="GW465">
        <v>78</v>
      </c>
      <c r="GX465" t="s">
        <v>108</v>
      </c>
      <c r="GY465">
        <v>10</v>
      </c>
      <c r="HB465">
        <v>39</v>
      </c>
      <c r="HC465">
        <v>1</v>
      </c>
    </row>
    <row r="466" spans="1:325" ht="20.25">
      <c r="E466" t="s">
        <v>33</v>
      </c>
      <c r="F466" s="10">
        <v>44354</v>
      </c>
      <c r="DV466">
        <v>33</v>
      </c>
      <c r="DW466" t="s">
        <v>48</v>
      </c>
      <c r="DX466" s="8">
        <v>43946</v>
      </c>
      <c r="DY466">
        <v>46</v>
      </c>
      <c r="DZ466">
        <v>331</v>
      </c>
      <c r="EA466">
        <v>3</v>
      </c>
      <c r="GV466" s="8">
        <v>43944</v>
      </c>
      <c r="GW466">
        <v>78</v>
      </c>
      <c r="GX466" t="s">
        <v>108</v>
      </c>
      <c r="GY466">
        <v>11</v>
      </c>
      <c r="HB466">
        <v>43</v>
      </c>
      <c r="HC466">
        <v>1</v>
      </c>
    </row>
    <row r="467" spans="1:325" ht="20.25">
      <c r="E467" t="s">
        <v>34</v>
      </c>
      <c r="F467">
        <v>8</v>
      </c>
      <c r="DV467">
        <v>33</v>
      </c>
      <c r="DW467" t="s">
        <v>48</v>
      </c>
      <c r="DX467" s="8">
        <v>43947</v>
      </c>
      <c r="DY467">
        <v>49</v>
      </c>
      <c r="DZ467">
        <v>352</v>
      </c>
      <c r="EA467">
        <v>4</v>
      </c>
      <c r="GV467" s="8">
        <v>43945</v>
      </c>
      <c r="GW467">
        <v>78</v>
      </c>
      <c r="GX467" t="s">
        <v>108</v>
      </c>
      <c r="GY467">
        <v>14</v>
      </c>
      <c r="HB467">
        <v>54</v>
      </c>
      <c r="HC467">
        <v>1</v>
      </c>
    </row>
    <row r="468" spans="1:325" ht="20.25">
      <c r="E468" t="s">
        <v>35</v>
      </c>
      <c r="F468">
        <v>9</v>
      </c>
      <c r="DV468">
        <v>33</v>
      </c>
      <c r="DW468" t="s">
        <v>48</v>
      </c>
      <c r="DX468" s="8">
        <v>43948</v>
      </c>
      <c r="DY468">
        <v>51</v>
      </c>
      <c r="DZ468">
        <v>367</v>
      </c>
      <c r="EA468">
        <v>4</v>
      </c>
      <c r="GV468" s="8">
        <v>43946</v>
      </c>
      <c r="GW468">
        <v>78</v>
      </c>
      <c r="GX468" t="s">
        <v>108</v>
      </c>
      <c r="GY468">
        <v>16</v>
      </c>
      <c r="HB468">
        <v>62</v>
      </c>
      <c r="HC468">
        <v>1</v>
      </c>
    </row>
    <row r="469" spans="1:325" ht="20.25">
      <c r="E469" t="s">
        <v>37</v>
      </c>
      <c r="F469">
        <v>10</v>
      </c>
      <c r="DV469">
        <v>33</v>
      </c>
      <c r="DW469" t="s">
        <v>48</v>
      </c>
      <c r="DX469" s="8">
        <v>43949</v>
      </c>
      <c r="DY469">
        <v>53</v>
      </c>
      <c r="DZ469">
        <v>381</v>
      </c>
      <c r="EA469">
        <v>4</v>
      </c>
      <c r="GV469" s="8">
        <v>43947</v>
      </c>
      <c r="GW469">
        <v>78</v>
      </c>
      <c r="GX469" t="s">
        <v>108</v>
      </c>
      <c r="GY469">
        <v>16</v>
      </c>
      <c r="HB469">
        <v>62</v>
      </c>
      <c r="HC469">
        <v>1</v>
      </c>
    </row>
    <row r="470" spans="1:325" ht="20.25">
      <c r="E470" t="s">
        <v>38</v>
      </c>
      <c r="F470">
        <v>11</v>
      </c>
      <c r="DV470">
        <v>33</v>
      </c>
      <c r="DW470" t="s">
        <v>48</v>
      </c>
      <c r="DX470" s="8">
        <v>43950</v>
      </c>
      <c r="DY470">
        <v>57</v>
      </c>
      <c r="DZ470">
        <v>410</v>
      </c>
      <c r="EA470">
        <v>5</v>
      </c>
      <c r="GV470" s="8">
        <v>43948</v>
      </c>
      <c r="GW470">
        <v>78</v>
      </c>
      <c r="GX470" t="s">
        <v>108</v>
      </c>
      <c r="GY470">
        <v>17</v>
      </c>
      <c r="HB470">
        <v>66</v>
      </c>
      <c r="HC470">
        <v>1</v>
      </c>
    </row>
    <row r="471" spans="1:325" ht="20.25">
      <c r="E471" t="s">
        <v>40</v>
      </c>
      <c r="F471">
        <v>12</v>
      </c>
      <c r="DV471">
        <v>33</v>
      </c>
      <c r="DW471" t="s">
        <v>48</v>
      </c>
      <c r="DX471" s="8">
        <v>43951</v>
      </c>
      <c r="DY471">
        <v>61</v>
      </c>
      <c r="DZ471">
        <v>439</v>
      </c>
      <c r="EA471">
        <v>8</v>
      </c>
      <c r="GV471" s="8">
        <v>43949</v>
      </c>
      <c r="GW471">
        <v>78</v>
      </c>
      <c r="GX471" t="s">
        <v>108</v>
      </c>
      <c r="GY471">
        <v>17</v>
      </c>
      <c r="HB471">
        <v>66</v>
      </c>
      <c r="HC471">
        <v>1</v>
      </c>
    </row>
    <row r="472" spans="1:325" ht="20.25">
      <c r="E472" t="s">
        <v>30</v>
      </c>
      <c r="F472">
        <v>13</v>
      </c>
      <c r="DV472">
        <v>33</v>
      </c>
      <c r="DW472" t="s">
        <v>48</v>
      </c>
      <c r="DX472" s="8">
        <v>43952</v>
      </c>
      <c r="DY472">
        <v>64</v>
      </c>
      <c r="DZ472">
        <v>460</v>
      </c>
      <c r="EA472">
        <v>7</v>
      </c>
      <c r="GV472" s="8">
        <v>43950</v>
      </c>
      <c r="GW472">
        <v>78</v>
      </c>
      <c r="GX472" t="s">
        <v>108</v>
      </c>
      <c r="GY472">
        <v>17</v>
      </c>
      <c r="HB472">
        <v>66</v>
      </c>
      <c r="HC472">
        <v>1</v>
      </c>
    </row>
    <row r="473" spans="1:325" ht="20.25">
      <c r="E473" t="s">
        <v>33</v>
      </c>
      <c r="F473">
        <v>14</v>
      </c>
      <c r="DV473">
        <v>33</v>
      </c>
      <c r="DW473" t="s">
        <v>48</v>
      </c>
      <c r="DX473" s="8">
        <v>43953</v>
      </c>
      <c r="DY473">
        <v>76</v>
      </c>
      <c r="DZ473">
        <v>547</v>
      </c>
      <c r="EA473">
        <v>10</v>
      </c>
      <c r="GV473" s="8">
        <v>43951</v>
      </c>
      <c r="GW473">
        <v>78</v>
      </c>
      <c r="GX473" t="s">
        <v>108</v>
      </c>
      <c r="GY473">
        <v>20</v>
      </c>
      <c r="HB473">
        <v>77</v>
      </c>
      <c r="HC473">
        <v>1</v>
      </c>
    </row>
    <row r="474" spans="1:325" ht="20.25">
      <c r="E474" t="s">
        <v>34</v>
      </c>
      <c r="F474" s="10">
        <v>44362</v>
      </c>
      <c r="DV474">
        <v>33</v>
      </c>
      <c r="DW474" t="s">
        <v>48</v>
      </c>
      <c r="DX474" s="8">
        <v>43954</v>
      </c>
      <c r="DY474">
        <v>76</v>
      </c>
      <c r="DZ474">
        <v>547</v>
      </c>
      <c r="EA474">
        <v>11</v>
      </c>
      <c r="GV474" s="8">
        <v>43952</v>
      </c>
      <c r="GW474">
        <v>78</v>
      </c>
      <c r="GX474" t="s">
        <v>108</v>
      </c>
      <c r="GY474">
        <v>20</v>
      </c>
      <c r="HB474">
        <v>77</v>
      </c>
      <c r="HC474">
        <v>1</v>
      </c>
    </row>
    <row r="475" spans="1:325" ht="20.25">
      <c r="E475" t="s">
        <v>35</v>
      </c>
      <c r="F475">
        <v>16</v>
      </c>
      <c r="DV475">
        <v>33</v>
      </c>
      <c r="DW475" t="s">
        <v>48</v>
      </c>
      <c r="DX475" s="8">
        <v>43955</v>
      </c>
      <c r="DY475">
        <v>80</v>
      </c>
      <c r="DZ475">
        <v>575</v>
      </c>
      <c r="EA475">
        <v>11</v>
      </c>
      <c r="GV475" s="8">
        <v>43953</v>
      </c>
      <c r="GW475">
        <v>78</v>
      </c>
      <c r="GX475" t="s">
        <v>108</v>
      </c>
      <c r="GY475">
        <v>20</v>
      </c>
      <c r="HB475">
        <v>77</v>
      </c>
      <c r="HC475">
        <v>1</v>
      </c>
    </row>
    <row r="476" spans="1:325" ht="20.25">
      <c r="E476" t="s">
        <v>37</v>
      </c>
      <c r="F476">
        <v>17</v>
      </c>
      <c r="DV476">
        <v>33</v>
      </c>
      <c r="DW476" t="s">
        <v>48</v>
      </c>
      <c r="DX476" s="8">
        <v>43956</v>
      </c>
      <c r="DY476">
        <v>82</v>
      </c>
      <c r="DZ476">
        <v>590</v>
      </c>
      <c r="EA476">
        <v>11</v>
      </c>
      <c r="GV476" s="8">
        <v>43954</v>
      </c>
      <c r="GW476">
        <v>78</v>
      </c>
      <c r="GX476" t="s">
        <v>108</v>
      </c>
      <c r="GY476">
        <v>20</v>
      </c>
      <c r="HB476">
        <v>77</v>
      </c>
      <c r="HC476">
        <v>1</v>
      </c>
    </row>
    <row r="477" spans="1:325" ht="20.25">
      <c r="E477" t="s">
        <v>38</v>
      </c>
      <c r="F477">
        <v>18</v>
      </c>
      <c r="DV477">
        <v>33</v>
      </c>
      <c r="DW477" t="s">
        <v>48</v>
      </c>
      <c r="DX477" s="8">
        <v>43957</v>
      </c>
      <c r="DY477">
        <v>83</v>
      </c>
      <c r="DZ477">
        <v>597</v>
      </c>
      <c r="EA477">
        <v>11</v>
      </c>
      <c r="GV477" s="8">
        <v>43955</v>
      </c>
      <c r="GW477">
        <v>78</v>
      </c>
      <c r="GX477" t="s">
        <v>108</v>
      </c>
      <c r="GY477">
        <v>21</v>
      </c>
      <c r="HB477">
        <v>81</v>
      </c>
      <c r="HC477">
        <v>2</v>
      </c>
    </row>
    <row r="478" spans="1:325" ht="20.25">
      <c r="E478" t="s">
        <v>40</v>
      </c>
      <c r="F478">
        <v>19</v>
      </c>
      <c r="DV478">
        <v>33</v>
      </c>
      <c r="DW478" t="s">
        <v>48</v>
      </c>
      <c r="DX478" s="8">
        <v>43958</v>
      </c>
      <c r="DY478">
        <v>84</v>
      </c>
      <c r="DZ478">
        <v>604</v>
      </c>
      <c r="EA478">
        <v>12</v>
      </c>
      <c r="GV478" s="8">
        <v>43956</v>
      </c>
      <c r="GW478">
        <v>78</v>
      </c>
      <c r="GX478" t="s">
        <v>108</v>
      </c>
      <c r="GY478">
        <v>22</v>
      </c>
      <c r="HB478">
        <v>85</v>
      </c>
      <c r="HC478">
        <v>2</v>
      </c>
    </row>
    <row r="479" spans="1:325" ht="20.25">
      <c r="E479" t="s">
        <v>30</v>
      </c>
      <c r="F479">
        <v>20</v>
      </c>
      <c r="DV479">
        <v>33</v>
      </c>
      <c r="DW479" t="s">
        <v>48</v>
      </c>
      <c r="DX479" s="8">
        <v>43959</v>
      </c>
      <c r="DY479">
        <v>85</v>
      </c>
      <c r="DZ479">
        <v>611</v>
      </c>
      <c r="EA479">
        <v>13</v>
      </c>
      <c r="GV479" s="8">
        <v>43957</v>
      </c>
      <c r="GW479">
        <v>78</v>
      </c>
      <c r="GX479" t="s">
        <v>108</v>
      </c>
      <c r="GY479">
        <v>22</v>
      </c>
      <c r="HB479">
        <v>85</v>
      </c>
      <c r="HC479">
        <v>2</v>
      </c>
    </row>
    <row r="480" spans="1:325" ht="20.25">
      <c r="E480" t="s">
        <v>33</v>
      </c>
      <c r="F480">
        <v>21</v>
      </c>
      <c r="DV480">
        <v>33</v>
      </c>
      <c r="DW480" t="s">
        <v>48</v>
      </c>
      <c r="DX480" s="8">
        <v>43960</v>
      </c>
      <c r="DY480">
        <v>86</v>
      </c>
      <c r="DZ480">
        <v>618</v>
      </c>
      <c r="EA480">
        <v>14</v>
      </c>
      <c r="GV480" s="8">
        <v>43958</v>
      </c>
      <c r="GW480">
        <v>78</v>
      </c>
      <c r="GX480" t="s">
        <v>108</v>
      </c>
      <c r="GY480">
        <v>23</v>
      </c>
      <c r="HB480">
        <v>89</v>
      </c>
      <c r="HC480">
        <v>2</v>
      </c>
    </row>
    <row r="481" spans="1:325" ht="20.25">
      <c r="E481" t="s">
        <v>34</v>
      </c>
      <c r="F481">
        <v>22</v>
      </c>
      <c r="DV481">
        <v>33</v>
      </c>
      <c r="DW481" t="s">
        <v>48</v>
      </c>
      <c r="DX481" s="8">
        <v>43961</v>
      </c>
      <c r="DY481">
        <v>86</v>
      </c>
      <c r="DZ481">
        <v>618</v>
      </c>
      <c r="EA481">
        <v>14</v>
      </c>
      <c r="GV481" s="8">
        <v>43959</v>
      </c>
      <c r="GW481">
        <v>78</v>
      </c>
      <c r="GX481" t="s">
        <v>108</v>
      </c>
      <c r="GY481">
        <v>23</v>
      </c>
      <c r="HB481">
        <v>89</v>
      </c>
      <c r="HC481">
        <v>2</v>
      </c>
    </row>
    <row r="482" spans="1:325" ht="20.25">
      <c r="E482" t="s">
        <v>35</v>
      </c>
      <c r="F482">
        <v>23</v>
      </c>
      <c r="DV482">
        <v>33</v>
      </c>
      <c r="DW482" t="s">
        <v>48</v>
      </c>
      <c r="DX482" s="8">
        <v>43962</v>
      </c>
      <c r="DY482">
        <v>88</v>
      </c>
      <c r="DZ482">
        <v>633</v>
      </c>
      <c r="EA482">
        <v>15</v>
      </c>
      <c r="GV482" s="8">
        <v>43960</v>
      </c>
      <c r="GW482">
        <v>78</v>
      </c>
      <c r="GX482" t="s">
        <v>108</v>
      </c>
      <c r="GY482">
        <v>24</v>
      </c>
      <c r="HB482">
        <v>93</v>
      </c>
      <c r="HC482">
        <v>2</v>
      </c>
    </row>
    <row r="483" spans="1:325" ht="20.25">
      <c r="E483" t="s">
        <v>37</v>
      </c>
      <c r="F483">
        <v>24</v>
      </c>
      <c r="DV483">
        <v>33</v>
      </c>
      <c r="DW483" t="s">
        <v>48</v>
      </c>
      <c r="DX483" s="8">
        <v>43963</v>
      </c>
      <c r="DY483">
        <v>90</v>
      </c>
      <c r="DZ483">
        <v>647</v>
      </c>
      <c r="EA483">
        <v>16</v>
      </c>
      <c r="GV483" s="8">
        <v>43961</v>
      </c>
      <c r="GW483">
        <v>78</v>
      </c>
      <c r="GX483" t="s">
        <v>108</v>
      </c>
      <c r="GY483">
        <v>24</v>
      </c>
      <c r="HB483">
        <v>93</v>
      </c>
      <c r="HC483">
        <v>2</v>
      </c>
    </row>
    <row r="484" spans="1:325" ht="20.25">
      <c r="E484" t="s">
        <v>38</v>
      </c>
      <c r="F484">
        <v>25</v>
      </c>
      <c r="DV484">
        <v>33</v>
      </c>
      <c r="DW484" t="s">
        <v>48</v>
      </c>
      <c r="DX484" s="8">
        <v>43964</v>
      </c>
      <c r="DY484">
        <v>90</v>
      </c>
      <c r="DZ484">
        <v>647</v>
      </c>
      <c r="EA484">
        <v>17</v>
      </c>
      <c r="GV484" s="8">
        <v>43962</v>
      </c>
      <c r="GW484">
        <v>78</v>
      </c>
      <c r="GX484" t="s">
        <v>108</v>
      </c>
      <c r="GY484">
        <v>24</v>
      </c>
      <c r="HB484">
        <v>93</v>
      </c>
      <c r="HC484">
        <v>2</v>
      </c>
    </row>
    <row r="485" spans="1:325" ht="20.25">
      <c r="E485" t="s">
        <v>40</v>
      </c>
      <c r="F485">
        <v>26</v>
      </c>
      <c r="DV485">
        <v>33</v>
      </c>
      <c r="DW485" t="s">
        <v>48</v>
      </c>
      <c r="DX485" s="8">
        <v>43965</v>
      </c>
      <c r="DY485">
        <v>91</v>
      </c>
      <c r="DZ485">
        <v>654</v>
      </c>
      <c r="EA485">
        <v>17</v>
      </c>
      <c r="GV485" s="8">
        <v>43963</v>
      </c>
      <c r="GW485">
        <v>78</v>
      </c>
      <c r="GX485" t="s">
        <v>108</v>
      </c>
      <c r="GY485">
        <v>24</v>
      </c>
      <c r="HB485">
        <v>93</v>
      </c>
      <c r="HC485">
        <v>2</v>
      </c>
    </row>
    <row r="486" spans="1:325" ht="20.25">
      <c r="E486" t="s">
        <v>30</v>
      </c>
      <c r="F486">
        <v>27</v>
      </c>
      <c r="DV486">
        <v>33</v>
      </c>
      <c r="DW486" t="s">
        <v>48</v>
      </c>
      <c r="DX486" s="8">
        <v>43966</v>
      </c>
      <c r="DY486">
        <v>90</v>
      </c>
      <c r="DZ486">
        <v>647</v>
      </c>
      <c r="EA486">
        <v>17</v>
      </c>
      <c r="GV486" s="8">
        <v>43964</v>
      </c>
      <c r="GW486">
        <v>78</v>
      </c>
      <c r="GX486" t="s">
        <v>108</v>
      </c>
      <c r="GY486">
        <v>24</v>
      </c>
      <c r="HB486">
        <v>93</v>
      </c>
      <c r="HC486">
        <v>2</v>
      </c>
    </row>
    <row r="487" spans="1:325" ht="20.25">
      <c r="E487" t="s">
        <v>33</v>
      </c>
      <c r="F487">
        <v>28</v>
      </c>
      <c r="DV487">
        <v>40</v>
      </c>
      <c r="DW487" t="s">
        <v>49</v>
      </c>
      <c r="DX487" s="8">
        <v>43914</v>
      </c>
      <c r="DY487">
        <v>0</v>
      </c>
      <c r="EA487">
        <v>0</v>
      </c>
      <c r="GV487" s="8">
        <v>43965</v>
      </c>
      <c r="GW487">
        <v>78</v>
      </c>
      <c r="GX487" t="s">
        <v>108</v>
      </c>
      <c r="GY487">
        <v>25</v>
      </c>
      <c r="HB487">
        <v>97</v>
      </c>
      <c r="HC487">
        <v>2</v>
      </c>
    </row>
    <row r="488" spans="1:325" ht="20.25">
      <c r="E488" t="s">
        <v>34</v>
      </c>
      <c r="F488">
        <v>29</v>
      </c>
      <c r="DV488">
        <v>40</v>
      </c>
      <c r="DW488" t="s">
        <v>49</v>
      </c>
      <c r="DX488" s="8">
        <v>43915</v>
      </c>
      <c r="DY488">
        <v>0</v>
      </c>
      <c r="EA488">
        <v>0</v>
      </c>
      <c r="GV488" s="8">
        <v>43966</v>
      </c>
      <c r="GW488">
        <v>78</v>
      </c>
      <c r="GX488" t="s">
        <v>108</v>
      </c>
      <c r="GY488">
        <v>25</v>
      </c>
      <c r="HB488">
        <v>97</v>
      </c>
      <c r="HC488">
        <v>2</v>
      </c>
    </row>
    <row r="489" spans="1:325" ht="20.25">
      <c r="E489" t="s">
        <v>35</v>
      </c>
      <c r="F489" s="10">
        <v>44377</v>
      </c>
      <c r="DV489">
        <v>40</v>
      </c>
      <c r="DW489" t="s">
        <v>49</v>
      </c>
      <c r="DX489" s="8">
        <v>43916</v>
      </c>
      <c r="DY489">
        <v>1</v>
      </c>
      <c r="EA489">
        <v>0</v>
      </c>
      <c r="GV489" s="8">
        <v>43967</v>
      </c>
      <c r="GW489">
        <v>78</v>
      </c>
      <c r="GX489" t="s">
        <v>108</v>
      </c>
      <c r="GY489">
        <v>25</v>
      </c>
      <c r="HB489">
        <v>97</v>
      </c>
      <c r="HC489">
        <v>2</v>
      </c>
      <c r="HF489">
        <v>192</v>
      </c>
    </row>
    <row r="490" spans="1:325" ht="20.25">
      <c r="E490" t="s">
        <v>37</v>
      </c>
      <c r="F490" s="10">
        <v>44378</v>
      </c>
      <c r="DV490">
        <v>40</v>
      </c>
      <c r="DW490" t="s">
        <v>49</v>
      </c>
      <c r="DX490" s="8">
        <v>43917</v>
      </c>
      <c r="DY490">
        <v>1</v>
      </c>
      <c r="EA490">
        <v>0</v>
      </c>
      <c r="GV490" s="8">
        <v>43968</v>
      </c>
      <c r="GW490">
        <v>78</v>
      </c>
      <c r="GX490" t="s">
        <v>108</v>
      </c>
      <c r="GY490">
        <v>25</v>
      </c>
      <c r="HB490">
        <v>97</v>
      </c>
      <c r="HC490">
        <v>2</v>
      </c>
      <c r="HF490">
        <v>198</v>
      </c>
    </row>
    <row r="491" spans="1:325" ht="20.25">
      <c r="E491" t="s">
        <v>38</v>
      </c>
      <c r="F491">
        <v>2</v>
      </c>
      <c r="DV491">
        <v>40</v>
      </c>
      <c r="DW491" t="s">
        <v>49</v>
      </c>
      <c r="DX491" s="8">
        <v>43918</v>
      </c>
      <c r="DY491">
        <v>1</v>
      </c>
      <c r="EA491">
        <v>0</v>
      </c>
      <c r="GV491" s="8">
        <v>43969</v>
      </c>
      <c r="GW491">
        <v>78</v>
      </c>
      <c r="GX491" t="s">
        <v>108</v>
      </c>
      <c r="GY491">
        <v>26</v>
      </c>
      <c r="HB491">
        <v>101</v>
      </c>
      <c r="HC491">
        <v>2</v>
      </c>
      <c r="HF491">
        <v>205</v>
      </c>
    </row>
    <row r="492" spans="1:325" ht="20.25">
      <c r="E492" t="s">
        <v>40</v>
      </c>
      <c r="F492">
        <v>3</v>
      </c>
      <c r="DV492">
        <v>40</v>
      </c>
      <c r="DW492" t="s">
        <v>49</v>
      </c>
      <c r="DX492" s="8">
        <v>43919</v>
      </c>
      <c r="DY492">
        <v>1</v>
      </c>
      <c r="EA492">
        <v>0</v>
      </c>
      <c r="GV492" s="8">
        <v>43970</v>
      </c>
      <c r="GW492">
        <v>78</v>
      </c>
      <c r="GX492" t="s">
        <v>108</v>
      </c>
      <c r="GY492">
        <v>27</v>
      </c>
      <c r="HB492">
        <v>105</v>
      </c>
      <c r="HC492">
        <v>2</v>
      </c>
      <c r="HF492">
        <v>219</v>
      </c>
    </row>
    <row r="493" spans="1:325" ht="20.25">
      <c r="E493" t="s">
        <v>30</v>
      </c>
      <c r="F493">
        <v>4</v>
      </c>
      <c r="DV493">
        <v>40</v>
      </c>
      <c r="DW493" t="s">
        <v>49</v>
      </c>
      <c r="DX493" s="8">
        <v>43920</v>
      </c>
      <c r="DY493">
        <v>1</v>
      </c>
      <c r="EA493">
        <v>0</v>
      </c>
      <c r="GV493" s="8">
        <v>43971</v>
      </c>
      <c r="GW493">
        <v>78</v>
      </c>
      <c r="GX493" t="s">
        <v>108</v>
      </c>
      <c r="GY493">
        <v>27</v>
      </c>
      <c r="HB493">
        <v>105</v>
      </c>
      <c r="HC493">
        <v>2</v>
      </c>
      <c r="HF493">
        <v>220</v>
      </c>
      <c r="HG493">
        <v>852</v>
      </c>
    </row>
    <row r="494" spans="1:325" ht="20.25">
      <c r="E494" t="s">
        <v>33</v>
      </c>
      <c r="F494">
        <v>5</v>
      </c>
      <c r="DV494">
        <v>40</v>
      </c>
      <c r="DW494" t="s">
        <v>49</v>
      </c>
      <c r="DX494" s="8">
        <v>43921</v>
      </c>
      <c r="DY494">
        <v>1</v>
      </c>
      <c r="EA494">
        <v>0</v>
      </c>
      <c r="GV494" s="8">
        <v>43972</v>
      </c>
      <c r="GW494">
        <v>78</v>
      </c>
      <c r="GX494" t="s">
        <v>108</v>
      </c>
      <c r="GY494">
        <v>27</v>
      </c>
      <c r="HB494">
        <v>105</v>
      </c>
      <c r="HC494">
        <v>2</v>
      </c>
      <c r="HF494">
        <v>223</v>
      </c>
      <c r="HG494">
        <v>864</v>
      </c>
    </row>
    <row r="495" spans="1:325" ht="20.25">
      <c r="E495" t="s">
        <v>34</v>
      </c>
      <c r="F495">
        <v>6</v>
      </c>
      <c r="DV495">
        <v>40</v>
      </c>
      <c r="DW495" t="s">
        <v>49</v>
      </c>
      <c r="DX495" s="8">
        <v>43922</v>
      </c>
      <c r="DY495">
        <v>1</v>
      </c>
      <c r="EA495">
        <v>0</v>
      </c>
      <c r="GV495" s="8">
        <v>43973</v>
      </c>
      <c r="GW495">
        <v>78</v>
      </c>
      <c r="GX495" t="s">
        <v>108</v>
      </c>
      <c r="GY495">
        <v>27</v>
      </c>
      <c r="HB495">
        <v>105</v>
      </c>
      <c r="HC495">
        <v>2</v>
      </c>
      <c r="HF495">
        <v>236</v>
      </c>
      <c r="HG495">
        <v>914</v>
      </c>
    </row>
    <row r="496" spans="1:325" ht="20.25">
      <c r="E496" t="s">
        <v>35</v>
      </c>
      <c r="F496">
        <v>7</v>
      </c>
      <c r="DV496">
        <v>40</v>
      </c>
      <c r="DW496" t="s">
        <v>49</v>
      </c>
      <c r="DX496" s="8">
        <v>43923</v>
      </c>
      <c r="DY496">
        <v>2</v>
      </c>
      <c r="EA496">
        <v>0</v>
      </c>
      <c r="GV496" s="8">
        <v>43974</v>
      </c>
      <c r="GW496">
        <v>78</v>
      </c>
      <c r="GX496" t="s">
        <v>108</v>
      </c>
      <c r="GY496">
        <v>27</v>
      </c>
      <c r="HB496">
        <v>105</v>
      </c>
      <c r="HC496">
        <v>2</v>
      </c>
      <c r="HF496">
        <v>240</v>
      </c>
      <c r="HG496">
        <v>930</v>
      </c>
    </row>
    <row r="497" spans="1:325" ht="20.25">
      <c r="E497" t="s">
        <v>37</v>
      </c>
      <c r="F497">
        <v>8</v>
      </c>
      <c r="DV497">
        <v>40</v>
      </c>
      <c r="DW497" t="s">
        <v>49</v>
      </c>
      <c r="DX497" s="8">
        <v>43924</v>
      </c>
      <c r="DY497">
        <v>2</v>
      </c>
      <c r="EA497">
        <v>0</v>
      </c>
      <c r="GV497" s="8">
        <v>43975</v>
      </c>
      <c r="GW497">
        <v>78</v>
      </c>
      <c r="GX497" t="s">
        <v>108</v>
      </c>
      <c r="GY497">
        <v>27</v>
      </c>
      <c r="HB497">
        <v>105</v>
      </c>
      <c r="HC497">
        <v>2</v>
      </c>
      <c r="HF497">
        <v>250</v>
      </c>
      <c r="HG497">
        <v>968</v>
      </c>
    </row>
    <row r="498" spans="1:325" ht="20.25">
      <c r="E498" t="s">
        <v>38</v>
      </c>
      <c r="F498">
        <v>9</v>
      </c>
      <c r="DV498">
        <v>40</v>
      </c>
      <c r="DW498" t="s">
        <v>49</v>
      </c>
      <c r="DX498" s="8">
        <v>43925</v>
      </c>
      <c r="DY498">
        <v>2</v>
      </c>
      <c r="EA498">
        <v>0</v>
      </c>
      <c r="GV498" s="8">
        <v>43976</v>
      </c>
      <c r="GW498">
        <v>78</v>
      </c>
      <c r="GX498" t="s">
        <v>108</v>
      </c>
      <c r="GY498">
        <v>29</v>
      </c>
      <c r="HB498">
        <v>112</v>
      </c>
      <c r="HC498">
        <v>2</v>
      </c>
      <c r="HF498">
        <v>256</v>
      </c>
      <c r="HG498">
        <v>992</v>
      </c>
    </row>
    <row r="499" spans="1:325" ht="20.25">
      <c r="E499" t="s">
        <v>40</v>
      </c>
      <c r="F499">
        <v>10</v>
      </c>
      <c r="DV499">
        <v>40</v>
      </c>
      <c r="DW499" t="s">
        <v>49</v>
      </c>
      <c r="DX499" s="8">
        <v>43926</v>
      </c>
      <c r="DY499">
        <v>2</v>
      </c>
      <c r="EA499">
        <v>0</v>
      </c>
      <c r="GV499" s="8">
        <v>43977</v>
      </c>
      <c r="GW499">
        <v>78</v>
      </c>
      <c r="GX499" t="s">
        <v>108</v>
      </c>
      <c r="GY499">
        <v>27</v>
      </c>
      <c r="HB499">
        <v>105</v>
      </c>
      <c r="HC499">
        <v>2</v>
      </c>
      <c r="HF499">
        <v>262</v>
      </c>
      <c r="HG499">
        <v>1015</v>
      </c>
    </row>
    <row r="500" spans="1:325" ht="20.25">
      <c r="E500" t="s">
        <v>30</v>
      </c>
      <c r="F500">
        <v>11</v>
      </c>
      <c r="DV500">
        <v>40</v>
      </c>
      <c r="DW500" t="s">
        <v>49</v>
      </c>
      <c r="DX500" s="8">
        <v>43927</v>
      </c>
      <c r="DY500">
        <v>2</v>
      </c>
      <c r="EA500">
        <v>0</v>
      </c>
      <c r="GV500" s="8">
        <v>43978</v>
      </c>
      <c r="GW500">
        <v>78</v>
      </c>
      <c r="GX500" t="s">
        <v>108</v>
      </c>
      <c r="GY500">
        <v>28</v>
      </c>
      <c r="HB500">
        <v>108</v>
      </c>
      <c r="HC500">
        <v>2</v>
      </c>
      <c r="HF500">
        <v>274</v>
      </c>
      <c r="HG500">
        <v>1061</v>
      </c>
    </row>
    <row r="501" spans="1:325" ht="20.25">
      <c r="E501" t="s">
        <v>33</v>
      </c>
      <c r="F501">
        <v>12</v>
      </c>
      <c r="DV501">
        <v>40</v>
      </c>
      <c r="DW501" t="s">
        <v>49</v>
      </c>
      <c r="DX501" s="8">
        <v>43928</v>
      </c>
      <c r="DY501">
        <v>2</v>
      </c>
      <c r="EA501">
        <v>0</v>
      </c>
      <c r="GV501" s="8">
        <v>43979</v>
      </c>
      <c r="GW501">
        <v>78</v>
      </c>
      <c r="GX501" t="s">
        <v>108</v>
      </c>
      <c r="GY501">
        <v>28</v>
      </c>
      <c r="HB501">
        <v>108</v>
      </c>
      <c r="HC501">
        <v>2</v>
      </c>
      <c r="HF501">
        <v>280</v>
      </c>
      <c r="HG501">
        <v>1085</v>
      </c>
    </row>
    <row r="502" spans="1:325" ht="20.25">
      <c r="E502" t="s">
        <v>34</v>
      </c>
      <c r="F502">
        <v>13</v>
      </c>
      <c r="DV502">
        <v>40</v>
      </c>
      <c r="DW502" t="s">
        <v>49</v>
      </c>
      <c r="DX502" s="8">
        <v>43929</v>
      </c>
      <c r="DY502">
        <v>2</v>
      </c>
      <c r="EA502">
        <v>0</v>
      </c>
      <c r="GV502" s="8">
        <v>43980</v>
      </c>
      <c r="GW502">
        <v>78</v>
      </c>
      <c r="GX502" t="s">
        <v>108</v>
      </c>
      <c r="GY502">
        <v>29</v>
      </c>
      <c r="HB502">
        <v>112</v>
      </c>
      <c r="HC502">
        <v>2</v>
      </c>
      <c r="HF502">
        <v>292</v>
      </c>
      <c r="HG502">
        <v>1131</v>
      </c>
    </row>
    <row r="503" spans="1:325" ht="20.25">
      <c r="E503" t="s">
        <v>35</v>
      </c>
      <c r="F503">
        <v>14</v>
      </c>
      <c r="DV503">
        <v>40</v>
      </c>
      <c r="DW503" t="s">
        <v>49</v>
      </c>
      <c r="DX503" s="8">
        <v>43930</v>
      </c>
      <c r="DY503">
        <v>2</v>
      </c>
      <c r="EA503">
        <v>0</v>
      </c>
      <c r="GV503" s="8">
        <v>43981</v>
      </c>
      <c r="GW503">
        <v>78</v>
      </c>
      <c r="GX503" t="s">
        <v>108</v>
      </c>
      <c r="GY503">
        <v>29</v>
      </c>
      <c r="HB503">
        <v>112</v>
      </c>
      <c r="HC503">
        <v>2</v>
      </c>
      <c r="HF503">
        <v>295</v>
      </c>
      <c r="HG503">
        <v>1143</v>
      </c>
    </row>
    <row r="504" spans="1:325" ht="20.25">
      <c r="E504" t="s">
        <v>37</v>
      </c>
      <c r="F504">
        <v>15</v>
      </c>
      <c r="DV504">
        <v>40</v>
      </c>
      <c r="DW504" t="s">
        <v>49</v>
      </c>
      <c r="DX504" s="8">
        <v>43931</v>
      </c>
      <c r="DY504">
        <v>2</v>
      </c>
      <c r="EA504">
        <v>0</v>
      </c>
      <c r="GV504" s="8">
        <v>43982</v>
      </c>
      <c r="GW504">
        <v>78</v>
      </c>
      <c r="GX504" t="s">
        <v>108</v>
      </c>
      <c r="GY504">
        <v>29</v>
      </c>
      <c r="GZ504">
        <v>27</v>
      </c>
      <c r="HA504">
        <v>2</v>
      </c>
      <c r="HB504">
        <v>112</v>
      </c>
      <c r="HC504">
        <v>2</v>
      </c>
      <c r="HD504">
        <v>1</v>
      </c>
      <c r="HE504">
        <v>1</v>
      </c>
      <c r="HF504">
        <v>302</v>
      </c>
      <c r="HG504">
        <v>1170</v>
      </c>
      <c r="HH504">
        <v>344</v>
      </c>
      <c r="HI504">
        <v>31</v>
      </c>
      <c r="HJ504">
        <v>311</v>
      </c>
      <c r="HK504">
        <v>2</v>
      </c>
    </row>
    <row r="505" spans="1:325" ht="20.25">
      <c r="E505" t="s">
        <v>38</v>
      </c>
      <c r="F505">
        <v>16</v>
      </c>
      <c r="DV505">
        <v>40</v>
      </c>
      <c r="DW505" t="s">
        <v>49</v>
      </c>
      <c r="DX505" s="8">
        <v>43932</v>
      </c>
      <c r="DY505">
        <v>2</v>
      </c>
      <c r="EA505">
        <v>0</v>
      </c>
      <c r="GV505" s="8">
        <v>43983</v>
      </c>
      <c r="GW505">
        <v>78</v>
      </c>
      <c r="GX505" t="s">
        <v>108</v>
      </c>
      <c r="GY505">
        <v>29</v>
      </c>
      <c r="GZ505">
        <v>27</v>
      </c>
      <c r="HA505">
        <v>2</v>
      </c>
      <c r="HB505">
        <v>112</v>
      </c>
      <c r="HC505">
        <v>2</v>
      </c>
      <c r="HD505">
        <v>1</v>
      </c>
      <c r="HE505">
        <v>1</v>
      </c>
      <c r="HF505">
        <v>333</v>
      </c>
      <c r="HG505">
        <v>1290</v>
      </c>
      <c r="HH505">
        <v>378</v>
      </c>
      <c r="HI505">
        <v>31</v>
      </c>
      <c r="HJ505">
        <v>345</v>
      </c>
      <c r="HK505">
        <v>2</v>
      </c>
    </row>
    <row r="506" spans="1:325" ht="20.25">
      <c r="E506" t="s">
        <v>40</v>
      </c>
      <c r="F506">
        <v>17</v>
      </c>
      <c r="DV506">
        <v>40</v>
      </c>
      <c r="DW506" t="s">
        <v>49</v>
      </c>
      <c r="DX506" s="8">
        <v>43933</v>
      </c>
      <c r="DY506">
        <v>2</v>
      </c>
      <c r="EA506">
        <v>0</v>
      </c>
      <c r="GV506" s="8">
        <v>43984</v>
      </c>
      <c r="GW506">
        <v>78</v>
      </c>
      <c r="GX506" t="s">
        <v>108</v>
      </c>
      <c r="GY506">
        <v>31</v>
      </c>
      <c r="GZ506">
        <v>29</v>
      </c>
      <c r="HA506">
        <v>2</v>
      </c>
      <c r="HB506">
        <v>120</v>
      </c>
      <c r="HC506">
        <v>2</v>
      </c>
      <c r="HD506">
        <v>1</v>
      </c>
      <c r="HE506">
        <v>1</v>
      </c>
      <c r="HF506">
        <v>346</v>
      </c>
      <c r="HG506">
        <v>1340</v>
      </c>
      <c r="HH506">
        <v>401</v>
      </c>
      <c r="HI506">
        <v>33</v>
      </c>
      <c r="HJ506">
        <v>366</v>
      </c>
      <c r="HK506">
        <v>2</v>
      </c>
    </row>
    <row r="507" spans="1:325" ht="20.25">
      <c r="E507" t="s">
        <v>30</v>
      </c>
      <c r="F507">
        <v>18</v>
      </c>
      <c r="DV507">
        <v>40</v>
      </c>
      <c r="DW507" t="s">
        <v>49</v>
      </c>
      <c r="DX507" s="8">
        <v>43934</v>
      </c>
      <c r="DY507">
        <v>2</v>
      </c>
      <c r="EA507">
        <v>0</v>
      </c>
      <c r="GV507" s="8">
        <v>43914</v>
      </c>
      <c r="GW507">
        <v>129</v>
      </c>
      <c r="GX507" t="s">
        <v>55</v>
      </c>
      <c r="GY507">
        <v>0</v>
      </c>
      <c r="HC507">
        <v>0</v>
      </c>
    </row>
    <row r="508" spans="1:325" ht="20.25">
      <c r="E508" t="s">
        <v>33</v>
      </c>
      <c r="F508">
        <v>19</v>
      </c>
      <c r="DV508">
        <v>40</v>
      </c>
      <c r="DW508" t="s">
        <v>49</v>
      </c>
      <c r="DX508" s="8">
        <v>43935</v>
      </c>
      <c r="DY508">
        <v>2</v>
      </c>
      <c r="EA508">
        <v>0</v>
      </c>
      <c r="GV508" s="8">
        <v>43915</v>
      </c>
      <c r="GW508">
        <v>129</v>
      </c>
      <c r="GX508" t="s">
        <v>55</v>
      </c>
      <c r="GY508">
        <v>0</v>
      </c>
      <c r="HC508">
        <v>0</v>
      </c>
    </row>
    <row r="509" spans="1:325" ht="20.25">
      <c r="E509" t="s">
        <v>34</v>
      </c>
      <c r="F509">
        <v>20</v>
      </c>
      <c r="DV509">
        <v>40</v>
      </c>
      <c r="DW509" t="s">
        <v>49</v>
      </c>
      <c r="DX509" s="8">
        <v>43936</v>
      </c>
      <c r="DY509">
        <v>2</v>
      </c>
      <c r="EA509">
        <v>0</v>
      </c>
      <c r="GV509" s="8">
        <v>43916</v>
      </c>
      <c r="GW509">
        <v>129</v>
      </c>
      <c r="GX509" t="s">
        <v>55</v>
      </c>
      <c r="GY509">
        <v>0</v>
      </c>
      <c r="HC509">
        <v>0</v>
      </c>
    </row>
    <row r="510" spans="1:325" ht="20.25">
      <c r="E510" t="s">
        <v>35</v>
      </c>
      <c r="F510">
        <v>21</v>
      </c>
      <c r="DV510">
        <v>40</v>
      </c>
      <c r="DW510" t="s">
        <v>49</v>
      </c>
      <c r="DX510" s="8">
        <v>43937</v>
      </c>
      <c r="DY510">
        <v>2</v>
      </c>
      <c r="DZ510">
        <v>39</v>
      </c>
      <c r="EA510">
        <v>0</v>
      </c>
      <c r="GV510" s="8">
        <v>43917</v>
      </c>
      <c r="GW510">
        <v>129</v>
      </c>
      <c r="GX510" t="s">
        <v>55</v>
      </c>
      <c r="GY510">
        <v>0</v>
      </c>
      <c r="HC510">
        <v>0</v>
      </c>
    </row>
    <row r="511" spans="1:325" ht="20.25">
      <c r="E511" t="s">
        <v>37</v>
      </c>
      <c r="F511">
        <v>22</v>
      </c>
      <c r="DV511">
        <v>40</v>
      </c>
      <c r="DW511" t="s">
        <v>49</v>
      </c>
      <c r="DX511" s="8">
        <v>43938</v>
      </c>
      <c r="DY511">
        <v>3</v>
      </c>
      <c r="DZ511">
        <v>58</v>
      </c>
      <c r="EA511">
        <v>0</v>
      </c>
      <c r="GV511" s="8">
        <v>43918</v>
      </c>
      <c r="GW511">
        <v>129</v>
      </c>
      <c r="GX511" t="s">
        <v>55</v>
      </c>
      <c r="GY511">
        <v>0</v>
      </c>
      <c r="HC511">
        <v>0</v>
      </c>
    </row>
    <row r="512" spans="1:325" ht="20.25">
      <c r="E512" t="s">
        <v>38</v>
      </c>
      <c r="F512">
        <v>23</v>
      </c>
      <c r="DV512">
        <v>40</v>
      </c>
      <c r="DW512" t="s">
        <v>49</v>
      </c>
      <c r="DX512" s="8">
        <v>43939</v>
      </c>
      <c r="DY512">
        <v>3</v>
      </c>
      <c r="DZ512">
        <v>58</v>
      </c>
      <c r="EA512">
        <v>0</v>
      </c>
      <c r="GV512" s="8">
        <v>43919</v>
      </c>
      <c r="GW512">
        <v>129</v>
      </c>
      <c r="GX512" t="s">
        <v>55</v>
      </c>
      <c r="GY512">
        <v>0</v>
      </c>
      <c r="HC512">
        <v>0</v>
      </c>
    </row>
    <row r="513" spans="1:325" ht="20.25">
      <c r="F513">
        <v>24</v>
      </c>
      <c r="DV513">
        <v>40</v>
      </c>
      <c r="DW513" t="s">
        <v>49</v>
      </c>
      <c r="DX513" s="8">
        <v>43940</v>
      </c>
      <c r="DY513">
        <v>3</v>
      </c>
      <c r="DZ513">
        <v>58</v>
      </c>
      <c r="EA513">
        <v>0</v>
      </c>
      <c r="GV513" s="8">
        <v>43920</v>
      </c>
      <c r="GW513">
        <v>129</v>
      </c>
      <c r="GX513" t="s">
        <v>55</v>
      </c>
      <c r="GY513">
        <v>2</v>
      </c>
      <c r="HC513">
        <v>0</v>
      </c>
    </row>
    <row r="514" spans="1:325" ht="20.25">
      <c r="F514">
        <v>25</v>
      </c>
      <c r="DV514">
        <v>40</v>
      </c>
      <c r="DW514" t="s">
        <v>49</v>
      </c>
      <c r="DX514" s="8">
        <v>43941</v>
      </c>
      <c r="DY514">
        <v>3</v>
      </c>
      <c r="DZ514">
        <v>58</v>
      </c>
      <c r="EA514">
        <v>0</v>
      </c>
      <c r="GV514" s="8">
        <v>43921</v>
      </c>
      <c r="GW514">
        <v>129</v>
      </c>
      <c r="GX514" t="s">
        <v>55</v>
      </c>
      <c r="GY514">
        <v>4</v>
      </c>
      <c r="HC514">
        <v>0</v>
      </c>
    </row>
    <row r="515" spans="1:325" ht="20.25">
      <c r="F515">
        <v>26</v>
      </c>
      <c r="DV515">
        <v>40</v>
      </c>
      <c r="DW515" t="s">
        <v>49</v>
      </c>
      <c r="DX515" s="8">
        <v>43942</v>
      </c>
      <c r="DY515">
        <v>3</v>
      </c>
      <c r="DZ515">
        <v>58</v>
      </c>
      <c r="EA515">
        <v>0</v>
      </c>
      <c r="GV515" s="8">
        <v>43922</v>
      </c>
      <c r="GW515">
        <v>129</v>
      </c>
      <c r="GX515" t="s">
        <v>55</v>
      </c>
      <c r="GY515">
        <v>4</v>
      </c>
      <c r="HC515">
        <v>0</v>
      </c>
    </row>
    <row r="516" spans="1:325" ht="20.25">
      <c r="F516">
        <v>27</v>
      </c>
      <c r="DV516">
        <v>40</v>
      </c>
      <c r="DW516" t="s">
        <v>49</v>
      </c>
      <c r="DX516" s="8">
        <v>43943</v>
      </c>
      <c r="DY516">
        <v>4</v>
      </c>
      <c r="DZ516">
        <v>78</v>
      </c>
      <c r="EA516">
        <v>0</v>
      </c>
      <c r="GV516" s="8">
        <v>43923</v>
      </c>
      <c r="GW516">
        <v>129</v>
      </c>
      <c r="GX516" t="s">
        <v>55</v>
      </c>
      <c r="GY516">
        <v>6</v>
      </c>
      <c r="HC516">
        <v>1</v>
      </c>
    </row>
    <row r="517" spans="1:325" ht="20.25">
      <c r="F517">
        <v>28</v>
      </c>
      <c r="DV517">
        <v>40</v>
      </c>
      <c r="DW517" t="s">
        <v>49</v>
      </c>
      <c r="DX517" s="8">
        <v>43944</v>
      </c>
      <c r="DY517">
        <v>4</v>
      </c>
      <c r="DZ517">
        <v>78</v>
      </c>
      <c r="EA517">
        <v>0</v>
      </c>
      <c r="GV517" s="8">
        <v>43924</v>
      </c>
      <c r="GW517">
        <v>129</v>
      </c>
      <c r="GX517" t="s">
        <v>55</v>
      </c>
      <c r="GY517">
        <v>7</v>
      </c>
      <c r="HC517">
        <v>1</v>
      </c>
    </row>
    <row r="518" spans="1:325" ht="20.25">
      <c r="F518">
        <v>29</v>
      </c>
      <c r="DV518">
        <v>40</v>
      </c>
      <c r="DW518" t="s">
        <v>49</v>
      </c>
      <c r="DX518" s="8">
        <v>43945</v>
      </c>
      <c r="DY518">
        <v>5</v>
      </c>
      <c r="DZ518">
        <v>97</v>
      </c>
      <c r="EA518">
        <v>0</v>
      </c>
      <c r="GV518" s="8">
        <v>43925</v>
      </c>
      <c r="GW518">
        <v>129</v>
      </c>
      <c r="GX518" t="s">
        <v>55</v>
      </c>
      <c r="GY518">
        <v>8</v>
      </c>
      <c r="HC518">
        <v>1</v>
      </c>
    </row>
    <row r="519" spans="1:325" ht="20.25">
      <c r="F519">
        <v>30</v>
      </c>
      <c r="DV519">
        <v>40</v>
      </c>
      <c r="DW519" t="s">
        <v>49</v>
      </c>
      <c r="DX519" s="8">
        <v>43946</v>
      </c>
      <c r="DY519">
        <v>5</v>
      </c>
      <c r="DZ519">
        <v>97</v>
      </c>
      <c r="EA519">
        <v>0</v>
      </c>
      <c r="GV519" s="8">
        <v>43926</v>
      </c>
      <c r="GW519">
        <v>129</v>
      </c>
      <c r="GX519" t="s">
        <v>55</v>
      </c>
      <c r="GY519">
        <v>8</v>
      </c>
      <c r="HC519">
        <v>1</v>
      </c>
    </row>
    <row r="520" spans="1:325" ht="20.25">
      <c r="F520">
        <v>31</v>
      </c>
      <c r="DV520">
        <v>40</v>
      </c>
      <c r="DW520" t="s">
        <v>49</v>
      </c>
      <c r="DX520" s="8">
        <v>43947</v>
      </c>
      <c r="DY520">
        <v>5</v>
      </c>
      <c r="DZ520">
        <v>97</v>
      </c>
      <c r="EA520">
        <v>0</v>
      </c>
      <c r="GV520" s="8">
        <v>43927</v>
      </c>
      <c r="GW520">
        <v>129</v>
      </c>
      <c r="GX520" t="s">
        <v>55</v>
      </c>
      <c r="GY520">
        <v>9</v>
      </c>
      <c r="HC520">
        <v>1</v>
      </c>
    </row>
    <row r="521" spans="1:325" ht="20.25">
      <c r="DV521">
        <v>40</v>
      </c>
      <c r="DW521" t="s">
        <v>49</v>
      </c>
      <c r="DX521" s="8">
        <v>43948</v>
      </c>
      <c r="DY521">
        <v>5</v>
      </c>
      <c r="DZ521">
        <v>97</v>
      </c>
      <c r="EA521">
        <v>0</v>
      </c>
      <c r="GV521" s="8">
        <v>43928</v>
      </c>
      <c r="GW521">
        <v>129</v>
      </c>
      <c r="GX521" t="s">
        <v>55</v>
      </c>
      <c r="GY521">
        <v>11</v>
      </c>
      <c r="HC521">
        <v>1</v>
      </c>
    </row>
    <row r="522" spans="1:325" ht="20.25">
      <c r="DV522">
        <v>40</v>
      </c>
      <c r="DW522" t="s">
        <v>49</v>
      </c>
      <c r="DX522" s="8">
        <v>43949</v>
      </c>
      <c r="DY522">
        <v>4</v>
      </c>
      <c r="DZ522">
        <v>78</v>
      </c>
      <c r="EA522">
        <v>0</v>
      </c>
      <c r="GV522" s="8">
        <v>43929</v>
      </c>
      <c r="GW522">
        <v>129</v>
      </c>
      <c r="GX522" t="s">
        <v>55</v>
      </c>
      <c r="GY522">
        <v>15</v>
      </c>
      <c r="HC522">
        <v>1</v>
      </c>
    </row>
    <row r="523" spans="1:325" ht="20.25">
      <c r="DV523">
        <v>40</v>
      </c>
      <c r="DW523" t="s">
        <v>49</v>
      </c>
      <c r="DX523" s="8">
        <v>43950</v>
      </c>
      <c r="DY523">
        <v>4</v>
      </c>
      <c r="DZ523">
        <v>78</v>
      </c>
      <c r="EA523">
        <v>0</v>
      </c>
      <c r="GV523" s="8">
        <v>43930</v>
      </c>
      <c r="GW523">
        <v>129</v>
      </c>
      <c r="GX523" t="s">
        <v>55</v>
      </c>
      <c r="GY523">
        <v>18</v>
      </c>
      <c r="HC523">
        <v>1</v>
      </c>
    </row>
    <row r="524" spans="1:325" ht="20.25">
      <c r="DV524">
        <v>40</v>
      </c>
      <c r="DW524" t="s">
        <v>49</v>
      </c>
      <c r="DX524" s="8">
        <v>43951</v>
      </c>
      <c r="DY524">
        <v>4</v>
      </c>
      <c r="DZ524">
        <v>78</v>
      </c>
      <c r="EA524">
        <v>0</v>
      </c>
      <c r="GV524" s="8">
        <v>43931</v>
      </c>
      <c r="GW524">
        <v>129</v>
      </c>
      <c r="GX524" t="s">
        <v>55</v>
      </c>
      <c r="GY524">
        <v>17</v>
      </c>
      <c r="HC524">
        <v>1</v>
      </c>
    </row>
    <row r="525" spans="1:325" ht="20.25">
      <c r="DV525">
        <v>40</v>
      </c>
      <c r="DW525" t="s">
        <v>49</v>
      </c>
      <c r="DX525" s="8">
        <v>43952</v>
      </c>
      <c r="DY525">
        <v>4</v>
      </c>
      <c r="DZ525">
        <v>78</v>
      </c>
      <c r="EA525">
        <v>0</v>
      </c>
      <c r="GV525" s="8">
        <v>43932</v>
      </c>
      <c r="GW525">
        <v>129</v>
      </c>
      <c r="GX525" t="s">
        <v>55</v>
      </c>
      <c r="GY525">
        <v>19</v>
      </c>
      <c r="HC525">
        <v>1</v>
      </c>
    </row>
    <row r="526" spans="1:325" ht="20.25">
      <c r="DV526">
        <v>40</v>
      </c>
      <c r="DW526" t="s">
        <v>49</v>
      </c>
      <c r="DX526" s="8">
        <v>43953</v>
      </c>
      <c r="DY526">
        <v>4</v>
      </c>
      <c r="DZ526">
        <v>78</v>
      </c>
      <c r="EA526">
        <v>0</v>
      </c>
      <c r="GV526" s="8">
        <v>43933</v>
      </c>
      <c r="GW526">
        <v>129</v>
      </c>
      <c r="GX526" t="s">
        <v>55</v>
      </c>
      <c r="GY526">
        <v>19</v>
      </c>
      <c r="HC526">
        <v>1</v>
      </c>
    </row>
    <row r="527" spans="1:325" ht="20.25">
      <c r="DV527">
        <v>40</v>
      </c>
      <c r="DW527" t="s">
        <v>49</v>
      </c>
      <c r="DX527" s="8">
        <v>43954</v>
      </c>
      <c r="DY527">
        <v>5</v>
      </c>
      <c r="DZ527">
        <v>97</v>
      </c>
      <c r="EA527">
        <v>0</v>
      </c>
      <c r="GV527" s="8">
        <v>43934</v>
      </c>
      <c r="GW527">
        <v>129</v>
      </c>
      <c r="GX527" t="s">
        <v>55</v>
      </c>
      <c r="GY527">
        <v>20</v>
      </c>
      <c r="HC527">
        <v>1</v>
      </c>
    </row>
    <row r="528" spans="1:325" ht="20.25">
      <c r="DV528">
        <v>40</v>
      </c>
      <c r="DW528" t="s">
        <v>49</v>
      </c>
      <c r="DX528" s="8">
        <v>43955</v>
      </c>
      <c r="DY528">
        <v>6</v>
      </c>
      <c r="DZ528">
        <v>117</v>
      </c>
      <c r="EA528">
        <v>0</v>
      </c>
      <c r="GV528" s="8">
        <v>43935</v>
      </c>
      <c r="GW528">
        <v>129</v>
      </c>
      <c r="GX528" t="s">
        <v>55</v>
      </c>
      <c r="GY528">
        <v>21</v>
      </c>
      <c r="HC528">
        <v>1</v>
      </c>
    </row>
    <row r="529" spans="1:325" ht="20.25">
      <c r="DV529">
        <v>40</v>
      </c>
      <c r="DW529" t="s">
        <v>49</v>
      </c>
      <c r="DX529" s="8">
        <v>43956</v>
      </c>
      <c r="DY529">
        <v>6</v>
      </c>
      <c r="DZ529">
        <v>117</v>
      </c>
      <c r="EA529">
        <v>0</v>
      </c>
      <c r="GV529" s="8">
        <v>43936</v>
      </c>
      <c r="GW529">
        <v>129</v>
      </c>
      <c r="GX529" t="s">
        <v>55</v>
      </c>
      <c r="GY529">
        <v>22</v>
      </c>
      <c r="HC529">
        <v>1</v>
      </c>
    </row>
    <row r="530" spans="1:325" ht="20.25">
      <c r="DV530">
        <v>40</v>
      </c>
      <c r="DW530" t="s">
        <v>49</v>
      </c>
      <c r="DX530" s="8">
        <v>43957</v>
      </c>
      <c r="DY530">
        <v>7</v>
      </c>
      <c r="DZ530">
        <v>136</v>
      </c>
      <c r="EA530">
        <v>0</v>
      </c>
      <c r="GV530" s="8">
        <v>43937</v>
      </c>
      <c r="GW530">
        <v>129</v>
      </c>
      <c r="GX530" t="s">
        <v>55</v>
      </c>
      <c r="GY530">
        <v>26</v>
      </c>
      <c r="HB530">
        <v>240</v>
      </c>
      <c r="HC530">
        <v>1</v>
      </c>
    </row>
    <row r="531" spans="1:325" ht="20.25">
      <c r="DV531">
        <v>40</v>
      </c>
      <c r="DW531" t="s">
        <v>49</v>
      </c>
      <c r="DX531" s="8">
        <v>43958</v>
      </c>
      <c r="DY531">
        <v>7</v>
      </c>
      <c r="DZ531">
        <v>136</v>
      </c>
      <c r="EA531">
        <v>0</v>
      </c>
      <c r="GV531" s="8">
        <v>43938</v>
      </c>
      <c r="GW531">
        <v>129</v>
      </c>
      <c r="GX531" t="s">
        <v>55</v>
      </c>
      <c r="GY531">
        <v>27</v>
      </c>
      <c r="HB531">
        <v>249</v>
      </c>
      <c r="HC531">
        <v>1</v>
      </c>
    </row>
    <row r="532" spans="1:325" ht="20.25">
      <c r="DV532">
        <v>40</v>
      </c>
      <c r="DW532" t="s">
        <v>49</v>
      </c>
      <c r="DX532" s="8">
        <v>43959</v>
      </c>
      <c r="DY532">
        <v>7</v>
      </c>
      <c r="DZ532">
        <v>136</v>
      </c>
      <c r="EA532">
        <v>0</v>
      </c>
      <c r="GV532" s="8">
        <v>43939</v>
      </c>
      <c r="GW532">
        <v>129</v>
      </c>
      <c r="GX532" t="s">
        <v>55</v>
      </c>
      <c r="GY532">
        <v>28</v>
      </c>
      <c r="HB532">
        <v>258</v>
      </c>
      <c r="HC532">
        <v>1</v>
      </c>
    </row>
    <row r="533" spans="1:325" ht="20.25">
      <c r="DV533">
        <v>40</v>
      </c>
      <c r="DW533" t="s">
        <v>49</v>
      </c>
      <c r="DX533" s="8">
        <v>43960</v>
      </c>
      <c r="DY533">
        <v>7</v>
      </c>
      <c r="DZ533">
        <v>136</v>
      </c>
      <c r="EA533">
        <v>0</v>
      </c>
      <c r="GV533" s="8">
        <v>43940</v>
      </c>
      <c r="GW533">
        <v>129</v>
      </c>
      <c r="GX533" t="s">
        <v>55</v>
      </c>
      <c r="GY533">
        <v>28</v>
      </c>
      <c r="HB533">
        <v>258</v>
      </c>
      <c r="HC533">
        <v>1</v>
      </c>
    </row>
    <row r="534" spans="1:325" ht="20.25">
      <c r="DV534">
        <v>40</v>
      </c>
      <c r="DW534" t="s">
        <v>49</v>
      </c>
      <c r="DX534" s="8">
        <v>43961</v>
      </c>
      <c r="DY534">
        <v>7</v>
      </c>
      <c r="DZ534">
        <v>136</v>
      </c>
      <c r="EA534">
        <v>0</v>
      </c>
      <c r="GV534" s="8">
        <v>43941</v>
      </c>
      <c r="GW534">
        <v>129</v>
      </c>
      <c r="GX534" t="s">
        <v>55</v>
      </c>
      <c r="GY534">
        <v>32</v>
      </c>
      <c r="HB534">
        <v>295</v>
      </c>
      <c r="HC534">
        <v>1</v>
      </c>
    </row>
    <row r="535" spans="1:325" ht="20.25">
      <c r="DV535">
        <v>40</v>
      </c>
      <c r="DW535" t="s">
        <v>49</v>
      </c>
      <c r="DX535" s="8">
        <v>43962</v>
      </c>
      <c r="DY535">
        <v>7</v>
      </c>
      <c r="DZ535">
        <v>136</v>
      </c>
      <c r="EA535">
        <v>0</v>
      </c>
      <c r="GV535" s="8">
        <v>43942</v>
      </c>
      <c r="GW535">
        <v>129</v>
      </c>
      <c r="GX535" t="s">
        <v>55</v>
      </c>
      <c r="GY535">
        <v>36</v>
      </c>
      <c r="HB535">
        <v>332</v>
      </c>
      <c r="HC535">
        <v>1</v>
      </c>
    </row>
    <row r="536" spans="1:325" ht="20.25">
      <c r="DV536">
        <v>40</v>
      </c>
      <c r="DW536" t="s">
        <v>49</v>
      </c>
      <c r="DX536" s="8">
        <v>43963</v>
      </c>
      <c r="DY536">
        <v>7</v>
      </c>
      <c r="DZ536">
        <v>136</v>
      </c>
      <c r="EA536">
        <v>0</v>
      </c>
      <c r="GV536" s="8">
        <v>43943</v>
      </c>
      <c r="GW536">
        <v>129</v>
      </c>
      <c r="GX536" t="s">
        <v>55</v>
      </c>
      <c r="GY536">
        <v>48</v>
      </c>
      <c r="HB536">
        <v>443</v>
      </c>
      <c r="HC536">
        <v>1</v>
      </c>
    </row>
    <row r="537" spans="1:325" ht="20.25">
      <c r="DV537">
        <v>40</v>
      </c>
      <c r="DW537" t="s">
        <v>49</v>
      </c>
      <c r="DX537" s="8">
        <v>43964</v>
      </c>
      <c r="DY537">
        <v>7</v>
      </c>
      <c r="DZ537">
        <v>136</v>
      </c>
      <c r="EA537">
        <v>0</v>
      </c>
      <c r="GV537" s="8">
        <v>43944</v>
      </c>
      <c r="GW537">
        <v>129</v>
      </c>
      <c r="GX537" t="s">
        <v>55</v>
      </c>
      <c r="GY537">
        <v>60</v>
      </c>
      <c r="HB537">
        <v>554</v>
      </c>
      <c r="HC537">
        <v>1</v>
      </c>
    </row>
    <row r="538" spans="1:325" ht="20.25">
      <c r="DV538">
        <v>40</v>
      </c>
      <c r="DW538" t="s">
        <v>49</v>
      </c>
      <c r="DX538" s="8">
        <v>43965</v>
      </c>
      <c r="DY538">
        <v>7</v>
      </c>
      <c r="DZ538">
        <v>136</v>
      </c>
      <c r="EA538">
        <v>0</v>
      </c>
      <c r="GV538" s="8">
        <v>43945</v>
      </c>
      <c r="GW538">
        <v>129</v>
      </c>
      <c r="GX538" t="s">
        <v>55</v>
      </c>
      <c r="GY538">
        <v>62</v>
      </c>
      <c r="HB538">
        <v>572</v>
      </c>
      <c r="HC538">
        <v>1</v>
      </c>
    </row>
    <row r="539" spans="1:325" ht="20.25">
      <c r="DV539">
        <v>40</v>
      </c>
      <c r="DW539" t="s">
        <v>49</v>
      </c>
      <c r="DX539" s="8">
        <v>43966</v>
      </c>
      <c r="DY539">
        <v>7</v>
      </c>
      <c r="DZ539">
        <v>136</v>
      </c>
      <c r="EA539">
        <v>0</v>
      </c>
      <c r="GV539" s="8">
        <v>43946</v>
      </c>
      <c r="GW539">
        <v>129</v>
      </c>
      <c r="GX539" t="s">
        <v>55</v>
      </c>
      <c r="GY539">
        <v>63</v>
      </c>
      <c r="HB539">
        <v>582</v>
      </c>
      <c r="HC539">
        <v>2</v>
      </c>
    </row>
    <row r="540" spans="1:325" ht="20.25">
      <c r="DV540">
        <v>42</v>
      </c>
      <c r="DW540" t="s">
        <v>51</v>
      </c>
      <c r="DX540" s="8">
        <v>43914</v>
      </c>
      <c r="DY540">
        <v>1</v>
      </c>
      <c r="EA540">
        <v>0</v>
      </c>
      <c r="GV540" s="8">
        <v>43947</v>
      </c>
      <c r="GW540">
        <v>129</v>
      </c>
      <c r="GX540" t="s">
        <v>55</v>
      </c>
      <c r="GY540">
        <v>65</v>
      </c>
      <c r="HB540">
        <v>600</v>
      </c>
      <c r="HC540">
        <v>2</v>
      </c>
    </row>
    <row r="541" spans="1:325" ht="20.25">
      <c r="DV541">
        <v>42</v>
      </c>
      <c r="DW541" t="s">
        <v>51</v>
      </c>
      <c r="DX541" s="8">
        <v>43915</v>
      </c>
      <c r="DY541">
        <v>2</v>
      </c>
      <c r="EA541">
        <v>0</v>
      </c>
      <c r="GV541" s="8">
        <v>43948</v>
      </c>
      <c r="GW541">
        <v>129</v>
      </c>
      <c r="GX541" t="s">
        <v>55</v>
      </c>
      <c r="GY541">
        <v>66</v>
      </c>
      <c r="HB541">
        <v>609</v>
      </c>
      <c r="HC541">
        <v>2</v>
      </c>
    </row>
    <row r="542" spans="1:325" ht="20.25">
      <c r="DV542">
        <v>42</v>
      </c>
      <c r="DW542" t="s">
        <v>51</v>
      </c>
      <c r="DX542" s="8">
        <v>43916</v>
      </c>
      <c r="DY542">
        <v>1</v>
      </c>
      <c r="EA542">
        <v>0</v>
      </c>
      <c r="GV542" s="8">
        <v>43949</v>
      </c>
      <c r="GW542">
        <v>129</v>
      </c>
      <c r="GX542" t="s">
        <v>55</v>
      </c>
      <c r="GY542">
        <v>66</v>
      </c>
      <c r="HB542">
        <v>609</v>
      </c>
      <c r="HC542">
        <v>1</v>
      </c>
    </row>
    <row r="543" spans="1:325" ht="20.25">
      <c r="DV543">
        <v>42</v>
      </c>
      <c r="DW543" t="s">
        <v>51</v>
      </c>
      <c r="DX543" s="8">
        <v>43917</v>
      </c>
      <c r="DY543">
        <v>1</v>
      </c>
      <c r="EA543">
        <v>0</v>
      </c>
      <c r="GV543" s="8">
        <v>43950</v>
      </c>
      <c r="GW543">
        <v>129</v>
      </c>
      <c r="GX543" t="s">
        <v>55</v>
      </c>
      <c r="GY543">
        <v>66</v>
      </c>
      <c r="HB543">
        <v>609</v>
      </c>
      <c r="HC543">
        <v>1</v>
      </c>
    </row>
    <row r="544" spans="1:325" ht="20.25">
      <c r="DV544">
        <v>42</v>
      </c>
      <c r="DW544" t="s">
        <v>51</v>
      </c>
      <c r="DX544" s="8">
        <v>43918</v>
      </c>
      <c r="DY544">
        <v>2</v>
      </c>
      <c r="EA544">
        <v>0</v>
      </c>
      <c r="GV544" s="8">
        <v>43951</v>
      </c>
      <c r="GW544">
        <v>129</v>
      </c>
      <c r="GX544" t="s">
        <v>55</v>
      </c>
      <c r="GY544">
        <v>66</v>
      </c>
      <c r="HB544">
        <v>609</v>
      </c>
      <c r="HC544">
        <v>1</v>
      </c>
    </row>
    <row r="545" spans="1:325" ht="20.25">
      <c r="DV545">
        <v>42</v>
      </c>
      <c r="DW545" t="s">
        <v>51</v>
      </c>
      <c r="DX545" s="8">
        <v>43919</v>
      </c>
      <c r="DY545">
        <v>3</v>
      </c>
      <c r="EA545">
        <v>0</v>
      </c>
      <c r="GV545" s="8">
        <v>43952</v>
      </c>
      <c r="GW545">
        <v>129</v>
      </c>
      <c r="GX545" t="s">
        <v>55</v>
      </c>
      <c r="GY545">
        <v>67</v>
      </c>
      <c r="HB545">
        <v>618</v>
      </c>
      <c r="HC545">
        <v>1</v>
      </c>
    </row>
    <row r="546" spans="1:325" ht="20.25">
      <c r="DV546">
        <v>42</v>
      </c>
      <c r="DW546" t="s">
        <v>51</v>
      </c>
      <c r="DX546" s="8">
        <v>43920</v>
      </c>
      <c r="DY546">
        <v>3</v>
      </c>
      <c r="EA546">
        <v>0</v>
      </c>
      <c r="GV546" s="8">
        <v>43953</v>
      </c>
      <c r="GW546">
        <v>129</v>
      </c>
      <c r="GX546" t="s">
        <v>55</v>
      </c>
      <c r="GY546">
        <v>71</v>
      </c>
      <c r="HB546">
        <v>655</v>
      </c>
      <c r="HC546">
        <v>1</v>
      </c>
    </row>
    <row r="547" spans="1:325" ht="20.25">
      <c r="DV547">
        <v>42</v>
      </c>
      <c r="DW547" t="s">
        <v>51</v>
      </c>
      <c r="DX547" s="8">
        <v>43921</v>
      </c>
      <c r="DY547">
        <v>3</v>
      </c>
      <c r="EA547">
        <v>0</v>
      </c>
      <c r="GV547" s="8">
        <v>43954</v>
      </c>
      <c r="GW547">
        <v>129</v>
      </c>
      <c r="GX547" t="s">
        <v>55</v>
      </c>
      <c r="GY547">
        <v>72</v>
      </c>
      <c r="HB547">
        <v>665</v>
      </c>
      <c r="HC547">
        <v>1</v>
      </c>
    </row>
    <row r="548" spans="1:325" ht="20.25">
      <c r="DV548">
        <v>42</v>
      </c>
      <c r="DW548" t="s">
        <v>51</v>
      </c>
      <c r="DX548" s="8">
        <v>43922</v>
      </c>
      <c r="DY548">
        <v>4</v>
      </c>
      <c r="EA548">
        <v>0</v>
      </c>
      <c r="GV548" s="8">
        <v>43955</v>
      </c>
      <c r="GW548">
        <v>129</v>
      </c>
      <c r="GX548" t="s">
        <v>55</v>
      </c>
      <c r="GY548">
        <v>101</v>
      </c>
      <c r="HB548">
        <v>932</v>
      </c>
      <c r="HC548">
        <v>1</v>
      </c>
    </row>
    <row r="549" spans="1:325" ht="20.25">
      <c r="DV549">
        <v>42</v>
      </c>
      <c r="DW549" t="s">
        <v>51</v>
      </c>
      <c r="DX549" s="8">
        <v>43923</v>
      </c>
      <c r="DY549">
        <v>4</v>
      </c>
      <c r="EA549">
        <v>0</v>
      </c>
      <c r="GV549" s="8">
        <v>43956</v>
      </c>
      <c r="GW549">
        <v>129</v>
      </c>
      <c r="GX549" t="s">
        <v>55</v>
      </c>
      <c r="GY549">
        <v>104</v>
      </c>
      <c r="HB549">
        <v>960</v>
      </c>
      <c r="HC549">
        <v>3</v>
      </c>
    </row>
    <row r="550" spans="1:325" ht="20.25">
      <c r="DV550">
        <v>42</v>
      </c>
      <c r="DW550" t="s">
        <v>51</v>
      </c>
      <c r="DX550" s="8">
        <v>43924</v>
      </c>
      <c r="DY550">
        <v>4</v>
      </c>
      <c r="EA550">
        <v>0</v>
      </c>
      <c r="GV550" s="8">
        <v>43957</v>
      </c>
      <c r="GW550">
        <v>129</v>
      </c>
      <c r="GX550" t="s">
        <v>55</v>
      </c>
      <c r="GY550">
        <v>107</v>
      </c>
      <c r="HB550">
        <v>988</v>
      </c>
      <c r="HC550">
        <v>3</v>
      </c>
    </row>
    <row r="551" spans="1:325" ht="20.25">
      <c r="DV551">
        <v>42</v>
      </c>
      <c r="DW551" t="s">
        <v>51</v>
      </c>
      <c r="DX551" s="8">
        <v>43925</v>
      </c>
      <c r="DY551">
        <v>4</v>
      </c>
      <c r="EA551">
        <v>0</v>
      </c>
      <c r="GV551" s="8">
        <v>43958</v>
      </c>
      <c r="GW551">
        <v>129</v>
      </c>
      <c r="GX551" t="s">
        <v>55</v>
      </c>
      <c r="GY551">
        <v>110</v>
      </c>
      <c r="HB551">
        <v>1015</v>
      </c>
      <c r="HC551">
        <v>3</v>
      </c>
    </row>
    <row r="552" spans="1:325" ht="20.25">
      <c r="DV552">
        <v>42</v>
      </c>
      <c r="DW552" t="s">
        <v>51</v>
      </c>
      <c r="DX552" s="8">
        <v>43926</v>
      </c>
      <c r="DY552">
        <v>4</v>
      </c>
      <c r="EA552">
        <v>0</v>
      </c>
      <c r="GV552" s="8">
        <v>43959</v>
      </c>
      <c r="GW552">
        <v>129</v>
      </c>
      <c r="GX552" t="s">
        <v>55</v>
      </c>
      <c r="GY552">
        <v>110</v>
      </c>
      <c r="HB552">
        <v>1015</v>
      </c>
      <c r="HC552">
        <v>3</v>
      </c>
    </row>
    <row r="553" spans="1:325" ht="20.25">
      <c r="DV553">
        <v>42</v>
      </c>
      <c r="DW553" t="s">
        <v>51</v>
      </c>
      <c r="DX553" s="8">
        <v>43927</v>
      </c>
      <c r="DY553">
        <v>5</v>
      </c>
      <c r="EA553">
        <v>0</v>
      </c>
      <c r="GV553" s="8">
        <v>43960</v>
      </c>
      <c r="GW553">
        <v>129</v>
      </c>
      <c r="GX553" t="s">
        <v>55</v>
      </c>
      <c r="GY553">
        <v>110</v>
      </c>
      <c r="HB553">
        <v>1015</v>
      </c>
      <c r="HC553">
        <v>3</v>
      </c>
    </row>
    <row r="554" spans="1:325" ht="20.25">
      <c r="DV554">
        <v>42</v>
      </c>
      <c r="DW554" t="s">
        <v>51</v>
      </c>
      <c r="DX554" s="8">
        <v>43928</v>
      </c>
      <c r="DY554">
        <v>6</v>
      </c>
      <c r="EA554">
        <v>0</v>
      </c>
      <c r="GV554" s="8">
        <v>43961</v>
      </c>
      <c r="GW554">
        <v>129</v>
      </c>
      <c r="GX554" t="s">
        <v>55</v>
      </c>
      <c r="GY554">
        <v>111</v>
      </c>
      <c r="HB554">
        <v>1025</v>
      </c>
      <c r="HC554">
        <v>3</v>
      </c>
    </row>
    <row r="555" spans="1:325" ht="20.25">
      <c r="DV555">
        <v>42</v>
      </c>
      <c r="DW555" t="s">
        <v>51</v>
      </c>
      <c r="DX555" s="8">
        <v>43929</v>
      </c>
      <c r="DY555">
        <v>6</v>
      </c>
      <c r="EA555">
        <v>0</v>
      </c>
      <c r="GV555" s="8">
        <v>43962</v>
      </c>
      <c r="GW555">
        <v>129</v>
      </c>
      <c r="GX555" t="s">
        <v>55</v>
      </c>
      <c r="GY555">
        <v>115</v>
      </c>
      <c r="HB555">
        <v>1061</v>
      </c>
      <c r="HC555">
        <v>3</v>
      </c>
    </row>
    <row r="556" spans="1:325" ht="20.25">
      <c r="DV556">
        <v>42</v>
      </c>
      <c r="DW556" t="s">
        <v>51</v>
      </c>
      <c r="DX556" s="8">
        <v>43930</v>
      </c>
      <c r="DY556">
        <v>5</v>
      </c>
      <c r="EA556">
        <v>0</v>
      </c>
      <c r="GV556" s="8">
        <v>43963</v>
      </c>
      <c r="GW556">
        <v>129</v>
      </c>
      <c r="GX556" t="s">
        <v>55</v>
      </c>
      <c r="GY556">
        <v>115</v>
      </c>
      <c r="HB556">
        <v>1061</v>
      </c>
      <c r="HC556">
        <v>3</v>
      </c>
    </row>
    <row r="557" spans="1:325" ht="20.25">
      <c r="DV557">
        <v>42</v>
      </c>
      <c r="DW557" t="s">
        <v>51</v>
      </c>
      <c r="DX557" s="8">
        <v>43931</v>
      </c>
      <c r="DY557">
        <v>5</v>
      </c>
      <c r="EA557">
        <v>0</v>
      </c>
      <c r="GV557" s="8">
        <v>43964</v>
      </c>
      <c r="GW557">
        <v>129</v>
      </c>
      <c r="GX557" t="s">
        <v>55</v>
      </c>
      <c r="GY557">
        <v>116</v>
      </c>
      <c r="HB557">
        <v>1071</v>
      </c>
      <c r="HC557">
        <v>4</v>
      </c>
    </row>
    <row r="558" spans="1:325" ht="20.25">
      <c r="DV558">
        <v>42</v>
      </c>
      <c r="DW558" t="s">
        <v>51</v>
      </c>
      <c r="DX558" s="8">
        <v>43932</v>
      </c>
      <c r="DY558">
        <v>7</v>
      </c>
      <c r="EA558">
        <v>0</v>
      </c>
      <c r="GV558" s="8">
        <v>43965</v>
      </c>
      <c r="GW558">
        <v>129</v>
      </c>
      <c r="GX558" t="s">
        <v>55</v>
      </c>
      <c r="GY558">
        <v>119</v>
      </c>
      <c r="HB558">
        <v>1098</v>
      </c>
      <c r="HC558">
        <v>4</v>
      </c>
    </row>
    <row r="559" spans="1:325" ht="20.25">
      <c r="DV559">
        <v>42</v>
      </c>
      <c r="DW559" t="s">
        <v>51</v>
      </c>
      <c r="DX559" s="8">
        <v>43933</v>
      </c>
      <c r="DY559">
        <v>8</v>
      </c>
      <c r="EA559">
        <v>0</v>
      </c>
      <c r="GV559" s="8">
        <v>43966</v>
      </c>
      <c r="GW559">
        <v>129</v>
      </c>
      <c r="GX559" t="s">
        <v>55</v>
      </c>
      <c r="GY559">
        <v>164</v>
      </c>
      <c r="HB559">
        <v>1514</v>
      </c>
      <c r="HC559">
        <v>4</v>
      </c>
    </row>
    <row r="560" spans="1:325" ht="20.25">
      <c r="DV560">
        <v>42</v>
      </c>
      <c r="DW560" t="s">
        <v>51</v>
      </c>
      <c r="DX560" s="8">
        <v>43934</v>
      </c>
      <c r="DY560">
        <v>12</v>
      </c>
      <c r="EA560">
        <v>0</v>
      </c>
      <c r="GV560" s="8">
        <v>43967</v>
      </c>
      <c r="GW560">
        <v>129</v>
      </c>
      <c r="GX560" t="s">
        <v>55</v>
      </c>
      <c r="GY560">
        <v>222</v>
      </c>
      <c r="HB560">
        <v>2049</v>
      </c>
      <c r="HC560">
        <v>4</v>
      </c>
      <c r="HF560">
        <v>597</v>
      </c>
    </row>
    <row r="561" spans="1:325" ht="20.25">
      <c r="DV561">
        <v>42</v>
      </c>
      <c r="DW561" t="s">
        <v>51</v>
      </c>
      <c r="DX561" s="8">
        <v>43935</v>
      </c>
      <c r="DY561">
        <v>14</v>
      </c>
      <c r="EA561">
        <v>0</v>
      </c>
      <c r="GV561" s="8">
        <v>43968</v>
      </c>
      <c r="GW561">
        <v>129</v>
      </c>
      <c r="GX561" t="s">
        <v>55</v>
      </c>
      <c r="GY561">
        <v>237</v>
      </c>
      <c r="HB561">
        <v>2178</v>
      </c>
      <c r="HC561">
        <v>4</v>
      </c>
      <c r="HF561">
        <v>647</v>
      </c>
    </row>
    <row r="562" spans="1:325" ht="20.25">
      <c r="DV562">
        <v>42</v>
      </c>
      <c r="DW562" t="s">
        <v>51</v>
      </c>
      <c r="DX562" s="8">
        <v>43936</v>
      </c>
      <c r="DY562">
        <v>15</v>
      </c>
      <c r="EA562">
        <v>0</v>
      </c>
      <c r="GV562" s="8">
        <v>43969</v>
      </c>
      <c r="GW562">
        <v>129</v>
      </c>
      <c r="GX562" t="s">
        <v>55</v>
      </c>
      <c r="GY562">
        <v>270</v>
      </c>
      <c r="HB562">
        <v>2492</v>
      </c>
      <c r="HC562">
        <v>4</v>
      </c>
      <c r="HF562">
        <v>843</v>
      </c>
    </row>
    <row r="563" spans="1:325" ht="20.25">
      <c r="DV563">
        <v>42</v>
      </c>
      <c r="DW563" t="s">
        <v>51</v>
      </c>
      <c r="DX563" s="8">
        <v>43937</v>
      </c>
      <c r="DY563">
        <v>18</v>
      </c>
      <c r="DZ563">
        <v>140</v>
      </c>
      <c r="EA563">
        <v>0</v>
      </c>
      <c r="GV563" s="8">
        <v>43970</v>
      </c>
      <c r="GW563">
        <v>129</v>
      </c>
      <c r="GX563" t="s">
        <v>55</v>
      </c>
      <c r="GY563">
        <v>280</v>
      </c>
      <c r="HB563">
        <v>2584</v>
      </c>
      <c r="HC563">
        <v>4</v>
      </c>
      <c r="HF563">
        <v>866</v>
      </c>
    </row>
    <row r="564" spans="1:325" ht="20.25">
      <c r="DV564">
        <v>42</v>
      </c>
      <c r="DW564" t="s">
        <v>51</v>
      </c>
      <c r="DX564" s="8">
        <v>43938</v>
      </c>
      <c r="DY564">
        <v>18</v>
      </c>
      <c r="DZ564">
        <v>140</v>
      </c>
      <c r="EA564">
        <v>0</v>
      </c>
      <c r="GV564" s="8">
        <v>43971</v>
      </c>
      <c r="GW564">
        <v>129</v>
      </c>
      <c r="GX564" t="s">
        <v>55</v>
      </c>
      <c r="GY564">
        <v>280</v>
      </c>
      <c r="HB564">
        <v>2584</v>
      </c>
      <c r="HC564">
        <v>4</v>
      </c>
      <c r="HF564">
        <v>864</v>
      </c>
      <c r="HG564">
        <v>7975</v>
      </c>
    </row>
    <row r="565" spans="1:325" ht="20.25">
      <c r="DV565">
        <v>42</v>
      </c>
      <c r="DW565" t="s">
        <v>51</v>
      </c>
      <c r="DX565" s="8">
        <v>43939</v>
      </c>
      <c r="DY565">
        <v>19</v>
      </c>
      <c r="DZ565">
        <v>148</v>
      </c>
      <c r="EA565">
        <v>0</v>
      </c>
      <c r="GV565" s="8">
        <v>43972</v>
      </c>
      <c r="GW565">
        <v>129</v>
      </c>
      <c r="GX565" t="s">
        <v>55</v>
      </c>
      <c r="GY565">
        <v>279</v>
      </c>
      <c r="HB565">
        <v>2575</v>
      </c>
      <c r="HC565">
        <v>4</v>
      </c>
      <c r="HF565">
        <v>868</v>
      </c>
      <c r="HG565">
        <v>8012</v>
      </c>
    </row>
    <row r="566" spans="1:325" ht="20.25">
      <c r="DV566">
        <v>42</v>
      </c>
      <c r="DW566" t="s">
        <v>51</v>
      </c>
      <c r="DX566" s="8">
        <v>43940</v>
      </c>
      <c r="DY566">
        <v>20</v>
      </c>
      <c r="DZ566">
        <v>156</v>
      </c>
      <c r="EA566">
        <v>0</v>
      </c>
      <c r="GV566" s="8">
        <v>43973</v>
      </c>
      <c r="GW566">
        <v>129</v>
      </c>
      <c r="GX566" t="s">
        <v>55</v>
      </c>
      <c r="GY566">
        <v>279</v>
      </c>
      <c r="HB566">
        <v>2575</v>
      </c>
      <c r="HC566">
        <v>4</v>
      </c>
      <c r="HF566">
        <v>874</v>
      </c>
      <c r="HG566">
        <v>8067</v>
      </c>
    </row>
    <row r="567" spans="1:325" ht="20.25">
      <c r="DV567">
        <v>42</v>
      </c>
      <c r="DW567" t="s">
        <v>51</v>
      </c>
      <c r="DX567" s="8">
        <v>43941</v>
      </c>
      <c r="DY567">
        <v>23</v>
      </c>
      <c r="DZ567">
        <v>179</v>
      </c>
      <c r="EA567">
        <v>2</v>
      </c>
      <c r="GV567" s="8">
        <v>43974</v>
      </c>
      <c r="GW567">
        <v>129</v>
      </c>
      <c r="GX567" t="s">
        <v>55</v>
      </c>
      <c r="GY567">
        <v>280</v>
      </c>
      <c r="HB567">
        <v>2584</v>
      </c>
      <c r="HC567">
        <v>4</v>
      </c>
      <c r="HF567">
        <v>882</v>
      </c>
      <c r="HG567">
        <v>8141</v>
      </c>
    </row>
    <row r="568" spans="1:325" ht="20.25">
      <c r="DV568">
        <v>42</v>
      </c>
      <c r="DW568" t="s">
        <v>51</v>
      </c>
      <c r="DX568" s="8">
        <v>43942</v>
      </c>
      <c r="DY568">
        <v>23</v>
      </c>
      <c r="DZ568">
        <v>179</v>
      </c>
      <c r="EA568">
        <v>2</v>
      </c>
      <c r="GV568" s="8">
        <v>43975</v>
      </c>
      <c r="GW568">
        <v>129</v>
      </c>
      <c r="GX568" t="s">
        <v>55</v>
      </c>
      <c r="GY568">
        <v>281</v>
      </c>
      <c r="HB568">
        <v>2594</v>
      </c>
      <c r="HC568">
        <v>4</v>
      </c>
      <c r="HF568">
        <v>886</v>
      </c>
      <c r="HG568">
        <v>8178</v>
      </c>
    </row>
    <row r="569" spans="1:325" ht="20.25">
      <c r="DV569">
        <v>42</v>
      </c>
      <c r="DW569" t="s">
        <v>51</v>
      </c>
      <c r="DX569" s="8">
        <v>43943</v>
      </c>
      <c r="DY569">
        <v>23</v>
      </c>
      <c r="DZ569">
        <v>179</v>
      </c>
      <c r="EA569">
        <v>3</v>
      </c>
      <c r="GV569" s="8">
        <v>43976</v>
      </c>
      <c r="GW569">
        <v>129</v>
      </c>
      <c r="GX569" t="s">
        <v>55</v>
      </c>
      <c r="GY569">
        <v>283</v>
      </c>
      <c r="HB569">
        <v>2612</v>
      </c>
      <c r="HC569">
        <v>4</v>
      </c>
      <c r="HF569">
        <v>896</v>
      </c>
      <c r="HG569">
        <v>8270</v>
      </c>
    </row>
    <row r="570" spans="1:325" ht="20.25">
      <c r="DV570">
        <v>42</v>
      </c>
      <c r="DW570" t="s">
        <v>51</v>
      </c>
      <c r="DX570" s="8">
        <v>43944</v>
      </c>
      <c r="DY570">
        <v>26</v>
      </c>
      <c r="DZ570">
        <v>202</v>
      </c>
      <c r="EA570">
        <v>3</v>
      </c>
      <c r="GV570" s="8">
        <v>43977</v>
      </c>
      <c r="GW570">
        <v>129</v>
      </c>
      <c r="GX570" t="s">
        <v>55</v>
      </c>
      <c r="GY570">
        <v>283</v>
      </c>
      <c r="HB570">
        <v>2612</v>
      </c>
      <c r="HC570">
        <v>4</v>
      </c>
      <c r="HF570">
        <v>901</v>
      </c>
      <c r="HG570">
        <v>8316</v>
      </c>
    </row>
    <row r="571" spans="1:325" ht="20.25">
      <c r="DV571">
        <v>42</v>
      </c>
      <c r="DW571" t="s">
        <v>51</v>
      </c>
      <c r="DX571" s="8">
        <v>43945</v>
      </c>
      <c r="DY571">
        <v>27</v>
      </c>
      <c r="DZ571">
        <v>210</v>
      </c>
      <c r="EA571">
        <v>3</v>
      </c>
      <c r="GV571" s="8">
        <v>43978</v>
      </c>
      <c r="GW571">
        <v>129</v>
      </c>
      <c r="GX571" t="s">
        <v>55</v>
      </c>
      <c r="GY571">
        <v>285</v>
      </c>
      <c r="HB571">
        <v>2631</v>
      </c>
      <c r="HC571">
        <v>5</v>
      </c>
      <c r="HF571">
        <v>907</v>
      </c>
      <c r="HG571">
        <v>8372</v>
      </c>
    </row>
    <row r="572" spans="1:325" ht="20.25">
      <c r="DV572">
        <v>42</v>
      </c>
      <c r="DW572" t="s">
        <v>51</v>
      </c>
      <c r="DX572" s="8">
        <v>43946</v>
      </c>
      <c r="DY572">
        <v>28</v>
      </c>
      <c r="DZ572">
        <v>218</v>
      </c>
      <c r="EA572">
        <v>3</v>
      </c>
      <c r="GV572" s="8">
        <v>43979</v>
      </c>
      <c r="GW572">
        <v>129</v>
      </c>
      <c r="GX572" t="s">
        <v>55</v>
      </c>
      <c r="GY572">
        <v>285</v>
      </c>
      <c r="HB572">
        <v>2631</v>
      </c>
      <c r="HC572">
        <v>5</v>
      </c>
      <c r="HF572">
        <v>911</v>
      </c>
      <c r="HG572">
        <v>8409</v>
      </c>
    </row>
    <row r="573" spans="1:325" ht="20.25">
      <c r="DV573">
        <v>42</v>
      </c>
      <c r="DW573" t="s">
        <v>51</v>
      </c>
      <c r="DX573" s="8">
        <v>43947</v>
      </c>
      <c r="DY573">
        <v>29</v>
      </c>
      <c r="DZ573">
        <v>226</v>
      </c>
      <c r="EA573">
        <v>3</v>
      </c>
      <c r="GV573" s="8">
        <v>43980</v>
      </c>
      <c r="GW573">
        <v>129</v>
      </c>
      <c r="GX573" t="s">
        <v>55</v>
      </c>
      <c r="GY573">
        <v>286</v>
      </c>
      <c r="HB573">
        <v>2640</v>
      </c>
      <c r="HC573">
        <v>5</v>
      </c>
      <c r="HF573">
        <v>916</v>
      </c>
      <c r="HG573">
        <v>8455</v>
      </c>
    </row>
    <row r="574" spans="1:325" ht="20.25">
      <c r="DV574">
        <v>42</v>
      </c>
      <c r="DW574" t="s">
        <v>51</v>
      </c>
      <c r="DX574" s="8">
        <v>43948</v>
      </c>
      <c r="DY574">
        <v>30</v>
      </c>
      <c r="DZ574">
        <v>233</v>
      </c>
      <c r="EA574">
        <v>3</v>
      </c>
      <c r="GV574" s="8">
        <v>43981</v>
      </c>
      <c r="GW574">
        <v>129</v>
      </c>
      <c r="GX574" t="s">
        <v>55</v>
      </c>
      <c r="GY574">
        <v>286</v>
      </c>
      <c r="HB574">
        <v>2640</v>
      </c>
      <c r="HC574">
        <v>5</v>
      </c>
      <c r="HF574">
        <v>918</v>
      </c>
      <c r="HG574">
        <v>8473</v>
      </c>
    </row>
    <row r="575" spans="1:325" ht="20.25">
      <c r="DV575">
        <v>42</v>
      </c>
      <c r="DW575" t="s">
        <v>51</v>
      </c>
      <c r="DX575" s="8">
        <v>43949</v>
      </c>
      <c r="DY575">
        <v>30</v>
      </c>
      <c r="DZ575">
        <v>233</v>
      </c>
      <c r="EA575">
        <v>3</v>
      </c>
      <c r="GV575" s="8">
        <v>43982</v>
      </c>
      <c r="GW575">
        <v>129</v>
      </c>
      <c r="GX575" t="s">
        <v>55</v>
      </c>
      <c r="GY575">
        <v>286</v>
      </c>
      <c r="GZ575">
        <v>260</v>
      </c>
      <c r="HA575">
        <v>26</v>
      </c>
      <c r="HB575">
        <v>2640</v>
      </c>
      <c r="HC575">
        <v>5</v>
      </c>
      <c r="HD575">
        <v>4</v>
      </c>
      <c r="HE575">
        <v>1</v>
      </c>
      <c r="HF575">
        <v>1019</v>
      </c>
      <c r="HG575">
        <v>9406</v>
      </c>
      <c r="HH575">
        <v>1079</v>
      </c>
      <c r="HI575">
        <v>270</v>
      </c>
      <c r="HJ575">
        <v>784</v>
      </c>
      <c r="HK575">
        <v>25</v>
      </c>
    </row>
    <row r="576" spans="1:325" ht="20.25">
      <c r="DV576">
        <v>42</v>
      </c>
      <c r="DW576" t="s">
        <v>51</v>
      </c>
      <c r="DX576" s="8">
        <v>43950</v>
      </c>
      <c r="DY576">
        <v>30</v>
      </c>
      <c r="DZ576">
        <v>233</v>
      </c>
      <c r="EA576">
        <v>3</v>
      </c>
      <c r="GV576" s="8">
        <v>43983</v>
      </c>
      <c r="GW576">
        <v>129</v>
      </c>
      <c r="GX576" t="s">
        <v>55</v>
      </c>
      <c r="GY576">
        <v>286</v>
      </c>
      <c r="GZ576">
        <v>260</v>
      </c>
      <c r="HA576">
        <v>26</v>
      </c>
      <c r="HB576">
        <v>2640</v>
      </c>
      <c r="HC576">
        <v>5</v>
      </c>
      <c r="HD576">
        <v>4</v>
      </c>
      <c r="HE576">
        <v>1</v>
      </c>
      <c r="HF576">
        <v>1037</v>
      </c>
      <c r="HG576">
        <v>9572</v>
      </c>
      <c r="HH576">
        <v>1096</v>
      </c>
      <c r="HI576">
        <v>270</v>
      </c>
      <c r="HJ576">
        <v>801</v>
      </c>
      <c r="HK576">
        <v>25</v>
      </c>
    </row>
    <row r="577" spans="1:325" ht="20.25">
      <c r="DV577">
        <v>42</v>
      </c>
      <c r="DW577" t="s">
        <v>51</v>
      </c>
      <c r="DX577" s="8">
        <v>43951</v>
      </c>
      <c r="DY577">
        <v>31</v>
      </c>
      <c r="DZ577">
        <v>241</v>
      </c>
      <c r="EA577">
        <v>3</v>
      </c>
      <c r="GV577" s="8">
        <v>43984</v>
      </c>
      <c r="GW577">
        <v>129</v>
      </c>
      <c r="GX577" t="s">
        <v>55</v>
      </c>
      <c r="GY577">
        <v>289</v>
      </c>
      <c r="GZ577">
        <v>264</v>
      </c>
      <c r="HA577">
        <v>25</v>
      </c>
      <c r="HB577">
        <v>2668</v>
      </c>
      <c r="HC577">
        <v>5</v>
      </c>
      <c r="HD577">
        <v>4</v>
      </c>
      <c r="HE577">
        <v>1</v>
      </c>
      <c r="HF577">
        <v>1049</v>
      </c>
      <c r="HG577">
        <v>9682</v>
      </c>
      <c r="HH577">
        <v>1110</v>
      </c>
      <c r="HI577">
        <v>275</v>
      </c>
      <c r="HJ577">
        <v>810</v>
      </c>
      <c r="HK577">
        <v>25</v>
      </c>
    </row>
    <row r="578" spans="1:325" ht="20.25">
      <c r="DV578">
        <v>42</v>
      </c>
      <c r="DW578" t="s">
        <v>51</v>
      </c>
      <c r="DX578" s="8">
        <v>43952</v>
      </c>
      <c r="DY578">
        <v>33</v>
      </c>
      <c r="DZ578">
        <v>257</v>
      </c>
      <c r="EA578">
        <v>4</v>
      </c>
      <c r="GV578" s="8">
        <v>43914</v>
      </c>
      <c r="GW578">
        <v>134</v>
      </c>
      <c r="GX578" t="s">
        <v>109</v>
      </c>
      <c r="GY578">
        <v>8</v>
      </c>
      <c r="HC578">
        <v>0</v>
      </c>
    </row>
    <row r="579" spans="1:325" ht="20.25">
      <c r="DV579">
        <v>42</v>
      </c>
      <c r="DW579" t="s">
        <v>51</v>
      </c>
      <c r="DX579" s="8">
        <v>43953</v>
      </c>
      <c r="DY579">
        <v>33</v>
      </c>
      <c r="DZ579">
        <v>257</v>
      </c>
      <c r="EA579">
        <v>4</v>
      </c>
      <c r="GV579" s="8">
        <v>43915</v>
      </c>
      <c r="GW579">
        <v>134</v>
      </c>
      <c r="GX579" t="s">
        <v>109</v>
      </c>
      <c r="GY579">
        <v>11</v>
      </c>
      <c r="HC579">
        <v>2</v>
      </c>
    </row>
    <row r="580" spans="1:325" ht="20.25">
      <c r="DV580">
        <v>42</v>
      </c>
      <c r="DW580" t="s">
        <v>51</v>
      </c>
      <c r="DX580" s="8">
        <v>43954</v>
      </c>
      <c r="DY580">
        <v>33</v>
      </c>
      <c r="DZ580">
        <v>257</v>
      </c>
      <c r="EA580">
        <v>4</v>
      </c>
      <c r="GV580" s="8">
        <v>43916</v>
      </c>
      <c r="GW580">
        <v>134</v>
      </c>
      <c r="GX580" t="s">
        <v>109</v>
      </c>
      <c r="GY580">
        <v>14</v>
      </c>
      <c r="HC580">
        <v>2</v>
      </c>
    </row>
    <row r="581" spans="1:325" ht="20.25">
      <c r="DV581">
        <v>42</v>
      </c>
      <c r="DW581" t="s">
        <v>51</v>
      </c>
      <c r="DX581" s="8">
        <v>43955</v>
      </c>
      <c r="DY581">
        <v>33</v>
      </c>
      <c r="DZ581">
        <v>257</v>
      </c>
      <c r="EA581">
        <v>4</v>
      </c>
      <c r="GV581" s="8">
        <v>43917</v>
      </c>
      <c r="GW581">
        <v>134</v>
      </c>
      <c r="GX581" t="s">
        <v>109</v>
      </c>
      <c r="GY581">
        <v>14</v>
      </c>
      <c r="HC581">
        <v>2</v>
      </c>
    </row>
    <row r="582" spans="1:325" ht="20.25">
      <c r="DV582">
        <v>42</v>
      </c>
      <c r="DW582" t="s">
        <v>51</v>
      </c>
      <c r="DX582" s="8">
        <v>43956</v>
      </c>
      <c r="DY582">
        <v>33</v>
      </c>
      <c r="DZ582">
        <v>257</v>
      </c>
      <c r="EA582">
        <v>4</v>
      </c>
      <c r="GV582" s="8">
        <v>43918</v>
      </c>
      <c r="GW582">
        <v>134</v>
      </c>
      <c r="GX582" t="s">
        <v>109</v>
      </c>
      <c r="GY582">
        <v>14</v>
      </c>
      <c r="HC582">
        <v>3</v>
      </c>
    </row>
    <row r="583" spans="1:325" ht="20.25">
      <c r="DV583">
        <v>42</v>
      </c>
      <c r="DW583" t="s">
        <v>51</v>
      </c>
      <c r="DX583" s="8">
        <v>43957</v>
      </c>
      <c r="DY583">
        <v>34</v>
      </c>
      <c r="DZ583">
        <v>265</v>
      </c>
      <c r="EA583">
        <v>4</v>
      </c>
      <c r="GV583" s="8">
        <v>43919</v>
      </c>
      <c r="GW583">
        <v>134</v>
      </c>
      <c r="GX583" t="s">
        <v>109</v>
      </c>
      <c r="GY583">
        <v>15</v>
      </c>
      <c r="HC583">
        <v>3</v>
      </c>
    </row>
    <row r="584" spans="1:325" ht="20.25">
      <c r="DV584">
        <v>42</v>
      </c>
      <c r="DW584" t="s">
        <v>51</v>
      </c>
      <c r="DX584" s="8">
        <v>43958</v>
      </c>
      <c r="DY584">
        <v>35</v>
      </c>
      <c r="DZ584">
        <v>272</v>
      </c>
      <c r="EA584">
        <v>4</v>
      </c>
      <c r="GV584" s="8">
        <v>43920</v>
      </c>
      <c r="GW584">
        <v>134</v>
      </c>
      <c r="GX584" t="s">
        <v>109</v>
      </c>
      <c r="GY584">
        <v>17</v>
      </c>
      <c r="HC584">
        <v>3</v>
      </c>
    </row>
    <row r="585" spans="1:325" ht="20.25">
      <c r="DV585">
        <v>42</v>
      </c>
      <c r="DW585" t="s">
        <v>51</v>
      </c>
      <c r="DX585" s="8">
        <v>43959</v>
      </c>
      <c r="DY585">
        <v>35</v>
      </c>
      <c r="DZ585">
        <v>272</v>
      </c>
      <c r="EA585">
        <v>4</v>
      </c>
      <c r="GV585" s="8">
        <v>43921</v>
      </c>
      <c r="GW585">
        <v>134</v>
      </c>
      <c r="GX585" t="s">
        <v>109</v>
      </c>
      <c r="GY585">
        <v>17</v>
      </c>
      <c r="HC585">
        <v>3</v>
      </c>
    </row>
    <row r="586" spans="1:325" ht="20.25">
      <c r="DV586">
        <v>42</v>
      </c>
      <c r="DW586" t="s">
        <v>51</v>
      </c>
      <c r="DX586" s="8">
        <v>43960</v>
      </c>
      <c r="DY586">
        <v>35</v>
      </c>
      <c r="DZ586">
        <v>272</v>
      </c>
      <c r="EA586">
        <v>4</v>
      </c>
      <c r="GV586" s="8">
        <v>43922</v>
      </c>
      <c r="GW586">
        <v>134</v>
      </c>
      <c r="GX586" t="s">
        <v>109</v>
      </c>
      <c r="GY586">
        <v>17</v>
      </c>
      <c r="HC586">
        <v>3</v>
      </c>
    </row>
    <row r="587" spans="1:325" ht="20.25">
      <c r="DV587">
        <v>42</v>
      </c>
      <c r="DW587" t="s">
        <v>51</v>
      </c>
      <c r="DX587" s="8">
        <v>43961</v>
      </c>
      <c r="DY587">
        <v>35</v>
      </c>
      <c r="DZ587">
        <v>272</v>
      </c>
      <c r="EA587">
        <v>4</v>
      </c>
      <c r="GV587" s="8">
        <v>43923</v>
      </c>
      <c r="GW587">
        <v>134</v>
      </c>
      <c r="GX587" t="s">
        <v>109</v>
      </c>
      <c r="GY587">
        <v>19</v>
      </c>
      <c r="HC587">
        <v>4</v>
      </c>
    </row>
    <row r="588" spans="1:325" ht="20.25">
      <c r="DV588">
        <v>42</v>
      </c>
      <c r="DW588" t="s">
        <v>51</v>
      </c>
      <c r="DX588" s="8">
        <v>43962</v>
      </c>
      <c r="DY588">
        <v>35</v>
      </c>
      <c r="DZ588">
        <v>272</v>
      </c>
      <c r="EA588">
        <v>4</v>
      </c>
      <c r="GV588" s="8">
        <v>43924</v>
      </c>
      <c r="GW588">
        <v>134</v>
      </c>
      <c r="GX588" t="s">
        <v>109</v>
      </c>
      <c r="GY588">
        <v>21</v>
      </c>
      <c r="HC588">
        <v>4</v>
      </c>
    </row>
    <row r="589" spans="1:325" ht="20.25">
      <c r="DV589">
        <v>42</v>
      </c>
      <c r="DW589" t="s">
        <v>51</v>
      </c>
      <c r="DX589" s="8">
        <v>43963</v>
      </c>
      <c r="DY589">
        <v>37</v>
      </c>
      <c r="DZ589">
        <v>288</v>
      </c>
      <c r="EA589">
        <v>4</v>
      </c>
      <c r="GV589" s="8">
        <v>43925</v>
      </c>
      <c r="GW589">
        <v>134</v>
      </c>
      <c r="GX589" t="s">
        <v>109</v>
      </c>
      <c r="GY589">
        <v>27</v>
      </c>
      <c r="HC589">
        <v>4</v>
      </c>
    </row>
    <row r="590" spans="1:325" ht="20.25">
      <c r="DV590">
        <v>42</v>
      </c>
      <c r="DW590" t="s">
        <v>51</v>
      </c>
      <c r="DX590" s="8">
        <v>43964</v>
      </c>
      <c r="DY590">
        <v>38</v>
      </c>
      <c r="DZ590">
        <v>296</v>
      </c>
      <c r="EA590">
        <v>4</v>
      </c>
      <c r="GV590" s="8">
        <v>43926</v>
      </c>
      <c r="GW590">
        <v>134</v>
      </c>
      <c r="GX590" t="s">
        <v>109</v>
      </c>
      <c r="GY590">
        <v>27</v>
      </c>
      <c r="HC590">
        <v>5</v>
      </c>
    </row>
    <row r="591" spans="1:325" ht="20.25">
      <c r="DV591">
        <v>42</v>
      </c>
      <c r="DW591" t="s">
        <v>51</v>
      </c>
      <c r="DX591" s="8">
        <v>43965</v>
      </c>
      <c r="DY591">
        <v>40</v>
      </c>
      <c r="DZ591">
        <v>311</v>
      </c>
      <c r="EA591">
        <v>4</v>
      </c>
      <c r="GV591" s="8">
        <v>43927</v>
      </c>
      <c r="GW591">
        <v>134</v>
      </c>
      <c r="GX591" t="s">
        <v>109</v>
      </c>
      <c r="GY591">
        <v>28</v>
      </c>
      <c r="HC591">
        <v>5</v>
      </c>
    </row>
    <row r="592" spans="1:325" ht="20.25">
      <c r="DV592">
        <v>42</v>
      </c>
      <c r="DW592" t="s">
        <v>51</v>
      </c>
      <c r="DX592" s="8">
        <v>43966</v>
      </c>
      <c r="DY592">
        <v>40</v>
      </c>
      <c r="DZ592">
        <v>311</v>
      </c>
      <c r="EA592">
        <v>4</v>
      </c>
      <c r="GV592" s="8">
        <v>43928</v>
      </c>
      <c r="GW592">
        <v>134</v>
      </c>
      <c r="GX592" t="s">
        <v>109</v>
      </c>
      <c r="GY592">
        <v>29</v>
      </c>
      <c r="HC592">
        <v>5</v>
      </c>
    </row>
    <row r="593" spans="1:325" ht="20.25">
      <c r="DV593">
        <v>43</v>
      </c>
      <c r="DW593" t="s">
        <v>52</v>
      </c>
      <c r="DX593" s="8">
        <v>43914</v>
      </c>
      <c r="DY593">
        <v>2</v>
      </c>
      <c r="EA593">
        <v>0</v>
      </c>
      <c r="GV593" s="8">
        <v>43929</v>
      </c>
      <c r="GW593">
        <v>134</v>
      </c>
      <c r="GX593" t="s">
        <v>109</v>
      </c>
      <c r="GY593">
        <v>31</v>
      </c>
      <c r="HC593">
        <v>5</v>
      </c>
    </row>
    <row r="594" spans="1:325" ht="20.25">
      <c r="DV594">
        <v>43</v>
      </c>
      <c r="DW594" t="s">
        <v>52</v>
      </c>
      <c r="DX594" s="8">
        <v>43915</v>
      </c>
      <c r="DY594">
        <v>4</v>
      </c>
      <c r="EA594">
        <v>0</v>
      </c>
      <c r="GV594" s="8">
        <v>43930</v>
      </c>
      <c r="GW594">
        <v>134</v>
      </c>
      <c r="GX594" t="s">
        <v>109</v>
      </c>
      <c r="GY594">
        <v>33</v>
      </c>
      <c r="HC594">
        <v>5</v>
      </c>
    </row>
    <row r="595" spans="1:325" ht="20.25">
      <c r="DV595">
        <v>43</v>
      </c>
      <c r="DW595" t="s">
        <v>52</v>
      </c>
      <c r="DX595" s="8">
        <v>43916</v>
      </c>
      <c r="DY595">
        <v>4</v>
      </c>
      <c r="EA595">
        <v>0</v>
      </c>
      <c r="GV595" s="8">
        <v>43931</v>
      </c>
      <c r="GW595">
        <v>134</v>
      </c>
      <c r="GX595" t="s">
        <v>109</v>
      </c>
      <c r="GY595">
        <v>33</v>
      </c>
      <c r="HC595">
        <v>6</v>
      </c>
    </row>
    <row r="596" spans="1:325" ht="20.25">
      <c r="DV596">
        <v>43</v>
      </c>
      <c r="DW596" t="s">
        <v>52</v>
      </c>
      <c r="DX596" s="8">
        <v>43917</v>
      </c>
      <c r="DY596">
        <v>3</v>
      </c>
      <c r="EA596">
        <v>0</v>
      </c>
      <c r="GV596" s="8">
        <v>43932</v>
      </c>
      <c r="GW596">
        <v>134</v>
      </c>
      <c r="GX596" t="s">
        <v>109</v>
      </c>
      <c r="GY596">
        <v>37</v>
      </c>
      <c r="HC596">
        <v>7</v>
      </c>
    </row>
    <row r="597" spans="1:325" ht="20.25">
      <c r="DV597">
        <v>43</v>
      </c>
      <c r="DW597" t="s">
        <v>52</v>
      </c>
      <c r="DX597" s="8">
        <v>43918</v>
      </c>
      <c r="DY597">
        <v>5</v>
      </c>
      <c r="EA597">
        <v>0</v>
      </c>
      <c r="GV597" s="8">
        <v>43933</v>
      </c>
      <c r="GW597">
        <v>134</v>
      </c>
      <c r="GX597" t="s">
        <v>109</v>
      </c>
      <c r="GY597">
        <v>37</v>
      </c>
      <c r="HC597">
        <v>8</v>
      </c>
    </row>
    <row r="598" spans="1:325" ht="20.25">
      <c r="DV598">
        <v>43</v>
      </c>
      <c r="DW598" t="s">
        <v>52</v>
      </c>
      <c r="DX598" s="8">
        <v>43919</v>
      </c>
      <c r="DY598">
        <v>11</v>
      </c>
      <c r="EA598">
        <v>0</v>
      </c>
      <c r="GV598" s="8">
        <v>43934</v>
      </c>
      <c r="GW598">
        <v>134</v>
      </c>
      <c r="GX598" t="s">
        <v>109</v>
      </c>
      <c r="GY598">
        <v>38</v>
      </c>
      <c r="HC598">
        <v>8</v>
      </c>
    </row>
    <row r="599" spans="1:325" ht="20.25">
      <c r="DV599">
        <v>43</v>
      </c>
      <c r="DW599" t="s">
        <v>52</v>
      </c>
      <c r="DX599" s="8">
        <v>43920</v>
      </c>
      <c r="DY599">
        <v>17</v>
      </c>
      <c r="EA599">
        <v>0</v>
      </c>
      <c r="GV599" s="8">
        <v>43935</v>
      </c>
      <c r="GW599">
        <v>134</v>
      </c>
      <c r="GX599" t="s">
        <v>109</v>
      </c>
      <c r="GY599">
        <v>38</v>
      </c>
      <c r="HC599">
        <v>8</v>
      </c>
    </row>
    <row r="600" spans="1:325" ht="20.25">
      <c r="DV600">
        <v>43</v>
      </c>
      <c r="DW600" t="s">
        <v>52</v>
      </c>
      <c r="DX600" s="8">
        <v>43921</v>
      </c>
      <c r="DY600">
        <v>21</v>
      </c>
      <c r="EA600">
        <v>0</v>
      </c>
      <c r="GV600" s="8">
        <v>43936</v>
      </c>
      <c r="GW600">
        <v>134</v>
      </c>
      <c r="GX600" t="s">
        <v>109</v>
      </c>
      <c r="GY600">
        <v>46</v>
      </c>
      <c r="HC600">
        <v>11</v>
      </c>
    </row>
    <row r="601" spans="1:325" ht="20.25">
      <c r="DV601">
        <v>43</v>
      </c>
      <c r="DW601" t="s">
        <v>52</v>
      </c>
      <c r="DX601" s="8">
        <v>43922</v>
      </c>
      <c r="DY601">
        <v>23</v>
      </c>
      <c r="EA601">
        <v>1</v>
      </c>
      <c r="GV601" s="8">
        <v>43937</v>
      </c>
      <c r="GW601">
        <v>134</v>
      </c>
      <c r="GX601" t="s">
        <v>109</v>
      </c>
      <c r="GY601">
        <v>52</v>
      </c>
      <c r="HB601">
        <v>438</v>
      </c>
      <c r="HC601">
        <v>11</v>
      </c>
    </row>
    <row r="602" spans="1:325" ht="20.25">
      <c r="DV602">
        <v>43</v>
      </c>
      <c r="DW602" t="s">
        <v>52</v>
      </c>
      <c r="DX602" s="8">
        <v>43923</v>
      </c>
      <c r="DY602">
        <v>26</v>
      </c>
      <c r="EA602">
        <v>2</v>
      </c>
      <c r="GV602" s="8">
        <v>43938</v>
      </c>
      <c r="GW602">
        <v>134</v>
      </c>
      <c r="GX602" t="s">
        <v>109</v>
      </c>
      <c r="GY602">
        <v>52</v>
      </c>
      <c r="HB602">
        <v>438</v>
      </c>
      <c r="HC602">
        <v>10</v>
      </c>
    </row>
    <row r="603" spans="1:325" ht="20.25">
      <c r="DV603">
        <v>43</v>
      </c>
      <c r="DW603" t="s">
        <v>52</v>
      </c>
      <c r="DX603" s="8">
        <v>43924</v>
      </c>
      <c r="DY603">
        <v>34</v>
      </c>
      <c r="EA603">
        <v>2</v>
      </c>
      <c r="GV603" s="8">
        <v>43939</v>
      </c>
      <c r="GW603">
        <v>134</v>
      </c>
      <c r="GX603" t="s">
        <v>109</v>
      </c>
      <c r="GY603">
        <v>52</v>
      </c>
      <c r="HB603">
        <v>438</v>
      </c>
      <c r="HC603">
        <v>10</v>
      </c>
    </row>
    <row r="604" spans="1:325" ht="20.25">
      <c r="DV604">
        <v>43</v>
      </c>
      <c r="DW604" t="s">
        <v>52</v>
      </c>
      <c r="DX604" s="8">
        <v>43925</v>
      </c>
      <c r="DY604">
        <v>39</v>
      </c>
      <c r="EA604">
        <v>2</v>
      </c>
      <c r="GV604" s="8">
        <v>43940</v>
      </c>
      <c r="GW604">
        <v>134</v>
      </c>
      <c r="GX604" t="s">
        <v>109</v>
      </c>
      <c r="GY604">
        <v>54</v>
      </c>
      <c r="HB604">
        <v>454</v>
      </c>
      <c r="HC604">
        <v>10</v>
      </c>
    </row>
    <row r="605" spans="1:325" ht="20.25">
      <c r="DV605">
        <v>43</v>
      </c>
      <c r="DW605" t="s">
        <v>52</v>
      </c>
      <c r="DX605" s="8">
        <v>43926</v>
      </c>
      <c r="DY605">
        <v>40</v>
      </c>
      <c r="EA605">
        <v>2</v>
      </c>
      <c r="GV605" s="8">
        <v>43941</v>
      </c>
      <c r="GW605">
        <v>134</v>
      </c>
      <c r="GX605" t="s">
        <v>109</v>
      </c>
      <c r="GY605">
        <v>62</v>
      </c>
      <c r="HB605">
        <v>522</v>
      </c>
      <c r="HC605">
        <v>13</v>
      </c>
    </row>
    <row r="606" spans="1:325" ht="20.25">
      <c r="DV606">
        <v>43</v>
      </c>
      <c r="DW606" t="s">
        <v>52</v>
      </c>
      <c r="DX606" s="8">
        <v>43927</v>
      </c>
      <c r="DY606">
        <v>48</v>
      </c>
      <c r="EA606">
        <v>1</v>
      </c>
      <c r="GV606" s="8">
        <v>43942</v>
      </c>
      <c r="GW606">
        <v>134</v>
      </c>
      <c r="GX606" t="s">
        <v>109</v>
      </c>
      <c r="GY606">
        <v>62</v>
      </c>
      <c r="HB606">
        <v>522</v>
      </c>
      <c r="HC606">
        <v>15</v>
      </c>
    </row>
    <row r="607" spans="1:325" ht="20.25">
      <c r="DV607">
        <v>43</v>
      </c>
      <c r="DW607" t="s">
        <v>52</v>
      </c>
      <c r="DX607" s="8">
        <v>43928</v>
      </c>
      <c r="DY607">
        <v>60</v>
      </c>
      <c r="EA607">
        <v>3</v>
      </c>
      <c r="GV607" s="8">
        <v>43943</v>
      </c>
      <c r="GW607">
        <v>134</v>
      </c>
      <c r="GX607" t="s">
        <v>109</v>
      </c>
      <c r="GY607">
        <v>67</v>
      </c>
      <c r="HB607">
        <v>564</v>
      </c>
      <c r="HC607">
        <v>16</v>
      </c>
    </row>
    <row r="608" spans="1:325" ht="20.25">
      <c r="DV608">
        <v>43</v>
      </c>
      <c r="DW608" t="s">
        <v>52</v>
      </c>
      <c r="DX608" s="8">
        <v>43929</v>
      </c>
      <c r="DY608">
        <v>79</v>
      </c>
      <c r="EA608">
        <v>4</v>
      </c>
      <c r="GV608" s="8">
        <v>43944</v>
      </c>
      <c r="GW608">
        <v>134</v>
      </c>
      <c r="GX608" t="s">
        <v>109</v>
      </c>
      <c r="GY608">
        <v>70</v>
      </c>
      <c r="HB608">
        <v>589</v>
      </c>
      <c r="HC608">
        <v>17</v>
      </c>
    </row>
    <row r="609" spans="1:325" ht="20.25">
      <c r="DV609">
        <v>43</v>
      </c>
      <c r="DW609" t="s">
        <v>52</v>
      </c>
      <c r="DX609" s="8">
        <v>43930</v>
      </c>
      <c r="DY609">
        <v>86</v>
      </c>
      <c r="EA609">
        <v>4</v>
      </c>
      <c r="GV609" s="8">
        <v>43945</v>
      </c>
      <c r="GW609">
        <v>134</v>
      </c>
      <c r="GX609" t="s">
        <v>109</v>
      </c>
      <c r="GY609">
        <v>71</v>
      </c>
      <c r="HB609">
        <v>597</v>
      </c>
      <c r="HC609">
        <v>17</v>
      </c>
    </row>
    <row r="610" spans="1:325" ht="20.25">
      <c r="DV610">
        <v>43</v>
      </c>
      <c r="DW610" t="s">
        <v>52</v>
      </c>
      <c r="DX610" s="8">
        <v>43931</v>
      </c>
      <c r="DY610">
        <v>92</v>
      </c>
      <c r="EA610">
        <v>4</v>
      </c>
      <c r="GV610" s="8">
        <v>43946</v>
      </c>
      <c r="GW610">
        <v>134</v>
      </c>
      <c r="GX610" t="s">
        <v>109</v>
      </c>
      <c r="GY610">
        <v>72</v>
      </c>
      <c r="HB610">
        <v>606</v>
      </c>
      <c r="HC610">
        <v>17</v>
      </c>
    </row>
    <row r="611" spans="1:325" ht="20.25">
      <c r="DV611">
        <v>43</v>
      </c>
      <c r="DW611" t="s">
        <v>52</v>
      </c>
      <c r="DX611" s="8">
        <v>43932</v>
      </c>
      <c r="DY611">
        <v>102</v>
      </c>
      <c r="EA611">
        <v>6</v>
      </c>
      <c r="GV611" s="8">
        <v>43947</v>
      </c>
      <c r="GW611">
        <v>134</v>
      </c>
      <c r="GX611" t="s">
        <v>109</v>
      </c>
      <c r="GY611">
        <v>73</v>
      </c>
      <c r="HB611">
        <v>614</v>
      </c>
      <c r="HC611">
        <v>17</v>
      </c>
    </row>
    <row r="612" spans="1:325" ht="20.25">
      <c r="DV612">
        <v>43</v>
      </c>
      <c r="DW612" t="s">
        <v>52</v>
      </c>
      <c r="DX612" s="8">
        <v>43933</v>
      </c>
      <c r="DY612">
        <v>111</v>
      </c>
      <c r="EA612">
        <v>9</v>
      </c>
      <c r="GV612" s="8">
        <v>43948</v>
      </c>
      <c r="GW612">
        <v>134</v>
      </c>
      <c r="GX612" t="s">
        <v>109</v>
      </c>
      <c r="GY612">
        <v>80</v>
      </c>
      <c r="HB612">
        <v>673</v>
      </c>
      <c r="HC612">
        <v>17</v>
      </c>
    </row>
    <row r="613" spans="1:325" ht="20.25">
      <c r="DV613">
        <v>43</v>
      </c>
      <c r="DW613" t="s">
        <v>52</v>
      </c>
      <c r="DX613" s="8">
        <v>43934</v>
      </c>
      <c r="DY613">
        <v>137</v>
      </c>
      <c r="EA613">
        <v>11</v>
      </c>
      <c r="GV613" s="8">
        <v>43949</v>
      </c>
      <c r="GW613">
        <v>134</v>
      </c>
      <c r="GX613" t="s">
        <v>109</v>
      </c>
      <c r="GY613">
        <v>82</v>
      </c>
      <c r="HB613">
        <v>690</v>
      </c>
      <c r="HC613">
        <v>17</v>
      </c>
    </row>
    <row r="614" spans="1:325" ht="20.25">
      <c r="DV614">
        <v>43</v>
      </c>
      <c r="DW614" t="s">
        <v>52</v>
      </c>
      <c r="DX614" s="8">
        <v>43935</v>
      </c>
      <c r="DY614">
        <v>145</v>
      </c>
      <c r="EA614">
        <v>12</v>
      </c>
      <c r="GV614" s="8">
        <v>43950</v>
      </c>
      <c r="GW614">
        <v>134</v>
      </c>
      <c r="GX614" t="s">
        <v>109</v>
      </c>
      <c r="GY614">
        <v>84</v>
      </c>
      <c r="HB614">
        <v>707</v>
      </c>
      <c r="HC614">
        <v>17</v>
      </c>
    </row>
    <row r="615" spans="1:325" ht="20.25">
      <c r="DV615">
        <v>43</v>
      </c>
      <c r="DW615" t="s">
        <v>52</v>
      </c>
      <c r="DX615" s="8">
        <v>43936</v>
      </c>
      <c r="DY615">
        <v>152</v>
      </c>
      <c r="EA615">
        <v>16</v>
      </c>
      <c r="GV615" s="8">
        <v>43951</v>
      </c>
      <c r="GW615">
        <v>134</v>
      </c>
      <c r="GX615" t="s">
        <v>109</v>
      </c>
      <c r="GY615">
        <v>83</v>
      </c>
      <c r="HB615">
        <v>698</v>
      </c>
      <c r="HC615">
        <v>17</v>
      </c>
    </row>
    <row r="616" spans="1:325" ht="20.25">
      <c r="DV616">
        <v>43</v>
      </c>
      <c r="DW616" t="s">
        <v>52</v>
      </c>
      <c r="DX616" s="8">
        <v>43937</v>
      </c>
      <c r="DY616">
        <v>188</v>
      </c>
      <c r="DZ616">
        <v>376</v>
      </c>
      <c r="EA616">
        <v>19</v>
      </c>
      <c r="GV616" s="8">
        <v>43952</v>
      </c>
      <c r="GW616">
        <v>134</v>
      </c>
      <c r="GX616" t="s">
        <v>109</v>
      </c>
      <c r="GY616">
        <v>82</v>
      </c>
      <c r="HB616">
        <v>690</v>
      </c>
      <c r="HC616">
        <v>17</v>
      </c>
    </row>
    <row r="617" spans="1:325" ht="20.25">
      <c r="DV617">
        <v>43</v>
      </c>
      <c r="DW617" t="s">
        <v>52</v>
      </c>
      <c r="DX617" s="8">
        <v>43938</v>
      </c>
      <c r="DY617">
        <v>205</v>
      </c>
      <c r="DZ617">
        <v>410</v>
      </c>
      <c r="EA617">
        <v>21</v>
      </c>
      <c r="GV617" s="8">
        <v>43953</v>
      </c>
      <c r="GW617">
        <v>134</v>
      </c>
      <c r="GX617" t="s">
        <v>109</v>
      </c>
      <c r="GY617">
        <v>83</v>
      </c>
      <c r="HB617">
        <v>698</v>
      </c>
      <c r="HC617">
        <v>17</v>
      </c>
    </row>
    <row r="618" spans="1:325" ht="20.25">
      <c r="DV618">
        <v>43</v>
      </c>
      <c r="DW618" t="s">
        <v>52</v>
      </c>
      <c r="DX618" s="8">
        <v>43939</v>
      </c>
      <c r="DY618">
        <v>222</v>
      </c>
      <c r="DZ618">
        <v>444</v>
      </c>
      <c r="EA618">
        <v>25</v>
      </c>
      <c r="GV618" s="8">
        <v>43954</v>
      </c>
      <c r="GW618">
        <v>134</v>
      </c>
      <c r="GX618" t="s">
        <v>109</v>
      </c>
      <c r="GY618">
        <v>83</v>
      </c>
      <c r="HB618">
        <v>698</v>
      </c>
      <c r="HC618">
        <v>17</v>
      </c>
    </row>
    <row r="619" spans="1:325" ht="20.25">
      <c r="DV619">
        <v>43</v>
      </c>
      <c r="DW619" t="s">
        <v>52</v>
      </c>
      <c r="DX619" s="8">
        <v>43940</v>
      </c>
      <c r="DY619">
        <v>233</v>
      </c>
      <c r="DZ619">
        <v>466</v>
      </c>
      <c r="EA619">
        <v>26</v>
      </c>
      <c r="GV619" s="8">
        <v>43955</v>
      </c>
      <c r="GW619">
        <v>134</v>
      </c>
      <c r="GX619" t="s">
        <v>109</v>
      </c>
      <c r="GY619">
        <v>83</v>
      </c>
      <c r="HB619">
        <v>698</v>
      </c>
      <c r="HC619">
        <v>17</v>
      </c>
    </row>
    <row r="620" spans="1:325" ht="20.25">
      <c r="DV620">
        <v>43</v>
      </c>
      <c r="DW620" t="s">
        <v>52</v>
      </c>
      <c r="DX620" s="8">
        <v>43941</v>
      </c>
      <c r="DY620">
        <v>260</v>
      </c>
      <c r="DZ620">
        <v>520</v>
      </c>
      <c r="EA620">
        <v>31</v>
      </c>
      <c r="GV620" s="8">
        <v>43956</v>
      </c>
      <c r="GW620">
        <v>134</v>
      </c>
      <c r="GX620" t="s">
        <v>109</v>
      </c>
      <c r="GY620">
        <v>83</v>
      </c>
      <c r="HB620">
        <v>698</v>
      </c>
      <c r="HC620">
        <v>17</v>
      </c>
    </row>
    <row r="621" spans="1:325" ht="20.25">
      <c r="DV621">
        <v>43</v>
      </c>
      <c r="DW621" t="s">
        <v>52</v>
      </c>
      <c r="DX621" s="8">
        <v>43942</v>
      </c>
      <c r="DY621">
        <v>274</v>
      </c>
      <c r="DZ621">
        <v>548</v>
      </c>
      <c r="EA621">
        <v>33</v>
      </c>
      <c r="GV621" s="8">
        <v>43957</v>
      </c>
      <c r="GW621">
        <v>134</v>
      </c>
      <c r="GX621" t="s">
        <v>109</v>
      </c>
      <c r="GY621">
        <v>83</v>
      </c>
      <c r="HB621">
        <v>698</v>
      </c>
      <c r="HC621">
        <v>17</v>
      </c>
    </row>
    <row r="622" spans="1:325" ht="20.25">
      <c r="DV622">
        <v>43</v>
      </c>
      <c r="DW622" t="s">
        <v>52</v>
      </c>
      <c r="DX622" s="8">
        <v>43943</v>
      </c>
      <c r="DY622">
        <v>285</v>
      </c>
      <c r="DZ622">
        <v>570</v>
      </c>
      <c r="EA622">
        <v>37</v>
      </c>
      <c r="GV622" s="8">
        <v>43958</v>
      </c>
      <c r="GW622">
        <v>134</v>
      </c>
      <c r="GX622" t="s">
        <v>109</v>
      </c>
      <c r="GY622">
        <v>84</v>
      </c>
      <c r="HB622">
        <v>707</v>
      </c>
      <c r="HC622">
        <v>17</v>
      </c>
    </row>
    <row r="623" spans="1:325" ht="20.25">
      <c r="DV623">
        <v>43</v>
      </c>
      <c r="DW623" t="s">
        <v>52</v>
      </c>
      <c r="DX623" s="8">
        <v>43944</v>
      </c>
      <c r="DY623">
        <v>301</v>
      </c>
      <c r="DZ623">
        <v>602</v>
      </c>
      <c r="EA623">
        <v>40</v>
      </c>
      <c r="GV623" s="8">
        <v>43959</v>
      </c>
      <c r="GW623">
        <v>134</v>
      </c>
      <c r="GX623" t="s">
        <v>109</v>
      </c>
      <c r="GY623">
        <v>85</v>
      </c>
      <c r="HB623">
        <v>715</v>
      </c>
      <c r="HC623">
        <v>17</v>
      </c>
    </row>
    <row r="624" spans="1:325" ht="20.25">
      <c r="DV624">
        <v>43</v>
      </c>
      <c r="DW624" t="s">
        <v>52</v>
      </c>
      <c r="DX624" s="8">
        <v>43945</v>
      </c>
      <c r="DY624">
        <v>337</v>
      </c>
      <c r="DZ624">
        <v>674</v>
      </c>
      <c r="EA624">
        <v>45</v>
      </c>
      <c r="GV624" s="8">
        <v>43960</v>
      </c>
      <c r="GW624">
        <v>134</v>
      </c>
      <c r="GX624" t="s">
        <v>109</v>
      </c>
      <c r="GY624">
        <v>85</v>
      </c>
      <c r="HB624">
        <v>715</v>
      </c>
      <c r="HC624">
        <v>17</v>
      </c>
    </row>
    <row r="625" spans="1:325" ht="20.25">
      <c r="DV625">
        <v>43</v>
      </c>
      <c r="DW625" t="s">
        <v>52</v>
      </c>
      <c r="DX625" s="8">
        <v>43946</v>
      </c>
      <c r="DY625">
        <v>363</v>
      </c>
      <c r="DZ625">
        <v>726</v>
      </c>
      <c r="EA625">
        <v>48</v>
      </c>
      <c r="GV625" s="8">
        <v>43961</v>
      </c>
      <c r="GW625">
        <v>134</v>
      </c>
      <c r="GX625" t="s">
        <v>109</v>
      </c>
      <c r="GY625">
        <v>85</v>
      </c>
      <c r="HB625">
        <v>715</v>
      </c>
      <c r="HC625">
        <v>17</v>
      </c>
    </row>
    <row r="626" spans="1:325" ht="20.25">
      <c r="DV626">
        <v>43</v>
      </c>
      <c r="DW626" t="s">
        <v>52</v>
      </c>
      <c r="DX626" s="8">
        <v>43947</v>
      </c>
      <c r="DY626">
        <v>392</v>
      </c>
      <c r="DZ626">
        <v>784</v>
      </c>
      <c r="EA626">
        <v>49</v>
      </c>
      <c r="GV626" s="8">
        <v>43962</v>
      </c>
      <c r="GW626">
        <v>134</v>
      </c>
      <c r="GX626" t="s">
        <v>109</v>
      </c>
      <c r="GY626">
        <v>85</v>
      </c>
      <c r="HB626">
        <v>715</v>
      </c>
      <c r="HC626">
        <v>17</v>
      </c>
    </row>
    <row r="627" spans="1:325" ht="20.25">
      <c r="DV627">
        <v>43</v>
      </c>
      <c r="DW627" t="s">
        <v>52</v>
      </c>
      <c r="DX627" s="8">
        <v>43948</v>
      </c>
      <c r="DY627">
        <v>417</v>
      </c>
      <c r="DZ627">
        <v>834</v>
      </c>
      <c r="EA627">
        <v>52</v>
      </c>
      <c r="GV627" s="8">
        <v>43963</v>
      </c>
      <c r="GW627">
        <v>134</v>
      </c>
      <c r="GX627" t="s">
        <v>109</v>
      </c>
      <c r="GY627">
        <v>85</v>
      </c>
      <c r="HB627">
        <v>715</v>
      </c>
      <c r="HC627">
        <v>17</v>
      </c>
    </row>
    <row r="628" spans="1:325" ht="20.25">
      <c r="DV628">
        <v>43</v>
      </c>
      <c r="DW628" t="s">
        <v>52</v>
      </c>
      <c r="DX628" s="8">
        <v>43949</v>
      </c>
      <c r="DY628">
        <v>423</v>
      </c>
      <c r="DZ628">
        <v>846</v>
      </c>
      <c r="EA628">
        <v>53</v>
      </c>
      <c r="GV628" s="8">
        <v>43964</v>
      </c>
      <c r="GW628">
        <v>134</v>
      </c>
      <c r="GX628" t="s">
        <v>109</v>
      </c>
      <c r="GY628">
        <v>86</v>
      </c>
      <c r="HB628">
        <v>724</v>
      </c>
      <c r="HC628">
        <v>17</v>
      </c>
    </row>
    <row r="629" spans="1:325" ht="20.25">
      <c r="DV629">
        <v>43</v>
      </c>
      <c r="DW629" t="s">
        <v>52</v>
      </c>
      <c r="DX629" s="8">
        <v>43950</v>
      </c>
      <c r="DY629">
        <v>440</v>
      </c>
      <c r="DZ629">
        <v>880</v>
      </c>
      <c r="EA629">
        <v>54</v>
      </c>
      <c r="GV629" s="8">
        <v>43965</v>
      </c>
      <c r="GW629">
        <v>134</v>
      </c>
      <c r="GX629" t="s">
        <v>109</v>
      </c>
      <c r="GY629">
        <v>87</v>
      </c>
      <c r="HB629">
        <v>732</v>
      </c>
      <c r="HC629">
        <v>17</v>
      </c>
    </row>
    <row r="630" spans="1:325" ht="20.25">
      <c r="DV630">
        <v>43</v>
      </c>
      <c r="DW630" t="s">
        <v>52</v>
      </c>
      <c r="DX630" s="8">
        <v>43951</v>
      </c>
      <c r="DY630">
        <v>458</v>
      </c>
      <c r="DZ630">
        <v>916</v>
      </c>
      <c r="EA630">
        <v>57</v>
      </c>
      <c r="GV630" s="8">
        <v>43966</v>
      </c>
      <c r="GW630">
        <v>134</v>
      </c>
      <c r="GX630" t="s">
        <v>109</v>
      </c>
      <c r="GY630">
        <v>87</v>
      </c>
      <c r="HB630">
        <v>732</v>
      </c>
      <c r="HC630">
        <v>17</v>
      </c>
    </row>
    <row r="631" spans="1:325" ht="20.25">
      <c r="DV631">
        <v>43</v>
      </c>
      <c r="DW631" t="s">
        <v>52</v>
      </c>
      <c r="DX631" s="8">
        <v>43952</v>
      </c>
      <c r="DY631">
        <v>474</v>
      </c>
      <c r="DZ631">
        <v>948</v>
      </c>
      <c r="EA631">
        <v>57</v>
      </c>
      <c r="GV631" s="8">
        <v>43967</v>
      </c>
      <c r="GW631">
        <v>134</v>
      </c>
      <c r="GX631" t="s">
        <v>109</v>
      </c>
      <c r="GY631">
        <v>93</v>
      </c>
      <c r="HB631">
        <v>783</v>
      </c>
      <c r="HC631">
        <v>17</v>
      </c>
      <c r="HF631">
        <v>253</v>
      </c>
    </row>
    <row r="632" spans="1:325" ht="20.25">
      <c r="DV632">
        <v>43</v>
      </c>
      <c r="DW632" t="s">
        <v>52</v>
      </c>
      <c r="DX632" s="8">
        <v>43953</v>
      </c>
      <c r="DY632">
        <v>482</v>
      </c>
      <c r="DZ632">
        <v>964</v>
      </c>
      <c r="EA632">
        <v>57</v>
      </c>
      <c r="GV632" s="8">
        <v>43968</v>
      </c>
      <c r="GW632">
        <v>134</v>
      </c>
      <c r="GX632" t="s">
        <v>109</v>
      </c>
      <c r="GY632">
        <v>93</v>
      </c>
      <c r="HB632">
        <v>783</v>
      </c>
      <c r="HC632">
        <v>17</v>
      </c>
      <c r="HF632">
        <v>290</v>
      </c>
    </row>
    <row r="633" spans="1:325" ht="20.25">
      <c r="DV633">
        <v>43</v>
      </c>
      <c r="DW633" t="s">
        <v>52</v>
      </c>
      <c r="DX633" s="8">
        <v>43954</v>
      </c>
      <c r="DY633">
        <v>488</v>
      </c>
      <c r="DZ633">
        <v>976</v>
      </c>
      <c r="EA633">
        <v>59</v>
      </c>
      <c r="GV633" s="8">
        <v>43969</v>
      </c>
      <c r="GW633">
        <v>134</v>
      </c>
      <c r="GX633" t="s">
        <v>109</v>
      </c>
      <c r="GY633">
        <v>93</v>
      </c>
      <c r="HB633">
        <v>783</v>
      </c>
      <c r="HC633">
        <v>17</v>
      </c>
      <c r="HF633">
        <v>298</v>
      </c>
    </row>
    <row r="634" spans="1:325" ht="20.25">
      <c r="DV634">
        <v>43</v>
      </c>
      <c r="DW634" t="s">
        <v>52</v>
      </c>
      <c r="DX634" s="8">
        <v>43955</v>
      </c>
      <c r="DY634">
        <v>499</v>
      </c>
      <c r="DZ634">
        <v>998</v>
      </c>
      <c r="EA634">
        <v>63</v>
      </c>
      <c r="GV634" s="8">
        <v>43970</v>
      </c>
      <c r="GW634">
        <v>134</v>
      </c>
      <c r="GX634" t="s">
        <v>109</v>
      </c>
      <c r="GY634">
        <v>93</v>
      </c>
      <c r="HB634">
        <v>783</v>
      </c>
      <c r="HC634">
        <v>17</v>
      </c>
      <c r="HF634">
        <v>319</v>
      </c>
    </row>
    <row r="635" spans="1:325" ht="20.25">
      <c r="DV635">
        <v>43</v>
      </c>
      <c r="DW635" t="s">
        <v>52</v>
      </c>
      <c r="DX635" s="8">
        <v>43956</v>
      </c>
      <c r="DY635">
        <v>514</v>
      </c>
      <c r="DZ635">
        <v>1028</v>
      </c>
      <c r="EA635">
        <v>68</v>
      </c>
      <c r="GV635" s="8">
        <v>43971</v>
      </c>
      <c r="GW635">
        <v>134</v>
      </c>
      <c r="GX635" t="s">
        <v>109</v>
      </c>
      <c r="GY635">
        <v>94</v>
      </c>
      <c r="HB635">
        <v>791</v>
      </c>
      <c r="HC635">
        <v>17</v>
      </c>
      <c r="HF635">
        <v>317</v>
      </c>
      <c r="HG635">
        <v>2667</v>
      </c>
    </row>
    <row r="636" spans="1:325" ht="20.25">
      <c r="DV636">
        <v>43</v>
      </c>
      <c r="DW636" t="s">
        <v>52</v>
      </c>
      <c r="DX636" s="8">
        <v>43957</v>
      </c>
      <c r="DY636">
        <v>521</v>
      </c>
      <c r="DZ636">
        <v>1042</v>
      </c>
      <c r="EA636">
        <v>69</v>
      </c>
      <c r="GV636" s="8">
        <v>43972</v>
      </c>
      <c r="GW636">
        <v>134</v>
      </c>
      <c r="GX636" t="s">
        <v>109</v>
      </c>
      <c r="GY636">
        <v>95</v>
      </c>
      <c r="HB636">
        <v>799</v>
      </c>
      <c r="HC636">
        <v>17</v>
      </c>
      <c r="HF636">
        <v>321</v>
      </c>
      <c r="HG636">
        <v>2701</v>
      </c>
    </row>
    <row r="637" spans="1:325" ht="20.25">
      <c r="DV637">
        <v>43</v>
      </c>
      <c r="DW637" t="s">
        <v>52</v>
      </c>
      <c r="DX637" s="8">
        <v>43958</v>
      </c>
      <c r="DY637">
        <v>530</v>
      </c>
      <c r="DZ637">
        <v>1060</v>
      </c>
      <c r="EA637">
        <v>69</v>
      </c>
      <c r="GV637" s="8">
        <v>43973</v>
      </c>
      <c r="GW637">
        <v>134</v>
      </c>
      <c r="GX637" t="s">
        <v>109</v>
      </c>
      <c r="GY637">
        <v>97</v>
      </c>
      <c r="HB637">
        <v>816</v>
      </c>
      <c r="HC637">
        <v>17</v>
      </c>
      <c r="HF637">
        <v>333</v>
      </c>
      <c r="HG637">
        <v>2802</v>
      </c>
    </row>
    <row r="638" spans="1:325" ht="20.25">
      <c r="DV638">
        <v>43</v>
      </c>
      <c r="DW638" t="s">
        <v>52</v>
      </c>
      <c r="DX638" s="8">
        <v>43959</v>
      </c>
      <c r="DY638">
        <v>546</v>
      </c>
      <c r="DZ638">
        <v>1092</v>
      </c>
      <c r="EA638">
        <v>70</v>
      </c>
      <c r="GV638" s="8">
        <v>43974</v>
      </c>
      <c r="GW638">
        <v>134</v>
      </c>
      <c r="GX638" t="s">
        <v>109</v>
      </c>
      <c r="GY638">
        <v>97</v>
      </c>
      <c r="HB638">
        <v>816</v>
      </c>
      <c r="HC638">
        <v>17</v>
      </c>
      <c r="HF638">
        <v>336</v>
      </c>
      <c r="HG638">
        <v>2827</v>
      </c>
    </row>
    <row r="639" spans="1:325" ht="20.25">
      <c r="DV639">
        <v>43</v>
      </c>
      <c r="DW639" t="s">
        <v>52</v>
      </c>
      <c r="DX639" s="8">
        <v>43960</v>
      </c>
      <c r="DY639">
        <v>557</v>
      </c>
      <c r="DZ639">
        <v>1114</v>
      </c>
      <c r="EA639">
        <v>71</v>
      </c>
      <c r="GV639" s="8">
        <v>43975</v>
      </c>
      <c r="GW639">
        <v>134</v>
      </c>
      <c r="GX639" t="s">
        <v>109</v>
      </c>
      <c r="GY639">
        <v>97</v>
      </c>
      <c r="HB639">
        <v>816</v>
      </c>
      <c r="HC639">
        <v>17</v>
      </c>
      <c r="HF639">
        <v>344</v>
      </c>
      <c r="HG639">
        <v>2895</v>
      </c>
    </row>
    <row r="640" spans="1:325" ht="20.25">
      <c r="DV640">
        <v>43</v>
      </c>
      <c r="DW640" t="s">
        <v>52</v>
      </c>
      <c r="DX640" s="8">
        <v>43961</v>
      </c>
      <c r="DY640">
        <v>558</v>
      </c>
      <c r="DZ640">
        <v>1116</v>
      </c>
      <c r="EA640">
        <v>70</v>
      </c>
      <c r="GV640" s="8">
        <v>43976</v>
      </c>
      <c r="GW640">
        <v>134</v>
      </c>
      <c r="GX640" t="s">
        <v>109</v>
      </c>
      <c r="GY640">
        <v>97</v>
      </c>
      <c r="HB640">
        <v>816</v>
      </c>
      <c r="HC640">
        <v>17</v>
      </c>
      <c r="HF640">
        <v>347</v>
      </c>
      <c r="HG640">
        <v>2920</v>
      </c>
    </row>
    <row r="641" spans="1:325" ht="20.25">
      <c r="DV641">
        <v>43</v>
      </c>
      <c r="DW641" t="s">
        <v>52</v>
      </c>
      <c r="DX641" s="8">
        <v>43962</v>
      </c>
      <c r="DY641">
        <v>564</v>
      </c>
      <c r="DZ641">
        <v>1128</v>
      </c>
      <c r="EA641">
        <v>69</v>
      </c>
      <c r="GV641" s="8">
        <v>43977</v>
      </c>
      <c r="GW641">
        <v>134</v>
      </c>
      <c r="GX641" t="s">
        <v>109</v>
      </c>
      <c r="GY641">
        <v>98</v>
      </c>
      <c r="HB641">
        <v>825</v>
      </c>
      <c r="HC641">
        <v>17</v>
      </c>
      <c r="HF641">
        <v>352</v>
      </c>
      <c r="HG641">
        <v>2962</v>
      </c>
    </row>
    <row r="642" spans="1:325" ht="20.25">
      <c r="DV642">
        <v>43</v>
      </c>
      <c r="DW642" t="s">
        <v>52</v>
      </c>
      <c r="DX642" s="8">
        <v>43963</v>
      </c>
      <c r="DY642">
        <v>581</v>
      </c>
      <c r="DZ642">
        <v>1162</v>
      </c>
      <c r="EA642">
        <v>72</v>
      </c>
      <c r="GV642" s="8">
        <v>43978</v>
      </c>
      <c r="GW642">
        <v>134</v>
      </c>
      <c r="GX642" t="s">
        <v>109</v>
      </c>
      <c r="GY642">
        <v>98</v>
      </c>
      <c r="HB642">
        <v>825</v>
      </c>
      <c r="HC642">
        <v>17</v>
      </c>
      <c r="HF642">
        <v>356</v>
      </c>
      <c r="HG642">
        <v>2996</v>
      </c>
    </row>
    <row r="643" spans="1:325" ht="20.25">
      <c r="DV643">
        <v>43</v>
      </c>
      <c r="DW643" t="s">
        <v>52</v>
      </c>
      <c r="DX643" s="8">
        <v>43964</v>
      </c>
      <c r="DY643">
        <v>596</v>
      </c>
      <c r="DZ643">
        <v>1192</v>
      </c>
      <c r="EA643">
        <v>75</v>
      </c>
      <c r="GV643" s="8">
        <v>43979</v>
      </c>
      <c r="GW643">
        <v>134</v>
      </c>
      <c r="GX643" t="s">
        <v>109</v>
      </c>
      <c r="GY643">
        <v>101</v>
      </c>
      <c r="HB643">
        <v>850</v>
      </c>
      <c r="HC643">
        <v>17</v>
      </c>
      <c r="HF643">
        <v>361</v>
      </c>
      <c r="HG643">
        <v>3038</v>
      </c>
    </row>
    <row r="644" spans="1:325" ht="20.25">
      <c r="DV644">
        <v>43</v>
      </c>
      <c r="DW644" t="s">
        <v>52</v>
      </c>
      <c r="DX644" s="8">
        <v>43965</v>
      </c>
      <c r="DY644">
        <v>604</v>
      </c>
      <c r="DZ644">
        <v>1208</v>
      </c>
      <c r="EA644">
        <v>77</v>
      </c>
      <c r="GV644" s="8">
        <v>43980</v>
      </c>
      <c r="GW644">
        <v>134</v>
      </c>
      <c r="GX644" t="s">
        <v>109</v>
      </c>
      <c r="GY644">
        <v>103</v>
      </c>
      <c r="HB644">
        <v>867</v>
      </c>
      <c r="HC644">
        <v>17</v>
      </c>
      <c r="HF644">
        <v>370</v>
      </c>
      <c r="HG644">
        <v>3113</v>
      </c>
    </row>
    <row r="645" spans="1:325" ht="20.25">
      <c r="DV645">
        <v>43</v>
      </c>
      <c r="DW645" t="s">
        <v>52</v>
      </c>
      <c r="DX645" s="8">
        <v>43966</v>
      </c>
      <c r="DY645">
        <v>618</v>
      </c>
      <c r="DZ645">
        <v>1236</v>
      </c>
      <c r="EA645">
        <v>77</v>
      </c>
      <c r="GV645" s="8">
        <v>43981</v>
      </c>
      <c r="GW645">
        <v>134</v>
      </c>
      <c r="GX645" t="s">
        <v>109</v>
      </c>
      <c r="GY645">
        <v>103</v>
      </c>
      <c r="HB645">
        <v>867</v>
      </c>
      <c r="HC645">
        <v>17</v>
      </c>
      <c r="HF645">
        <v>371</v>
      </c>
      <c r="HG645">
        <v>3122</v>
      </c>
    </row>
    <row r="646" spans="1:325" ht="20.25">
      <c r="DV646">
        <v>45</v>
      </c>
      <c r="DW646" t="s">
        <v>54</v>
      </c>
      <c r="DX646" s="8">
        <v>43914</v>
      </c>
      <c r="DY646">
        <v>1</v>
      </c>
      <c r="EA646">
        <v>0</v>
      </c>
      <c r="GV646" s="8">
        <v>43982</v>
      </c>
      <c r="GW646">
        <v>134</v>
      </c>
      <c r="GX646" t="s">
        <v>109</v>
      </c>
      <c r="GY646">
        <v>109</v>
      </c>
      <c r="GZ646">
        <v>100</v>
      </c>
      <c r="HA646">
        <v>9</v>
      </c>
      <c r="HB646">
        <v>917</v>
      </c>
      <c r="HC646">
        <v>18</v>
      </c>
      <c r="HD646">
        <v>15</v>
      </c>
      <c r="HE646">
        <v>3</v>
      </c>
      <c r="HF646">
        <v>379</v>
      </c>
      <c r="HG646">
        <v>3189</v>
      </c>
      <c r="HH646">
        <v>441</v>
      </c>
      <c r="HI646">
        <v>112</v>
      </c>
      <c r="HJ646">
        <v>324</v>
      </c>
      <c r="HK646">
        <v>5</v>
      </c>
    </row>
    <row r="647" spans="1:325" ht="20.25">
      <c r="DV647">
        <v>45</v>
      </c>
      <c r="DW647" t="s">
        <v>54</v>
      </c>
      <c r="DX647" s="8">
        <v>43915</v>
      </c>
      <c r="DY647">
        <v>1</v>
      </c>
      <c r="EA647">
        <v>0</v>
      </c>
      <c r="GV647" s="8">
        <v>43983</v>
      </c>
      <c r="GW647">
        <v>134</v>
      </c>
      <c r="GX647" t="s">
        <v>109</v>
      </c>
      <c r="GY647">
        <v>109</v>
      </c>
      <c r="GZ647">
        <v>101</v>
      </c>
      <c r="HA647">
        <v>8</v>
      </c>
      <c r="HB647">
        <v>917</v>
      </c>
      <c r="HC647">
        <v>19</v>
      </c>
      <c r="HD647">
        <v>15</v>
      </c>
      <c r="HE647">
        <v>4</v>
      </c>
      <c r="HF647">
        <v>385</v>
      </c>
      <c r="HG647">
        <v>3240</v>
      </c>
      <c r="HH647">
        <v>448</v>
      </c>
      <c r="HI647">
        <v>113</v>
      </c>
      <c r="HJ647">
        <v>330</v>
      </c>
      <c r="HK647">
        <v>5</v>
      </c>
    </row>
    <row r="648" spans="1:325" ht="20.25">
      <c r="DV648">
        <v>45</v>
      </c>
      <c r="DW648" t="s">
        <v>54</v>
      </c>
      <c r="DX648" s="8">
        <v>43916</v>
      </c>
      <c r="DY648">
        <v>2</v>
      </c>
      <c r="EA648">
        <v>0</v>
      </c>
      <c r="GV648" s="8">
        <v>43984</v>
      </c>
      <c r="GW648">
        <v>134</v>
      </c>
      <c r="GX648" t="s">
        <v>109</v>
      </c>
      <c r="GY648">
        <v>108</v>
      </c>
      <c r="GZ648">
        <v>101</v>
      </c>
      <c r="HA648">
        <v>7</v>
      </c>
      <c r="HB648">
        <v>909</v>
      </c>
      <c r="HC648">
        <v>19</v>
      </c>
      <c r="HD648">
        <v>15</v>
      </c>
      <c r="HE648">
        <v>4</v>
      </c>
      <c r="HF648">
        <v>386</v>
      </c>
      <c r="HG648">
        <v>3248</v>
      </c>
      <c r="HH648">
        <v>452</v>
      </c>
      <c r="HI648">
        <v>113</v>
      </c>
      <c r="HJ648">
        <v>334</v>
      </c>
      <c r="HK648">
        <v>5</v>
      </c>
    </row>
    <row r="649" spans="1:325" ht="20.25">
      <c r="DV649">
        <v>45</v>
      </c>
      <c r="DW649" t="s">
        <v>54</v>
      </c>
      <c r="DX649" s="8">
        <v>43917</v>
      </c>
      <c r="DY649">
        <v>2</v>
      </c>
      <c r="EA649">
        <v>0</v>
      </c>
      <c r="GV649" s="8">
        <v>43914</v>
      </c>
      <c r="GW649">
        <v>142</v>
      </c>
      <c r="GX649" t="s">
        <v>110</v>
      </c>
      <c r="GY649">
        <v>5</v>
      </c>
      <c r="HC649">
        <v>0</v>
      </c>
    </row>
    <row r="650" spans="1:325" ht="20.25">
      <c r="DV650">
        <v>45</v>
      </c>
      <c r="DW650" t="s">
        <v>54</v>
      </c>
      <c r="DX650" s="8">
        <v>43918</v>
      </c>
      <c r="DY650">
        <v>2</v>
      </c>
      <c r="EA650">
        <v>0</v>
      </c>
      <c r="GV650" s="8">
        <v>43915</v>
      </c>
      <c r="GW650">
        <v>142</v>
      </c>
      <c r="GX650" t="s">
        <v>110</v>
      </c>
      <c r="GY650">
        <v>5</v>
      </c>
      <c r="HC650">
        <v>1</v>
      </c>
    </row>
    <row r="651" spans="1:325" ht="20.25">
      <c r="DV651">
        <v>45</v>
      </c>
      <c r="DW651" t="s">
        <v>54</v>
      </c>
      <c r="DX651" s="8">
        <v>43919</v>
      </c>
      <c r="DY651">
        <v>2</v>
      </c>
      <c r="EA651">
        <v>0</v>
      </c>
      <c r="GV651" s="8">
        <v>43916</v>
      </c>
      <c r="GW651">
        <v>142</v>
      </c>
      <c r="GX651" t="s">
        <v>110</v>
      </c>
      <c r="GY651">
        <v>6</v>
      </c>
      <c r="HC651">
        <v>1</v>
      </c>
    </row>
    <row r="652" spans="1:325" ht="20.25">
      <c r="DV652">
        <v>45</v>
      </c>
      <c r="DW652" t="s">
        <v>54</v>
      </c>
      <c r="DX652" s="8">
        <v>43920</v>
      </c>
      <c r="DY652">
        <v>2</v>
      </c>
      <c r="EA652">
        <v>0</v>
      </c>
      <c r="GV652" s="8">
        <v>43917</v>
      </c>
      <c r="GW652">
        <v>142</v>
      </c>
      <c r="GX652" t="s">
        <v>110</v>
      </c>
      <c r="GY652">
        <v>6</v>
      </c>
      <c r="HC652">
        <v>1</v>
      </c>
    </row>
    <row r="653" spans="1:325" ht="20.25">
      <c r="DV653">
        <v>45</v>
      </c>
      <c r="DW653" t="s">
        <v>54</v>
      </c>
      <c r="DX653" s="8">
        <v>43921</v>
      </c>
      <c r="DY653">
        <v>2</v>
      </c>
      <c r="EA653">
        <v>0</v>
      </c>
      <c r="GV653" s="8">
        <v>43918</v>
      </c>
      <c r="GW653">
        <v>142</v>
      </c>
      <c r="GX653" t="s">
        <v>110</v>
      </c>
      <c r="GY653">
        <v>6</v>
      </c>
      <c r="HC653">
        <v>1</v>
      </c>
    </row>
    <row r="654" spans="1:325" ht="20.25">
      <c r="DV654">
        <v>45</v>
      </c>
      <c r="DW654" t="s">
        <v>54</v>
      </c>
      <c r="DX654" s="8">
        <v>43922</v>
      </c>
      <c r="DY654">
        <v>2</v>
      </c>
      <c r="EA654">
        <v>0</v>
      </c>
      <c r="GV654" s="8">
        <v>43919</v>
      </c>
      <c r="GW654">
        <v>142</v>
      </c>
      <c r="GX654" t="s">
        <v>110</v>
      </c>
      <c r="GY654">
        <v>6</v>
      </c>
      <c r="HC654">
        <v>1</v>
      </c>
    </row>
    <row r="655" spans="1:325" ht="20.25">
      <c r="DV655">
        <v>45</v>
      </c>
      <c r="DW655" t="s">
        <v>54</v>
      </c>
      <c r="DX655" s="8">
        <v>43923</v>
      </c>
      <c r="DY655">
        <v>2</v>
      </c>
      <c r="EA655">
        <v>0</v>
      </c>
      <c r="GV655" s="8">
        <v>43920</v>
      </c>
      <c r="GW655">
        <v>142</v>
      </c>
      <c r="GX655" t="s">
        <v>110</v>
      </c>
      <c r="GY655">
        <v>6</v>
      </c>
      <c r="HC655">
        <v>1</v>
      </c>
    </row>
    <row r="656" spans="1:325" ht="20.25">
      <c r="DV656">
        <v>45</v>
      </c>
      <c r="DW656" t="s">
        <v>54</v>
      </c>
      <c r="DX656" s="8">
        <v>43924</v>
      </c>
      <c r="DY656">
        <v>3</v>
      </c>
      <c r="EA656">
        <v>0</v>
      </c>
      <c r="GV656" s="8">
        <v>43921</v>
      </c>
      <c r="GW656">
        <v>142</v>
      </c>
      <c r="GX656" t="s">
        <v>110</v>
      </c>
      <c r="GY656">
        <v>9</v>
      </c>
      <c r="HC656">
        <v>2</v>
      </c>
    </row>
    <row r="657" spans="1:325" ht="20.25">
      <c r="DV657">
        <v>45</v>
      </c>
      <c r="DW657" t="s">
        <v>54</v>
      </c>
      <c r="DX657" s="8">
        <v>43925</v>
      </c>
      <c r="DY657">
        <v>3</v>
      </c>
      <c r="EA657">
        <v>0</v>
      </c>
      <c r="GV657" s="8">
        <v>43922</v>
      </c>
      <c r="GW657">
        <v>142</v>
      </c>
      <c r="GX657" t="s">
        <v>110</v>
      </c>
      <c r="GY657">
        <v>9</v>
      </c>
      <c r="HC657">
        <v>2</v>
      </c>
    </row>
    <row r="658" spans="1:325" ht="20.25">
      <c r="DV658">
        <v>45</v>
      </c>
      <c r="DW658" t="s">
        <v>54</v>
      </c>
      <c r="DX658" s="8">
        <v>43926</v>
      </c>
      <c r="DY658">
        <v>3</v>
      </c>
      <c r="EA658">
        <v>0</v>
      </c>
      <c r="GV658" s="8">
        <v>43923</v>
      </c>
      <c r="GW658">
        <v>142</v>
      </c>
      <c r="GX658" t="s">
        <v>110</v>
      </c>
      <c r="GY658">
        <v>9</v>
      </c>
      <c r="HC658">
        <v>2</v>
      </c>
    </row>
    <row r="659" spans="1:325" ht="20.25">
      <c r="DV659">
        <v>45</v>
      </c>
      <c r="DW659" t="s">
        <v>54</v>
      </c>
      <c r="DX659" s="8">
        <v>43927</v>
      </c>
      <c r="DY659">
        <v>3</v>
      </c>
      <c r="EA659">
        <v>0</v>
      </c>
      <c r="GV659" s="8">
        <v>43924</v>
      </c>
      <c r="GW659">
        <v>142</v>
      </c>
      <c r="GX659" t="s">
        <v>110</v>
      </c>
      <c r="GY659">
        <v>10</v>
      </c>
      <c r="HC659">
        <v>2</v>
      </c>
    </row>
    <row r="660" spans="1:325" ht="20.25">
      <c r="DV660">
        <v>45</v>
      </c>
      <c r="DW660" t="s">
        <v>54</v>
      </c>
      <c r="DX660" s="8">
        <v>43928</v>
      </c>
      <c r="DY660">
        <v>5</v>
      </c>
      <c r="EA660">
        <v>0</v>
      </c>
      <c r="GV660" s="8">
        <v>43925</v>
      </c>
      <c r="GW660">
        <v>142</v>
      </c>
      <c r="GX660" t="s">
        <v>110</v>
      </c>
      <c r="GY660">
        <v>10</v>
      </c>
      <c r="HC660">
        <v>2</v>
      </c>
    </row>
    <row r="661" spans="1:325" ht="20.25">
      <c r="DV661">
        <v>45</v>
      </c>
      <c r="DW661" t="s">
        <v>54</v>
      </c>
      <c r="DX661" s="8">
        <v>43929</v>
      </c>
      <c r="DY661">
        <v>6</v>
      </c>
      <c r="EA661">
        <v>0</v>
      </c>
      <c r="GV661" s="8">
        <v>43926</v>
      </c>
      <c r="GW661">
        <v>142</v>
      </c>
      <c r="GX661" t="s">
        <v>110</v>
      </c>
      <c r="GY661">
        <v>11</v>
      </c>
      <c r="HC661">
        <v>2</v>
      </c>
    </row>
    <row r="662" spans="1:325" ht="20.25">
      <c r="DV662">
        <v>45</v>
      </c>
      <c r="DW662" t="s">
        <v>54</v>
      </c>
      <c r="DX662" s="8">
        <v>43930</v>
      </c>
      <c r="DY662">
        <v>8</v>
      </c>
      <c r="EA662">
        <v>0</v>
      </c>
      <c r="GV662" s="8">
        <v>43927</v>
      </c>
      <c r="GW662">
        <v>142</v>
      </c>
      <c r="GX662" t="s">
        <v>110</v>
      </c>
      <c r="GY662">
        <v>12</v>
      </c>
      <c r="HC662">
        <v>2</v>
      </c>
    </row>
    <row r="663" spans="1:325" ht="20.25">
      <c r="DV663">
        <v>45</v>
      </c>
      <c r="DW663" t="s">
        <v>54</v>
      </c>
      <c r="DX663" s="8">
        <v>43931</v>
      </c>
      <c r="DY663">
        <v>9</v>
      </c>
      <c r="EA663">
        <v>0</v>
      </c>
      <c r="GV663" s="8">
        <v>43928</v>
      </c>
      <c r="GW663">
        <v>142</v>
      </c>
      <c r="GX663" t="s">
        <v>110</v>
      </c>
      <c r="GY663">
        <v>13</v>
      </c>
      <c r="HC663">
        <v>2</v>
      </c>
    </row>
    <row r="664" spans="1:325" ht="20.25">
      <c r="DV664">
        <v>45</v>
      </c>
      <c r="DW664" t="s">
        <v>54</v>
      </c>
      <c r="DX664" s="8">
        <v>43932</v>
      </c>
      <c r="DY664">
        <v>10</v>
      </c>
      <c r="EA664">
        <v>0</v>
      </c>
      <c r="GV664" s="8">
        <v>43929</v>
      </c>
      <c r="GW664">
        <v>142</v>
      </c>
      <c r="GX664" t="s">
        <v>110</v>
      </c>
      <c r="GY664">
        <v>15</v>
      </c>
      <c r="HC664">
        <v>2</v>
      </c>
    </row>
    <row r="665" spans="1:325" ht="20.25">
      <c r="DV665">
        <v>45</v>
      </c>
      <c r="DW665" t="s">
        <v>54</v>
      </c>
      <c r="DX665" s="8">
        <v>43933</v>
      </c>
      <c r="DY665">
        <v>12</v>
      </c>
      <c r="EA665">
        <v>0</v>
      </c>
      <c r="GV665" s="8">
        <v>43930</v>
      </c>
      <c r="GW665">
        <v>142</v>
      </c>
      <c r="GX665" t="s">
        <v>110</v>
      </c>
      <c r="GY665">
        <v>17</v>
      </c>
      <c r="HC665">
        <v>2</v>
      </c>
    </row>
    <row r="666" spans="1:325" ht="20.25">
      <c r="DV666">
        <v>45</v>
      </c>
      <c r="DW666" t="s">
        <v>54</v>
      </c>
      <c r="DX666" s="8">
        <v>43934</v>
      </c>
      <c r="DY666">
        <v>14</v>
      </c>
      <c r="EA666">
        <v>0</v>
      </c>
      <c r="GV666" s="8">
        <v>43931</v>
      </c>
      <c r="GW666">
        <v>142</v>
      </c>
      <c r="GX666" t="s">
        <v>110</v>
      </c>
      <c r="GY666">
        <v>17</v>
      </c>
      <c r="HC666">
        <v>2</v>
      </c>
    </row>
    <row r="667" spans="1:325" ht="20.25">
      <c r="DV667">
        <v>45</v>
      </c>
      <c r="DW667" t="s">
        <v>54</v>
      </c>
      <c r="DX667" s="8">
        <v>43935</v>
      </c>
      <c r="DY667">
        <v>14</v>
      </c>
      <c r="EA667">
        <v>0</v>
      </c>
      <c r="GV667" s="8">
        <v>43932</v>
      </c>
      <c r="GW667">
        <v>142</v>
      </c>
      <c r="GX667" t="s">
        <v>110</v>
      </c>
      <c r="GY667">
        <v>20</v>
      </c>
      <c r="HC667">
        <v>2</v>
      </c>
    </row>
    <row r="668" spans="1:325" ht="20.25">
      <c r="DV668">
        <v>45</v>
      </c>
      <c r="DW668" t="s">
        <v>54</v>
      </c>
      <c r="DX668" s="8">
        <v>43936</v>
      </c>
      <c r="DY668">
        <v>13</v>
      </c>
      <c r="EA668">
        <v>0</v>
      </c>
      <c r="GV668" s="8">
        <v>43933</v>
      </c>
      <c r="GW668">
        <v>142</v>
      </c>
      <c r="GX668" t="s">
        <v>110</v>
      </c>
      <c r="GY668">
        <v>21</v>
      </c>
      <c r="HC668">
        <v>2</v>
      </c>
    </row>
    <row r="669" spans="1:325" ht="20.25">
      <c r="DV669">
        <v>45</v>
      </c>
      <c r="DW669" t="s">
        <v>54</v>
      </c>
      <c r="DX669" s="8">
        <v>43937</v>
      </c>
      <c r="DY669">
        <v>15</v>
      </c>
      <c r="DZ669">
        <v>80</v>
      </c>
      <c r="EA669">
        <v>0</v>
      </c>
      <c r="GV669" s="8">
        <v>43934</v>
      </c>
      <c r="GW669">
        <v>142</v>
      </c>
      <c r="GX669" t="s">
        <v>110</v>
      </c>
      <c r="GY669">
        <v>24</v>
      </c>
      <c r="HC669">
        <v>2</v>
      </c>
    </row>
    <row r="670" spans="1:325" ht="20.25">
      <c r="DV670">
        <v>45</v>
      </c>
      <c r="DW670" t="s">
        <v>54</v>
      </c>
      <c r="DX670" s="8">
        <v>43938</v>
      </c>
      <c r="DY670">
        <v>17</v>
      </c>
      <c r="DZ670">
        <v>91</v>
      </c>
      <c r="EA670">
        <v>0</v>
      </c>
      <c r="GV670" s="8">
        <v>43935</v>
      </c>
      <c r="GW670">
        <v>142</v>
      </c>
      <c r="GX670" t="s">
        <v>110</v>
      </c>
      <c r="GY670">
        <v>24</v>
      </c>
      <c r="HC670">
        <v>2</v>
      </c>
    </row>
    <row r="671" spans="1:325" ht="20.25">
      <c r="DV671">
        <v>45</v>
      </c>
      <c r="DW671" t="s">
        <v>54</v>
      </c>
      <c r="DX671" s="8">
        <v>43939</v>
      </c>
      <c r="DY671">
        <v>18</v>
      </c>
      <c r="DZ671">
        <v>97</v>
      </c>
      <c r="EA671">
        <v>0</v>
      </c>
      <c r="GV671" s="8">
        <v>43936</v>
      </c>
      <c r="GW671">
        <v>142</v>
      </c>
      <c r="GX671" t="s">
        <v>110</v>
      </c>
      <c r="GY671">
        <v>22</v>
      </c>
      <c r="HC671">
        <v>1</v>
      </c>
    </row>
    <row r="672" spans="1:325" ht="20.25">
      <c r="DV672">
        <v>45</v>
      </c>
      <c r="DW672" t="s">
        <v>54</v>
      </c>
      <c r="DX672" s="8">
        <v>43940</v>
      </c>
      <c r="DY672">
        <v>21</v>
      </c>
      <c r="DZ672">
        <v>113</v>
      </c>
      <c r="EA672">
        <v>0</v>
      </c>
      <c r="GV672" s="8">
        <v>43937</v>
      </c>
      <c r="GW672">
        <v>142</v>
      </c>
      <c r="GX672" t="s">
        <v>110</v>
      </c>
      <c r="GY672">
        <v>23</v>
      </c>
      <c r="HB672">
        <v>157</v>
      </c>
      <c r="HC672">
        <v>1</v>
      </c>
    </row>
    <row r="673" spans="1:325" ht="20.25">
      <c r="DV673">
        <v>45</v>
      </c>
      <c r="DW673" t="s">
        <v>54</v>
      </c>
      <c r="DX673" s="8">
        <v>43941</v>
      </c>
      <c r="DY673">
        <v>24</v>
      </c>
      <c r="DZ673">
        <v>129</v>
      </c>
      <c r="EA673">
        <v>0</v>
      </c>
      <c r="GV673" s="8">
        <v>43938</v>
      </c>
      <c r="GW673">
        <v>142</v>
      </c>
      <c r="GX673" t="s">
        <v>110</v>
      </c>
      <c r="GY673">
        <v>24</v>
      </c>
      <c r="HB673">
        <v>164</v>
      </c>
      <c r="HC673">
        <v>1</v>
      </c>
    </row>
    <row r="674" spans="1:325" ht="20.25">
      <c r="DV674">
        <v>45</v>
      </c>
      <c r="DW674" t="s">
        <v>54</v>
      </c>
      <c r="DX674" s="8">
        <v>43942</v>
      </c>
      <c r="DY674">
        <v>24</v>
      </c>
      <c r="DZ674">
        <v>129</v>
      </c>
      <c r="EA674">
        <v>0</v>
      </c>
      <c r="GV674" s="8">
        <v>43939</v>
      </c>
      <c r="GW674">
        <v>142</v>
      </c>
      <c r="GX674" t="s">
        <v>110</v>
      </c>
      <c r="GY674">
        <v>24</v>
      </c>
      <c r="HB674">
        <v>164</v>
      </c>
      <c r="HC674">
        <v>1</v>
      </c>
    </row>
    <row r="675" spans="1:325" ht="20.25">
      <c r="DV675">
        <v>45</v>
      </c>
      <c r="DW675" t="s">
        <v>54</v>
      </c>
      <c r="DX675" s="8">
        <v>43943</v>
      </c>
      <c r="DY675">
        <v>35</v>
      </c>
      <c r="DZ675">
        <v>188</v>
      </c>
      <c r="EA675">
        <v>0</v>
      </c>
      <c r="GV675" s="8">
        <v>43940</v>
      </c>
      <c r="GW675">
        <v>142</v>
      </c>
      <c r="GX675" t="s">
        <v>110</v>
      </c>
      <c r="GY675">
        <v>24</v>
      </c>
      <c r="HB675">
        <v>164</v>
      </c>
      <c r="HC675">
        <v>1</v>
      </c>
    </row>
    <row r="676" spans="1:325" ht="20.25">
      <c r="DV676">
        <v>45</v>
      </c>
      <c r="DW676" t="s">
        <v>54</v>
      </c>
      <c r="DX676" s="8">
        <v>43944</v>
      </c>
      <c r="DY676">
        <v>37</v>
      </c>
      <c r="DZ676">
        <v>198</v>
      </c>
      <c r="EA676">
        <v>0</v>
      </c>
      <c r="GV676" s="8">
        <v>43941</v>
      </c>
      <c r="GW676">
        <v>142</v>
      </c>
      <c r="GX676" t="s">
        <v>110</v>
      </c>
      <c r="GY676">
        <v>26</v>
      </c>
      <c r="HB676">
        <v>177</v>
      </c>
      <c r="HC676">
        <v>1</v>
      </c>
    </row>
    <row r="677" spans="1:325" ht="20.25">
      <c r="DV677">
        <v>45</v>
      </c>
      <c r="DW677" t="s">
        <v>54</v>
      </c>
      <c r="DX677" s="8">
        <v>43945</v>
      </c>
      <c r="DY677">
        <v>43</v>
      </c>
      <c r="DZ677">
        <v>231</v>
      </c>
      <c r="EA677">
        <v>1</v>
      </c>
      <c r="GV677" s="8">
        <v>43942</v>
      </c>
      <c r="GW677">
        <v>142</v>
      </c>
      <c r="GX677" t="s">
        <v>110</v>
      </c>
      <c r="GY677">
        <v>26</v>
      </c>
      <c r="HB677">
        <v>177</v>
      </c>
      <c r="HC677">
        <v>1</v>
      </c>
    </row>
    <row r="678" spans="1:325" ht="20.25">
      <c r="DV678">
        <v>45</v>
      </c>
      <c r="DW678" t="s">
        <v>54</v>
      </c>
      <c r="DX678" s="8">
        <v>43946</v>
      </c>
      <c r="DY678">
        <v>46</v>
      </c>
      <c r="DZ678">
        <v>247</v>
      </c>
      <c r="EA678">
        <v>1</v>
      </c>
      <c r="GV678" s="8">
        <v>43943</v>
      </c>
      <c r="GW678">
        <v>142</v>
      </c>
      <c r="GX678" t="s">
        <v>110</v>
      </c>
      <c r="GY678">
        <v>29</v>
      </c>
      <c r="HB678">
        <v>198</v>
      </c>
      <c r="HC678">
        <v>1</v>
      </c>
    </row>
    <row r="679" spans="1:325" ht="20.25">
      <c r="DV679">
        <v>45</v>
      </c>
      <c r="DW679" t="s">
        <v>54</v>
      </c>
      <c r="DX679" s="8">
        <v>43947</v>
      </c>
      <c r="DY679">
        <v>51</v>
      </c>
      <c r="DZ679">
        <v>274</v>
      </c>
      <c r="EA679">
        <v>1</v>
      </c>
      <c r="GV679" s="8">
        <v>43944</v>
      </c>
      <c r="GW679">
        <v>142</v>
      </c>
      <c r="GX679" t="s">
        <v>110</v>
      </c>
      <c r="GY679">
        <v>33</v>
      </c>
      <c r="HB679">
        <v>225</v>
      </c>
      <c r="HC679">
        <v>1</v>
      </c>
    </row>
    <row r="680" spans="1:325" ht="20.25">
      <c r="DV680">
        <v>45</v>
      </c>
      <c r="DW680" t="s">
        <v>54</v>
      </c>
      <c r="DX680" s="8">
        <v>43948</v>
      </c>
      <c r="DY680">
        <v>54</v>
      </c>
      <c r="DZ680">
        <v>290</v>
      </c>
      <c r="EA680">
        <v>2</v>
      </c>
      <c r="GV680" s="8">
        <v>43945</v>
      </c>
      <c r="GW680">
        <v>142</v>
      </c>
      <c r="GX680" t="s">
        <v>110</v>
      </c>
      <c r="GY680">
        <v>35</v>
      </c>
      <c r="HB680">
        <v>239</v>
      </c>
      <c r="HC680">
        <v>1</v>
      </c>
    </row>
    <row r="681" spans="1:325" ht="20.25">
      <c r="DV681">
        <v>45</v>
      </c>
      <c r="DW681" t="s">
        <v>54</v>
      </c>
      <c r="DX681" s="8">
        <v>43949</v>
      </c>
      <c r="DY681">
        <v>56</v>
      </c>
      <c r="DZ681">
        <v>300</v>
      </c>
      <c r="EA681">
        <v>3</v>
      </c>
      <c r="GV681" s="8">
        <v>43946</v>
      </c>
      <c r="GW681">
        <v>142</v>
      </c>
      <c r="GX681" t="s">
        <v>110</v>
      </c>
      <c r="GY681">
        <v>36</v>
      </c>
      <c r="HB681">
        <v>246</v>
      </c>
      <c r="HC681">
        <v>1</v>
      </c>
    </row>
    <row r="682" spans="1:325" ht="20.25">
      <c r="DV682">
        <v>45</v>
      </c>
      <c r="DW682" t="s">
        <v>54</v>
      </c>
      <c r="DX682" s="8">
        <v>43950</v>
      </c>
      <c r="DY682">
        <v>62</v>
      </c>
      <c r="DZ682">
        <v>333</v>
      </c>
      <c r="EA682">
        <v>4</v>
      </c>
      <c r="GV682" s="8">
        <v>43947</v>
      </c>
      <c r="GW682">
        <v>142</v>
      </c>
      <c r="GX682" t="s">
        <v>110</v>
      </c>
      <c r="GY682">
        <v>36</v>
      </c>
      <c r="HB682">
        <v>246</v>
      </c>
      <c r="HC682">
        <v>1</v>
      </c>
    </row>
    <row r="683" spans="1:325" ht="20.25">
      <c r="DV683">
        <v>45</v>
      </c>
      <c r="DW683" t="s">
        <v>54</v>
      </c>
      <c r="DX683" s="8">
        <v>43951</v>
      </c>
      <c r="DY683">
        <v>69</v>
      </c>
      <c r="DZ683">
        <v>370</v>
      </c>
      <c r="EA683">
        <v>4</v>
      </c>
      <c r="GV683" s="8">
        <v>43948</v>
      </c>
      <c r="GW683">
        <v>142</v>
      </c>
      <c r="GX683" t="s">
        <v>110</v>
      </c>
      <c r="GY683">
        <v>36</v>
      </c>
      <c r="HB683">
        <v>246</v>
      </c>
      <c r="HC683">
        <v>1</v>
      </c>
    </row>
    <row r="684" spans="1:325" ht="20.25">
      <c r="DV684">
        <v>45</v>
      </c>
      <c r="DW684" t="s">
        <v>54</v>
      </c>
      <c r="DX684" s="8">
        <v>43952</v>
      </c>
      <c r="DY684">
        <v>75</v>
      </c>
      <c r="DZ684">
        <v>402</v>
      </c>
      <c r="EA684">
        <v>7</v>
      </c>
      <c r="GV684" s="8">
        <v>43949</v>
      </c>
      <c r="GW684">
        <v>142</v>
      </c>
      <c r="GX684" t="s">
        <v>110</v>
      </c>
      <c r="GY684">
        <v>36</v>
      </c>
      <c r="HB684">
        <v>246</v>
      </c>
      <c r="HC684">
        <v>1</v>
      </c>
    </row>
    <row r="685" spans="1:325" ht="20.25">
      <c r="DV685">
        <v>45</v>
      </c>
      <c r="DW685" t="s">
        <v>54</v>
      </c>
      <c r="DX685" s="8">
        <v>43953</v>
      </c>
      <c r="DY685">
        <v>77</v>
      </c>
      <c r="DZ685">
        <v>413</v>
      </c>
      <c r="EA685">
        <v>7</v>
      </c>
      <c r="GV685" s="8">
        <v>43950</v>
      </c>
      <c r="GW685">
        <v>142</v>
      </c>
      <c r="GX685" t="s">
        <v>110</v>
      </c>
      <c r="GY685">
        <v>36</v>
      </c>
      <c r="HB685">
        <v>246</v>
      </c>
      <c r="HC685">
        <v>1</v>
      </c>
    </row>
    <row r="686" spans="1:325" ht="20.25">
      <c r="DV686">
        <v>45</v>
      </c>
      <c r="DW686" t="s">
        <v>54</v>
      </c>
      <c r="DX686" s="8">
        <v>43954</v>
      </c>
      <c r="DY686">
        <v>82</v>
      </c>
      <c r="DZ686">
        <v>440</v>
      </c>
      <c r="EA686">
        <v>8</v>
      </c>
      <c r="GV686" s="8">
        <v>43951</v>
      </c>
      <c r="GW686">
        <v>142</v>
      </c>
      <c r="GX686" t="s">
        <v>110</v>
      </c>
      <c r="GY686">
        <v>36</v>
      </c>
      <c r="HB686">
        <v>246</v>
      </c>
      <c r="HC686">
        <v>1</v>
      </c>
    </row>
    <row r="687" spans="1:325" ht="20.25">
      <c r="DV687">
        <v>45</v>
      </c>
      <c r="DW687" t="s">
        <v>54</v>
      </c>
      <c r="DX687" s="8">
        <v>43955</v>
      </c>
      <c r="DY687">
        <v>90</v>
      </c>
      <c r="DZ687">
        <v>483</v>
      </c>
      <c r="EA687">
        <v>8</v>
      </c>
      <c r="GV687" s="8">
        <v>43952</v>
      </c>
      <c r="GW687">
        <v>142</v>
      </c>
      <c r="GX687" t="s">
        <v>110</v>
      </c>
      <c r="GY687">
        <v>35</v>
      </c>
      <c r="HB687">
        <v>239</v>
      </c>
      <c r="HC687">
        <v>1</v>
      </c>
    </row>
    <row r="688" spans="1:325" ht="20.25">
      <c r="DV688">
        <v>45</v>
      </c>
      <c r="DW688" t="s">
        <v>54</v>
      </c>
      <c r="DX688" s="8">
        <v>43956</v>
      </c>
      <c r="DY688">
        <v>94</v>
      </c>
      <c r="DZ688">
        <v>504</v>
      </c>
      <c r="EA688">
        <v>8</v>
      </c>
      <c r="GV688" s="8">
        <v>43953</v>
      </c>
      <c r="GW688">
        <v>142</v>
      </c>
      <c r="GX688" t="s">
        <v>110</v>
      </c>
      <c r="GY688">
        <v>36</v>
      </c>
      <c r="HB688">
        <v>246</v>
      </c>
      <c r="HC688">
        <v>1</v>
      </c>
    </row>
    <row r="689" spans="1:325" ht="20.25">
      <c r="DV689">
        <v>45</v>
      </c>
      <c r="DW689" t="s">
        <v>54</v>
      </c>
      <c r="DX689" s="8">
        <v>43957</v>
      </c>
      <c r="DY689">
        <v>109</v>
      </c>
      <c r="DZ689">
        <v>585</v>
      </c>
      <c r="EA689">
        <v>8</v>
      </c>
      <c r="GV689" s="8">
        <v>43954</v>
      </c>
      <c r="GW689">
        <v>142</v>
      </c>
      <c r="GX689" t="s">
        <v>110</v>
      </c>
      <c r="GY689">
        <v>36</v>
      </c>
      <c r="HB689">
        <v>246</v>
      </c>
      <c r="HC689">
        <v>2</v>
      </c>
    </row>
    <row r="690" spans="1:325" ht="20.25">
      <c r="DV690">
        <v>45</v>
      </c>
      <c r="DW690" t="s">
        <v>54</v>
      </c>
      <c r="DX690" s="8">
        <v>43958</v>
      </c>
      <c r="DY690">
        <v>109</v>
      </c>
      <c r="DZ690">
        <v>585</v>
      </c>
      <c r="EA690">
        <v>9</v>
      </c>
      <c r="GV690" s="8">
        <v>43955</v>
      </c>
      <c r="GW690">
        <v>142</v>
      </c>
      <c r="GX690" t="s">
        <v>110</v>
      </c>
      <c r="GY690">
        <v>37</v>
      </c>
      <c r="HB690">
        <v>252</v>
      </c>
      <c r="HC690">
        <v>3</v>
      </c>
    </row>
    <row r="691" spans="1:325" ht="20.25">
      <c r="DV691">
        <v>45</v>
      </c>
      <c r="DW691" t="s">
        <v>54</v>
      </c>
      <c r="DX691" s="8">
        <v>43959</v>
      </c>
      <c r="DY691">
        <v>113</v>
      </c>
      <c r="DZ691">
        <v>606</v>
      </c>
      <c r="EA691">
        <v>11</v>
      </c>
      <c r="GV691" s="8">
        <v>43956</v>
      </c>
      <c r="GW691">
        <v>142</v>
      </c>
      <c r="GX691" t="s">
        <v>110</v>
      </c>
      <c r="GY691">
        <v>36</v>
      </c>
      <c r="HB691">
        <v>246</v>
      </c>
      <c r="HC691">
        <v>2</v>
      </c>
    </row>
    <row r="692" spans="1:325" ht="20.25">
      <c r="DV692">
        <v>45</v>
      </c>
      <c r="DW692" t="s">
        <v>54</v>
      </c>
      <c r="DX692" s="8">
        <v>43960</v>
      </c>
      <c r="DY692">
        <v>114</v>
      </c>
      <c r="DZ692">
        <v>611</v>
      </c>
      <c r="EA692">
        <v>11</v>
      </c>
      <c r="GV692" s="8">
        <v>43957</v>
      </c>
      <c r="GW692">
        <v>142</v>
      </c>
      <c r="GX692" t="s">
        <v>110</v>
      </c>
      <c r="GY692">
        <v>37</v>
      </c>
      <c r="HB692">
        <v>252</v>
      </c>
      <c r="HC692">
        <v>3</v>
      </c>
    </row>
    <row r="693" spans="1:325" ht="20.25">
      <c r="DV693">
        <v>45</v>
      </c>
      <c r="DW693" t="s">
        <v>54</v>
      </c>
      <c r="DX693" s="8">
        <v>43961</v>
      </c>
      <c r="DY693">
        <v>114</v>
      </c>
      <c r="DZ693">
        <v>611</v>
      </c>
      <c r="EA693">
        <v>12</v>
      </c>
      <c r="GV693" s="8">
        <v>43958</v>
      </c>
      <c r="GW693">
        <v>142</v>
      </c>
      <c r="GX693" t="s">
        <v>110</v>
      </c>
      <c r="GY693">
        <v>38</v>
      </c>
      <c r="HB693">
        <v>259</v>
      </c>
      <c r="HC693">
        <v>3</v>
      </c>
    </row>
    <row r="694" spans="1:325" ht="20.25">
      <c r="DV694">
        <v>45</v>
      </c>
      <c r="DW694" t="s">
        <v>54</v>
      </c>
      <c r="DX694" s="8">
        <v>43962</v>
      </c>
      <c r="DY694">
        <v>113</v>
      </c>
      <c r="DZ694">
        <v>606</v>
      </c>
      <c r="EA694">
        <v>13</v>
      </c>
      <c r="GV694" s="8">
        <v>43959</v>
      </c>
      <c r="GW694">
        <v>142</v>
      </c>
      <c r="GX694" t="s">
        <v>110</v>
      </c>
      <c r="GY694">
        <v>38</v>
      </c>
      <c r="HB694">
        <v>259</v>
      </c>
      <c r="HC694">
        <v>3</v>
      </c>
    </row>
    <row r="695" spans="1:325" ht="20.25">
      <c r="DV695">
        <v>45</v>
      </c>
      <c r="DW695" t="s">
        <v>54</v>
      </c>
      <c r="DX695" s="8">
        <v>43963</v>
      </c>
      <c r="DY695">
        <v>113</v>
      </c>
      <c r="DZ695">
        <v>606</v>
      </c>
      <c r="EA695">
        <v>14</v>
      </c>
      <c r="GV695" s="8">
        <v>43960</v>
      </c>
      <c r="GW695">
        <v>142</v>
      </c>
      <c r="GX695" t="s">
        <v>110</v>
      </c>
      <c r="GY695">
        <v>39</v>
      </c>
      <c r="HB695">
        <v>266</v>
      </c>
      <c r="HC695">
        <v>3</v>
      </c>
    </row>
    <row r="696" spans="1:325" ht="20.25">
      <c r="DV696">
        <v>45</v>
      </c>
      <c r="DW696" t="s">
        <v>54</v>
      </c>
      <c r="DX696" s="8">
        <v>43964</v>
      </c>
      <c r="DY696">
        <v>116</v>
      </c>
      <c r="DZ696">
        <v>622</v>
      </c>
      <c r="EA696">
        <v>15</v>
      </c>
      <c r="GV696" s="8">
        <v>43961</v>
      </c>
      <c r="GW696">
        <v>142</v>
      </c>
      <c r="GX696" t="s">
        <v>110</v>
      </c>
      <c r="GY696">
        <v>39</v>
      </c>
      <c r="HB696">
        <v>266</v>
      </c>
      <c r="HC696">
        <v>3</v>
      </c>
    </row>
    <row r="697" spans="1:325" ht="20.25">
      <c r="DV697">
        <v>45</v>
      </c>
      <c r="DW697" t="s">
        <v>54</v>
      </c>
      <c r="DX697" s="8">
        <v>43965</v>
      </c>
      <c r="DY697">
        <v>119</v>
      </c>
      <c r="DZ697">
        <v>638</v>
      </c>
      <c r="EA697">
        <v>16</v>
      </c>
      <c r="GV697" s="8">
        <v>43962</v>
      </c>
      <c r="GW697">
        <v>142</v>
      </c>
      <c r="GX697" t="s">
        <v>110</v>
      </c>
      <c r="GY697">
        <v>39</v>
      </c>
      <c r="HB697">
        <v>266</v>
      </c>
      <c r="HC697">
        <v>3</v>
      </c>
    </row>
    <row r="698" spans="1:325" ht="20.25">
      <c r="DV698">
        <v>45</v>
      </c>
      <c r="DW698" t="s">
        <v>54</v>
      </c>
      <c r="DX698" s="8">
        <v>43966</v>
      </c>
      <c r="DY698">
        <v>122</v>
      </c>
      <c r="DZ698">
        <v>654</v>
      </c>
      <c r="EA698">
        <v>17</v>
      </c>
      <c r="GV698" s="8">
        <v>43963</v>
      </c>
      <c r="GW698">
        <v>142</v>
      </c>
      <c r="GX698" t="s">
        <v>110</v>
      </c>
      <c r="GY698">
        <v>41</v>
      </c>
      <c r="HB698">
        <v>280</v>
      </c>
      <c r="HC698">
        <v>3</v>
      </c>
    </row>
    <row r="699" spans="1:325" ht="20.25">
      <c r="DV699">
        <v>47</v>
      </c>
      <c r="DW699" t="s">
        <v>56</v>
      </c>
      <c r="DX699" s="8">
        <v>43914</v>
      </c>
      <c r="DY699">
        <v>0</v>
      </c>
      <c r="EA699">
        <v>0</v>
      </c>
      <c r="GV699" s="8">
        <v>43964</v>
      </c>
      <c r="GW699">
        <v>142</v>
      </c>
      <c r="GX699" t="s">
        <v>110</v>
      </c>
      <c r="GY699">
        <v>44</v>
      </c>
      <c r="HB699">
        <v>300</v>
      </c>
      <c r="HC699">
        <v>4</v>
      </c>
    </row>
    <row r="700" spans="1:325" ht="20.25">
      <c r="DV700">
        <v>47</v>
      </c>
      <c r="DW700" t="s">
        <v>56</v>
      </c>
      <c r="DX700" s="8">
        <v>43915</v>
      </c>
      <c r="DY700">
        <v>0</v>
      </c>
      <c r="EA700">
        <v>0</v>
      </c>
      <c r="GV700" s="8">
        <v>43965</v>
      </c>
      <c r="GW700">
        <v>142</v>
      </c>
      <c r="GX700" t="s">
        <v>110</v>
      </c>
      <c r="GY700">
        <v>45</v>
      </c>
      <c r="HB700">
        <v>307</v>
      </c>
      <c r="HC700">
        <v>4</v>
      </c>
    </row>
    <row r="701" spans="1:325" ht="20.25">
      <c r="DV701">
        <v>47</v>
      </c>
      <c r="DW701" t="s">
        <v>56</v>
      </c>
      <c r="DX701" s="8">
        <v>43916</v>
      </c>
      <c r="DY701">
        <v>0</v>
      </c>
      <c r="EA701">
        <v>0</v>
      </c>
      <c r="GV701" s="8">
        <v>43966</v>
      </c>
      <c r="GW701">
        <v>142</v>
      </c>
      <c r="GX701" t="s">
        <v>110</v>
      </c>
      <c r="GY701">
        <v>45</v>
      </c>
      <c r="HB701">
        <v>307</v>
      </c>
      <c r="HC701">
        <v>4</v>
      </c>
    </row>
    <row r="702" spans="1:325" ht="20.25">
      <c r="DV702">
        <v>47</v>
      </c>
      <c r="DW702" t="s">
        <v>56</v>
      </c>
      <c r="DX702" s="8">
        <v>43917</v>
      </c>
      <c r="DY702">
        <v>0</v>
      </c>
      <c r="EA702">
        <v>0</v>
      </c>
      <c r="GV702" s="8">
        <v>43967</v>
      </c>
      <c r="GW702">
        <v>142</v>
      </c>
      <c r="GX702" t="s">
        <v>110</v>
      </c>
      <c r="GY702">
        <v>45</v>
      </c>
      <c r="HB702">
        <v>307</v>
      </c>
      <c r="HC702">
        <v>4</v>
      </c>
      <c r="HF702">
        <v>231</v>
      </c>
    </row>
    <row r="703" spans="1:325" ht="20.25">
      <c r="DV703">
        <v>47</v>
      </c>
      <c r="DW703" t="s">
        <v>56</v>
      </c>
      <c r="DX703" s="8">
        <v>43918</v>
      </c>
      <c r="DY703">
        <v>0</v>
      </c>
      <c r="EA703">
        <v>0</v>
      </c>
      <c r="GV703" s="8">
        <v>43968</v>
      </c>
      <c r="GW703">
        <v>142</v>
      </c>
      <c r="GX703" t="s">
        <v>110</v>
      </c>
      <c r="GY703">
        <v>46</v>
      </c>
      <c r="HB703">
        <v>314</v>
      </c>
      <c r="HC703">
        <v>4</v>
      </c>
      <c r="HF703">
        <v>250</v>
      </c>
    </row>
    <row r="704" spans="1:325" ht="20.25">
      <c r="DV704">
        <v>47</v>
      </c>
      <c r="DW704" t="s">
        <v>56</v>
      </c>
      <c r="DX704" s="8">
        <v>43919</v>
      </c>
      <c r="DY704">
        <v>0</v>
      </c>
      <c r="EA704">
        <v>0</v>
      </c>
      <c r="GV704" s="8">
        <v>43969</v>
      </c>
      <c r="GW704">
        <v>142</v>
      </c>
      <c r="GX704" t="s">
        <v>110</v>
      </c>
      <c r="GY704">
        <v>47</v>
      </c>
      <c r="HB704">
        <v>321</v>
      </c>
      <c r="HC704">
        <v>4</v>
      </c>
      <c r="HF704">
        <v>259</v>
      </c>
    </row>
    <row r="705" spans="1:325" ht="20.25">
      <c r="DV705">
        <v>47</v>
      </c>
      <c r="DW705" t="s">
        <v>56</v>
      </c>
      <c r="DX705" s="8">
        <v>43920</v>
      </c>
      <c r="DY705">
        <v>0</v>
      </c>
      <c r="EA705">
        <v>0</v>
      </c>
      <c r="GV705" s="8">
        <v>43970</v>
      </c>
      <c r="GW705">
        <v>142</v>
      </c>
      <c r="GX705" t="s">
        <v>110</v>
      </c>
      <c r="GY705">
        <v>47</v>
      </c>
      <c r="HB705">
        <v>321</v>
      </c>
      <c r="HC705">
        <v>4</v>
      </c>
      <c r="HF705">
        <v>287</v>
      </c>
    </row>
    <row r="706" spans="1:325" ht="20.25">
      <c r="DV706">
        <v>47</v>
      </c>
      <c r="DW706" t="s">
        <v>56</v>
      </c>
      <c r="DX706" s="8">
        <v>43921</v>
      </c>
      <c r="DY706">
        <v>2</v>
      </c>
      <c r="EA706">
        <v>0</v>
      </c>
      <c r="GV706" s="8">
        <v>43971</v>
      </c>
      <c r="GW706">
        <v>142</v>
      </c>
      <c r="GX706" t="s">
        <v>110</v>
      </c>
      <c r="GY706">
        <v>47</v>
      </c>
      <c r="HB706">
        <v>321</v>
      </c>
      <c r="HC706">
        <v>4</v>
      </c>
      <c r="HF706">
        <v>286</v>
      </c>
      <c r="HG706">
        <v>1952</v>
      </c>
    </row>
    <row r="707" spans="1:325" ht="20.25">
      <c r="DV707">
        <v>47</v>
      </c>
      <c r="DW707" t="s">
        <v>56</v>
      </c>
      <c r="DX707" s="8">
        <v>43922</v>
      </c>
      <c r="DY707">
        <v>2</v>
      </c>
      <c r="EA707">
        <v>0</v>
      </c>
      <c r="GV707" s="8">
        <v>43972</v>
      </c>
      <c r="GW707">
        <v>142</v>
      </c>
      <c r="GX707" t="s">
        <v>110</v>
      </c>
      <c r="GY707">
        <v>47</v>
      </c>
      <c r="HB707">
        <v>321</v>
      </c>
      <c r="HC707">
        <v>4</v>
      </c>
      <c r="HF707">
        <v>292</v>
      </c>
      <c r="HG707">
        <v>1992</v>
      </c>
    </row>
    <row r="708" spans="1:325" ht="20.25">
      <c r="DV708">
        <v>47</v>
      </c>
      <c r="DW708" t="s">
        <v>56</v>
      </c>
      <c r="DX708" s="8">
        <v>43923</v>
      </c>
      <c r="DY708">
        <v>2</v>
      </c>
      <c r="EA708">
        <v>0</v>
      </c>
      <c r="GV708" s="8">
        <v>43973</v>
      </c>
      <c r="GW708">
        <v>142</v>
      </c>
      <c r="GX708" t="s">
        <v>110</v>
      </c>
      <c r="GY708">
        <v>47</v>
      </c>
      <c r="HB708">
        <v>321</v>
      </c>
      <c r="HC708">
        <v>4</v>
      </c>
      <c r="HF708">
        <v>301</v>
      </c>
      <c r="HG708">
        <v>2054</v>
      </c>
    </row>
    <row r="709" spans="1:325" ht="20.25">
      <c r="DV709">
        <v>47</v>
      </c>
      <c r="DW709" t="s">
        <v>56</v>
      </c>
      <c r="DX709" s="8">
        <v>43924</v>
      </c>
      <c r="DY709">
        <v>3</v>
      </c>
      <c r="EA709">
        <v>0</v>
      </c>
      <c r="GV709" s="8">
        <v>43974</v>
      </c>
      <c r="GW709">
        <v>142</v>
      </c>
      <c r="GX709" t="s">
        <v>110</v>
      </c>
      <c r="GY709">
        <v>47</v>
      </c>
      <c r="HB709">
        <v>321</v>
      </c>
      <c r="HC709">
        <v>4</v>
      </c>
      <c r="HF709">
        <v>308</v>
      </c>
      <c r="HG709">
        <v>2102</v>
      </c>
    </row>
    <row r="710" spans="1:325" ht="20.25">
      <c r="DV710">
        <v>47</v>
      </c>
      <c r="DW710" t="s">
        <v>56</v>
      </c>
      <c r="DX710" s="8">
        <v>43925</v>
      </c>
      <c r="DY710">
        <v>4</v>
      </c>
      <c r="EA710">
        <v>0</v>
      </c>
      <c r="GV710" s="8">
        <v>43975</v>
      </c>
      <c r="GW710">
        <v>142</v>
      </c>
      <c r="GX710" t="s">
        <v>110</v>
      </c>
      <c r="GY710">
        <v>47</v>
      </c>
      <c r="HB710">
        <v>321</v>
      </c>
      <c r="HC710">
        <v>4</v>
      </c>
      <c r="HF710">
        <v>324</v>
      </c>
      <c r="HG710">
        <v>2211</v>
      </c>
    </row>
    <row r="711" spans="1:325" ht="20.25">
      <c r="DV711">
        <v>47</v>
      </c>
      <c r="DW711" t="s">
        <v>56</v>
      </c>
      <c r="DX711" s="8">
        <v>43926</v>
      </c>
      <c r="DY711">
        <v>4</v>
      </c>
      <c r="EA711">
        <v>0</v>
      </c>
      <c r="GV711" s="8">
        <v>43976</v>
      </c>
      <c r="GW711">
        <v>142</v>
      </c>
      <c r="GX711" t="s">
        <v>110</v>
      </c>
      <c r="GY711">
        <v>47</v>
      </c>
      <c r="HB711">
        <v>321</v>
      </c>
      <c r="HC711">
        <v>4</v>
      </c>
      <c r="HF711">
        <v>328</v>
      </c>
      <c r="HG711">
        <v>2238</v>
      </c>
    </row>
    <row r="712" spans="1:325" ht="20.25">
      <c r="DV712">
        <v>47</v>
      </c>
      <c r="DW712" t="s">
        <v>56</v>
      </c>
      <c r="DX712" s="8">
        <v>43927</v>
      </c>
      <c r="DY712">
        <v>4</v>
      </c>
      <c r="EA712">
        <v>0</v>
      </c>
      <c r="GV712" s="8">
        <v>43977</v>
      </c>
      <c r="GW712">
        <v>142</v>
      </c>
      <c r="GX712" t="s">
        <v>110</v>
      </c>
      <c r="GY712">
        <v>47</v>
      </c>
      <c r="HB712">
        <v>321</v>
      </c>
      <c r="HC712">
        <v>4</v>
      </c>
      <c r="HF712">
        <v>339</v>
      </c>
      <c r="HG712">
        <v>2313</v>
      </c>
    </row>
    <row r="713" spans="1:325" ht="20.25">
      <c r="DV713">
        <v>47</v>
      </c>
      <c r="DW713" t="s">
        <v>56</v>
      </c>
      <c r="DX713" s="8">
        <v>43928</v>
      </c>
      <c r="DY713">
        <v>4</v>
      </c>
      <c r="EA713">
        <v>0</v>
      </c>
      <c r="GV713" s="8">
        <v>43978</v>
      </c>
      <c r="GW713">
        <v>142</v>
      </c>
      <c r="GX713" t="s">
        <v>110</v>
      </c>
      <c r="GY713">
        <v>46</v>
      </c>
      <c r="HB713">
        <v>314</v>
      </c>
      <c r="HC713">
        <v>3</v>
      </c>
      <c r="HF713">
        <v>355</v>
      </c>
      <c r="HG713">
        <v>2422</v>
      </c>
    </row>
    <row r="714" spans="1:325" ht="20.25">
      <c r="DV714">
        <v>47</v>
      </c>
      <c r="DW714" t="s">
        <v>56</v>
      </c>
      <c r="DX714" s="8">
        <v>43929</v>
      </c>
      <c r="DY714">
        <v>8</v>
      </c>
      <c r="EA714">
        <v>0</v>
      </c>
      <c r="GV714" s="8">
        <v>43979</v>
      </c>
      <c r="GW714">
        <v>142</v>
      </c>
      <c r="GX714" t="s">
        <v>110</v>
      </c>
      <c r="GY714">
        <v>46</v>
      </c>
      <c r="HB714">
        <v>314</v>
      </c>
      <c r="HC714">
        <v>3</v>
      </c>
      <c r="HF714">
        <v>360</v>
      </c>
      <c r="HG714">
        <v>2456</v>
      </c>
    </row>
    <row r="715" spans="1:325" ht="20.25">
      <c r="DV715">
        <v>47</v>
      </c>
      <c r="DW715" t="s">
        <v>56</v>
      </c>
      <c r="DX715" s="8">
        <v>43930</v>
      </c>
      <c r="DY715">
        <v>10</v>
      </c>
      <c r="EA715">
        <v>1</v>
      </c>
      <c r="GV715" s="8">
        <v>43980</v>
      </c>
      <c r="GW715">
        <v>142</v>
      </c>
      <c r="GX715" t="s">
        <v>110</v>
      </c>
      <c r="GY715">
        <v>46</v>
      </c>
      <c r="HB715">
        <v>314</v>
      </c>
      <c r="HC715">
        <v>3</v>
      </c>
      <c r="HF715">
        <v>376</v>
      </c>
      <c r="HG715">
        <v>2566</v>
      </c>
    </row>
    <row r="716" spans="1:325" ht="20.25">
      <c r="DV716">
        <v>47</v>
      </c>
      <c r="DW716" t="s">
        <v>56</v>
      </c>
      <c r="DX716" s="8">
        <v>43931</v>
      </c>
      <c r="DY716">
        <v>11</v>
      </c>
      <c r="EA716">
        <v>2</v>
      </c>
      <c r="GV716" s="8">
        <v>43981</v>
      </c>
      <c r="GW716">
        <v>142</v>
      </c>
      <c r="GX716" t="s">
        <v>110</v>
      </c>
      <c r="GY716">
        <v>46</v>
      </c>
      <c r="HB716">
        <v>314</v>
      </c>
      <c r="HC716">
        <v>3</v>
      </c>
      <c r="HF716">
        <v>381</v>
      </c>
      <c r="HG716">
        <v>2600</v>
      </c>
    </row>
    <row r="717" spans="1:325" ht="20.25">
      <c r="DV717">
        <v>47</v>
      </c>
      <c r="DW717" t="s">
        <v>56</v>
      </c>
      <c r="DX717" s="8">
        <v>43932</v>
      </c>
      <c r="DY717">
        <v>11</v>
      </c>
      <c r="EA717">
        <v>2</v>
      </c>
      <c r="GV717" s="8">
        <v>43982</v>
      </c>
      <c r="GW717">
        <v>142</v>
      </c>
      <c r="GX717" t="s">
        <v>110</v>
      </c>
      <c r="GY717">
        <v>47</v>
      </c>
      <c r="GZ717">
        <v>38</v>
      </c>
      <c r="HA717">
        <v>9</v>
      </c>
      <c r="HB717">
        <v>321</v>
      </c>
      <c r="HC717">
        <v>3</v>
      </c>
      <c r="HD717">
        <v>1</v>
      </c>
      <c r="HE717">
        <v>2</v>
      </c>
      <c r="HF717">
        <v>394</v>
      </c>
      <c r="HG717">
        <v>2689</v>
      </c>
      <c r="HH717">
        <v>433</v>
      </c>
      <c r="HI717">
        <v>43</v>
      </c>
      <c r="HJ717">
        <v>390</v>
      </c>
      <c r="HK717">
        <v>0</v>
      </c>
    </row>
    <row r="718" spans="1:325" ht="20.25">
      <c r="DV718">
        <v>47</v>
      </c>
      <c r="DW718" t="s">
        <v>56</v>
      </c>
      <c r="DX718" s="8">
        <v>43933</v>
      </c>
      <c r="DY718">
        <v>13</v>
      </c>
      <c r="EA718">
        <v>1</v>
      </c>
      <c r="GV718" s="8">
        <v>43983</v>
      </c>
      <c r="GW718">
        <v>142</v>
      </c>
      <c r="GX718" t="s">
        <v>110</v>
      </c>
      <c r="GY718">
        <v>47</v>
      </c>
      <c r="GZ718">
        <v>38</v>
      </c>
      <c r="HA718">
        <v>9</v>
      </c>
      <c r="HB718">
        <v>321</v>
      </c>
      <c r="HC718">
        <v>3</v>
      </c>
      <c r="HD718">
        <v>1</v>
      </c>
      <c r="HE718">
        <v>2</v>
      </c>
      <c r="HF718">
        <v>407</v>
      </c>
      <c r="HG718">
        <v>2777</v>
      </c>
      <c r="HH718">
        <v>445</v>
      </c>
      <c r="HI718">
        <v>43</v>
      </c>
      <c r="HJ718">
        <v>402</v>
      </c>
      <c r="HK718">
        <v>0</v>
      </c>
    </row>
    <row r="719" spans="1:325" ht="20.25">
      <c r="DV719">
        <v>47</v>
      </c>
      <c r="DW719" t="s">
        <v>56</v>
      </c>
      <c r="DX719" s="8">
        <v>43934</v>
      </c>
      <c r="DY719">
        <v>18</v>
      </c>
      <c r="EA719">
        <v>1</v>
      </c>
      <c r="GV719" s="8">
        <v>43984</v>
      </c>
      <c r="GW719">
        <v>142</v>
      </c>
      <c r="GX719" t="s">
        <v>110</v>
      </c>
      <c r="GY719">
        <v>47</v>
      </c>
      <c r="GZ719">
        <v>38</v>
      </c>
      <c r="HA719">
        <v>9</v>
      </c>
      <c r="HB719">
        <v>321</v>
      </c>
      <c r="HC719">
        <v>3</v>
      </c>
      <c r="HD719">
        <v>1</v>
      </c>
      <c r="HE719">
        <v>2</v>
      </c>
      <c r="HF719">
        <v>414</v>
      </c>
      <c r="HG719">
        <v>2825</v>
      </c>
      <c r="HH719">
        <v>457</v>
      </c>
      <c r="HI719">
        <v>43</v>
      </c>
      <c r="HJ719">
        <v>414</v>
      </c>
      <c r="HK719">
        <v>0</v>
      </c>
    </row>
    <row r="720" spans="1:325" ht="20.25">
      <c r="DV720">
        <v>47</v>
      </c>
      <c r="DW720" t="s">
        <v>56</v>
      </c>
      <c r="DX720" s="8">
        <v>43935</v>
      </c>
      <c r="DY720">
        <v>21</v>
      </c>
      <c r="EA720">
        <v>1</v>
      </c>
      <c r="GV720" s="8">
        <v>43914</v>
      </c>
      <c r="GW720">
        <v>145</v>
      </c>
      <c r="GX720" t="s">
        <v>111</v>
      </c>
      <c r="GY720">
        <v>0</v>
      </c>
      <c r="HC720">
        <v>0</v>
      </c>
    </row>
    <row r="721" spans="1:325" ht="20.25">
      <c r="DV721">
        <v>47</v>
      </c>
      <c r="DW721" t="s">
        <v>56</v>
      </c>
      <c r="DX721" s="8">
        <v>43936</v>
      </c>
      <c r="DY721">
        <v>21</v>
      </c>
      <c r="EA721">
        <v>2</v>
      </c>
      <c r="GV721" s="8">
        <v>43915</v>
      </c>
      <c r="GW721">
        <v>145</v>
      </c>
      <c r="GX721" t="s">
        <v>111</v>
      </c>
      <c r="GY721">
        <v>0</v>
      </c>
      <c r="HC721">
        <v>0</v>
      </c>
    </row>
    <row r="722" spans="1:325" ht="20.25">
      <c r="DV722">
        <v>47</v>
      </c>
      <c r="DW722" t="s">
        <v>56</v>
      </c>
      <c r="DX722" s="8">
        <v>43937</v>
      </c>
      <c r="DY722">
        <v>20</v>
      </c>
      <c r="DZ722">
        <v>176</v>
      </c>
      <c r="EA722">
        <v>2</v>
      </c>
      <c r="GV722" s="8">
        <v>43916</v>
      </c>
      <c r="GW722">
        <v>145</v>
      </c>
      <c r="GX722" t="s">
        <v>111</v>
      </c>
      <c r="GY722">
        <v>0</v>
      </c>
      <c r="HC722">
        <v>0</v>
      </c>
    </row>
    <row r="723" spans="1:325" ht="20.25">
      <c r="DV723">
        <v>47</v>
      </c>
      <c r="DW723" t="s">
        <v>56</v>
      </c>
      <c r="DX723" s="8">
        <v>43938</v>
      </c>
      <c r="DY723">
        <v>20</v>
      </c>
      <c r="DZ723">
        <v>176</v>
      </c>
      <c r="EA723">
        <v>2</v>
      </c>
      <c r="GV723" s="8">
        <v>43917</v>
      </c>
      <c r="GW723">
        <v>145</v>
      </c>
      <c r="GX723" t="s">
        <v>111</v>
      </c>
      <c r="GY723">
        <v>0</v>
      </c>
      <c r="HC723">
        <v>0</v>
      </c>
    </row>
    <row r="724" spans="1:325" ht="20.25">
      <c r="DV724">
        <v>47</v>
      </c>
      <c r="DW724" t="s">
        <v>56</v>
      </c>
      <c r="DX724" s="8">
        <v>43939</v>
      </c>
      <c r="DY724">
        <v>20</v>
      </c>
      <c r="DZ724">
        <v>176</v>
      </c>
      <c r="EA724">
        <v>2</v>
      </c>
      <c r="GV724" s="8">
        <v>43918</v>
      </c>
      <c r="GW724">
        <v>145</v>
      </c>
      <c r="GX724" t="s">
        <v>111</v>
      </c>
      <c r="GY724">
        <v>0</v>
      </c>
      <c r="HC724">
        <v>0</v>
      </c>
    </row>
    <row r="725" spans="1:325" ht="20.25">
      <c r="DV725">
        <v>47</v>
      </c>
      <c r="DW725" t="s">
        <v>56</v>
      </c>
      <c r="DX725" s="8">
        <v>43940</v>
      </c>
      <c r="DY725">
        <v>21</v>
      </c>
      <c r="DZ725">
        <v>185</v>
      </c>
      <c r="EA725">
        <v>2</v>
      </c>
      <c r="GV725" s="8">
        <v>43919</v>
      </c>
      <c r="GW725">
        <v>145</v>
      </c>
      <c r="GX725" t="s">
        <v>111</v>
      </c>
      <c r="GY725">
        <v>0</v>
      </c>
      <c r="HC725">
        <v>0</v>
      </c>
    </row>
    <row r="726" spans="1:325" ht="20.25">
      <c r="DV726">
        <v>47</v>
      </c>
      <c r="DW726" t="s">
        <v>56</v>
      </c>
      <c r="DX726" s="8">
        <v>43941</v>
      </c>
      <c r="DY726">
        <v>21</v>
      </c>
      <c r="DZ726">
        <v>185</v>
      </c>
      <c r="EA726">
        <v>2</v>
      </c>
      <c r="GV726" s="8">
        <v>43920</v>
      </c>
      <c r="GW726">
        <v>145</v>
      </c>
      <c r="GX726" t="s">
        <v>111</v>
      </c>
      <c r="GY726">
        <v>0</v>
      </c>
      <c r="HC726">
        <v>0</v>
      </c>
    </row>
    <row r="727" spans="1:325" ht="20.25">
      <c r="DV727">
        <v>47</v>
      </c>
      <c r="DW727" t="s">
        <v>56</v>
      </c>
      <c r="DX727" s="8">
        <v>43942</v>
      </c>
      <c r="DY727">
        <v>21</v>
      </c>
      <c r="DZ727">
        <v>185</v>
      </c>
      <c r="EA727">
        <v>2</v>
      </c>
      <c r="GV727" s="8">
        <v>43921</v>
      </c>
      <c r="GW727">
        <v>145</v>
      </c>
      <c r="GX727" t="s">
        <v>111</v>
      </c>
      <c r="GY727">
        <v>0</v>
      </c>
      <c r="HC727">
        <v>0</v>
      </c>
    </row>
    <row r="728" spans="1:325" ht="20.25">
      <c r="DV728">
        <v>47</v>
      </c>
      <c r="DW728" t="s">
        <v>56</v>
      </c>
      <c r="DX728" s="8">
        <v>43943</v>
      </c>
      <c r="DY728">
        <v>22</v>
      </c>
      <c r="DZ728">
        <v>193</v>
      </c>
      <c r="EA728">
        <v>1</v>
      </c>
      <c r="GV728" s="8">
        <v>43922</v>
      </c>
      <c r="GW728">
        <v>145</v>
      </c>
      <c r="GX728" t="s">
        <v>111</v>
      </c>
      <c r="GY728">
        <v>0</v>
      </c>
      <c r="HC728">
        <v>0</v>
      </c>
    </row>
    <row r="729" spans="1:325" ht="20.25">
      <c r="DV729">
        <v>47</v>
      </c>
      <c r="DW729" t="s">
        <v>56</v>
      </c>
      <c r="DX729" s="8">
        <v>43944</v>
      </c>
      <c r="DY729">
        <v>27</v>
      </c>
      <c r="DZ729">
        <v>237</v>
      </c>
      <c r="EA729">
        <v>1</v>
      </c>
      <c r="GV729" s="8">
        <v>43923</v>
      </c>
      <c r="GW729">
        <v>145</v>
      </c>
      <c r="GX729" t="s">
        <v>111</v>
      </c>
      <c r="GY729">
        <v>0</v>
      </c>
      <c r="HC729">
        <v>0</v>
      </c>
    </row>
    <row r="730" spans="1:325" ht="20.25">
      <c r="DV730">
        <v>47</v>
      </c>
      <c r="DW730" t="s">
        <v>56</v>
      </c>
      <c r="DX730" s="8">
        <v>43945</v>
      </c>
      <c r="DY730">
        <v>33</v>
      </c>
      <c r="DZ730">
        <v>290</v>
      </c>
      <c r="EA730">
        <v>0</v>
      </c>
      <c r="GV730" s="8">
        <v>43924</v>
      </c>
      <c r="GW730">
        <v>145</v>
      </c>
      <c r="GX730" t="s">
        <v>111</v>
      </c>
      <c r="GY730">
        <v>0</v>
      </c>
      <c r="HC730">
        <v>0</v>
      </c>
    </row>
    <row r="731" spans="1:325" ht="20.25">
      <c r="DV731">
        <v>47</v>
      </c>
      <c r="DW731" t="s">
        <v>56</v>
      </c>
      <c r="DX731" s="8">
        <v>43946</v>
      </c>
      <c r="DY731">
        <v>35</v>
      </c>
      <c r="DZ731">
        <v>308</v>
      </c>
      <c r="EA731">
        <v>1</v>
      </c>
      <c r="GV731" s="8">
        <v>43925</v>
      </c>
      <c r="GW731">
        <v>145</v>
      </c>
      <c r="GX731" t="s">
        <v>111</v>
      </c>
      <c r="GY731">
        <v>0</v>
      </c>
      <c r="HC731">
        <v>0</v>
      </c>
    </row>
    <row r="732" spans="1:325" ht="20.25">
      <c r="DV732">
        <v>47</v>
      </c>
      <c r="DW732" t="s">
        <v>56</v>
      </c>
      <c r="DX732" s="8">
        <v>43947</v>
      </c>
      <c r="DY732">
        <v>36</v>
      </c>
      <c r="DZ732">
        <v>316</v>
      </c>
      <c r="EA732">
        <v>1</v>
      </c>
      <c r="GV732" s="8">
        <v>43926</v>
      </c>
      <c r="GW732">
        <v>145</v>
      </c>
      <c r="GX732" t="s">
        <v>111</v>
      </c>
      <c r="GY732">
        <v>0</v>
      </c>
      <c r="HC732">
        <v>0</v>
      </c>
    </row>
    <row r="733" spans="1:325" ht="20.25">
      <c r="DV733">
        <v>47</v>
      </c>
      <c r="DW733" t="s">
        <v>56</v>
      </c>
      <c r="DX733" s="8">
        <v>43948</v>
      </c>
      <c r="DY733">
        <v>39</v>
      </c>
      <c r="DZ733">
        <v>343</v>
      </c>
      <c r="EA733">
        <v>4</v>
      </c>
      <c r="GV733" s="8">
        <v>43927</v>
      </c>
      <c r="GW733">
        <v>145</v>
      </c>
      <c r="GX733" t="s">
        <v>111</v>
      </c>
      <c r="GY733">
        <v>0</v>
      </c>
      <c r="HC733">
        <v>0</v>
      </c>
    </row>
    <row r="734" spans="1:325" ht="20.25">
      <c r="DV734">
        <v>47</v>
      </c>
      <c r="DW734" t="s">
        <v>56</v>
      </c>
      <c r="DX734" s="8">
        <v>43949</v>
      </c>
      <c r="DY734">
        <v>40</v>
      </c>
      <c r="DZ734">
        <v>352</v>
      </c>
      <c r="EA734">
        <v>4</v>
      </c>
      <c r="GV734" s="8">
        <v>43928</v>
      </c>
      <c r="GW734">
        <v>145</v>
      </c>
      <c r="GX734" t="s">
        <v>111</v>
      </c>
      <c r="GY734">
        <v>0</v>
      </c>
      <c r="HC734">
        <v>0</v>
      </c>
    </row>
    <row r="735" spans="1:325" ht="20.25">
      <c r="DV735">
        <v>47</v>
      </c>
      <c r="DW735" t="s">
        <v>56</v>
      </c>
      <c r="DX735" s="8">
        <v>43950</v>
      </c>
      <c r="DY735">
        <v>41</v>
      </c>
      <c r="DZ735">
        <v>360</v>
      </c>
      <c r="EA735">
        <v>4</v>
      </c>
      <c r="GV735" s="8">
        <v>43929</v>
      </c>
      <c r="GW735">
        <v>145</v>
      </c>
      <c r="GX735" t="s">
        <v>111</v>
      </c>
      <c r="GY735">
        <v>0</v>
      </c>
      <c r="HC735">
        <v>0</v>
      </c>
    </row>
    <row r="736" spans="1:325" ht="20.25">
      <c r="DV736">
        <v>47</v>
      </c>
      <c r="DW736" t="s">
        <v>56</v>
      </c>
      <c r="DX736" s="8">
        <v>43951</v>
      </c>
      <c r="DY736">
        <v>46</v>
      </c>
      <c r="DZ736">
        <v>404</v>
      </c>
      <c r="EA736">
        <v>4</v>
      </c>
      <c r="GV736" s="8">
        <v>43930</v>
      </c>
      <c r="GW736">
        <v>145</v>
      </c>
      <c r="GX736" t="s">
        <v>111</v>
      </c>
      <c r="GY736">
        <v>0</v>
      </c>
      <c r="HC736">
        <v>0</v>
      </c>
    </row>
    <row r="737" spans="1:325" ht="20.25">
      <c r="DV737">
        <v>47</v>
      </c>
      <c r="DW737" t="s">
        <v>56</v>
      </c>
      <c r="DX737" s="8">
        <v>43952</v>
      </c>
      <c r="DY737">
        <v>51</v>
      </c>
      <c r="DZ737">
        <v>448</v>
      </c>
      <c r="EA737">
        <v>4</v>
      </c>
      <c r="GV737" s="8">
        <v>43931</v>
      </c>
      <c r="GW737">
        <v>145</v>
      </c>
      <c r="GX737" t="s">
        <v>111</v>
      </c>
      <c r="GY737">
        <v>0</v>
      </c>
      <c r="HC737">
        <v>0</v>
      </c>
    </row>
    <row r="738" spans="1:325" ht="20.25">
      <c r="DV738">
        <v>47</v>
      </c>
      <c r="DW738" t="s">
        <v>56</v>
      </c>
      <c r="DX738" s="8">
        <v>43953</v>
      </c>
      <c r="DY738">
        <v>52</v>
      </c>
      <c r="DZ738">
        <v>457</v>
      </c>
      <c r="EA738">
        <v>4</v>
      </c>
      <c r="GV738" s="8">
        <v>43932</v>
      </c>
      <c r="GW738">
        <v>145</v>
      </c>
      <c r="GX738" t="s">
        <v>111</v>
      </c>
      <c r="GY738">
        <v>0</v>
      </c>
      <c r="HC738">
        <v>0</v>
      </c>
    </row>
    <row r="739" spans="1:325" ht="20.25">
      <c r="DV739">
        <v>47</v>
      </c>
      <c r="DW739" t="s">
        <v>56</v>
      </c>
      <c r="DX739" s="8">
        <v>43954</v>
      </c>
      <c r="DY739">
        <v>53</v>
      </c>
      <c r="DZ739">
        <v>466</v>
      </c>
      <c r="EA739">
        <v>6</v>
      </c>
      <c r="GV739" s="8">
        <v>43933</v>
      </c>
      <c r="GW739">
        <v>145</v>
      </c>
      <c r="GX739" t="s">
        <v>111</v>
      </c>
      <c r="GY739">
        <v>0</v>
      </c>
      <c r="HC739">
        <v>0</v>
      </c>
    </row>
    <row r="740" spans="1:325" ht="20.25">
      <c r="DV740">
        <v>47</v>
      </c>
      <c r="DW740" t="s">
        <v>56</v>
      </c>
      <c r="DX740" s="8">
        <v>43955</v>
      </c>
      <c r="DY740">
        <v>57</v>
      </c>
      <c r="DZ740">
        <v>501</v>
      </c>
      <c r="EA740">
        <v>7</v>
      </c>
      <c r="GV740" s="8">
        <v>43934</v>
      </c>
      <c r="GW740">
        <v>145</v>
      </c>
      <c r="GX740" t="s">
        <v>111</v>
      </c>
      <c r="GY740">
        <v>0</v>
      </c>
      <c r="HC740">
        <v>0</v>
      </c>
    </row>
    <row r="741" spans="1:325" ht="20.25">
      <c r="DV741">
        <v>47</v>
      </c>
      <c r="DW741" t="s">
        <v>56</v>
      </c>
      <c r="DX741" s="8">
        <v>43956</v>
      </c>
      <c r="DY741">
        <v>59</v>
      </c>
      <c r="DZ741">
        <v>519</v>
      </c>
      <c r="EA741">
        <v>8</v>
      </c>
      <c r="GV741" s="8">
        <v>43935</v>
      </c>
      <c r="GW741">
        <v>145</v>
      </c>
      <c r="GX741" t="s">
        <v>111</v>
      </c>
      <c r="GY741">
        <v>0</v>
      </c>
      <c r="HC741">
        <v>0</v>
      </c>
    </row>
    <row r="742" spans="1:325" ht="20.25">
      <c r="DV742">
        <v>47</v>
      </c>
      <c r="DW742" t="s">
        <v>56</v>
      </c>
      <c r="DX742" s="8">
        <v>43957</v>
      </c>
      <c r="DY742">
        <v>60</v>
      </c>
      <c r="DZ742">
        <v>527</v>
      </c>
      <c r="EA742">
        <v>8</v>
      </c>
      <c r="GV742" s="8">
        <v>43936</v>
      </c>
      <c r="GW742">
        <v>145</v>
      </c>
      <c r="GX742" t="s">
        <v>111</v>
      </c>
      <c r="GY742">
        <v>0</v>
      </c>
      <c r="HC742">
        <v>0</v>
      </c>
    </row>
    <row r="743" spans="1:325" ht="20.25">
      <c r="DV743">
        <v>47</v>
      </c>
      <c r="DW743" t="s">
        <v>56</v>
      </c>
      <c r="DX743" s="8">
        <v>43958</v>
      </c>
      <c r="DY743">
        <v>64</v>
      </c>
      <c r="DZ743">
        <v>563</v>
      </c>
      <c r="EA743">
        <v>8</v>
      </c>
      <c r="GV743" s="8">
        <v>43937</v>
      </c>
      <c r="GW743">
        <v>145</v>
      </c>
      <c r="GX743" t="s">
        <v>111</v>
      </c>
      <c r="GY743">
        <v>0</v>
      </c>
      <c r="HB743">
        <v>0</v>
      </c>
      <c r="HC743">
        <v>0</v>
      </c>
    </row>
    <row r="744" spans="1:325" ht="20.25">
      <c r="DV744">
        <v>47</v>
      </c>
      <c r="DW744" t="s">
        <v>56</v>
      </c>
      <c r="DX744" s="8">
        <v>43959</v>
      </c>
      <c r="DY744">
        <v>72</v>
      </c>
      <c r="DZ744">
        <v>633</v>
      </c>
      <c r="EA744">
        <v>9</v>
      </c>
      <c r="GV744" s="8">
        <v>43938</v>
      </c>
      <c r="GW744">
        <v>145</v>
      </c>
      <c r="GX744" t="s">
        <v>111</v>
      </c>
      <c r="GY744">
        <v>0</v>
      </c>
      <c r="HB744">
        <v>0</v>
      </c>
      <c r="HC744">
        <v>0</v>
      </c>
    </row>
    <row r="745" spans="1:325" ht="20.25">
      <c r="DV745">
        <v>47</v>
      </c>
      <c r="DW745" t="s">
        <v>56</v>
      </c>
      <c r="DX745" s="8">
        <v>43960</v>
      </c>
      <c r="DY745">
        <v>82</v>
      </c>
      <c r="DZ745">
        <v>721</v>
      </c>
      <c r="EA745">
        <v>9</v>
      </c>
      <c r="GV745" s="8">
        <v>43939</v>
      </c>
      <c r="GW745">
        <v>145</v>
      </c>
      <c r="GX745" t="s">
        <v>111</v>
      </c>
      <c r="GY745">
        <v>0</v>
      </c>
      <c r="HB745">
        <v>0</v>
      </c>
      <c r="HC745">
        <v>0</v>
      </c>
    </row>
    <row r="746" spans="1:325" ht="20.25">
      <c r="DV746">
        <v>47</v>
      </c>
      <c r="DW746" t="s">
        <v>56</v>
      </c>
      <c r="DX746" s="8">
        <v>43961</v>
      </c>
      <c r="DY746">
        <v>84</v>
      </c>
      <c r="DZ746">
        <v>738</v>
      </c>
      <c r="EA746">
        <v>9</v>
      </c>
      <c r="GV746" s="8">
        <v>43940</v>
      </c>
      <c r="GW746">
        <v>145</v>
      </c>
      <c r="GX746" t="s">
        <v>111</v>
      </c>
      <c r="GY746">
        <v>0</v>
      </c>
      <c r="HB746">
        <v>0</v>
      </c>
      <c r="HC746">
        <v>0</v>
      </c>
    </row>
    <row r="747" spans="1:325" ht="20.25">
      <c r="DV747">
        <v>47</v>
      </c>
      <c r="DW747" t="s">
        <v>56</v>
      </c>
      <c r="DX747" s="8">
        <v>43962</v>
      </c>
      <c r="DY747">
        <v>118</v>
      </c>
      <c r="DZ747">
        <v>1037</v>
      </c>
      <c r="EA747">
        <v>9</v>
      </c>
      <c r="GV747" s="8">
        <v>43941</v>
      </c>
      <c r="GW747">
        <v>145</v>
      </c>
      <c r="GX747" t="s">
        <v>111</v>
      </c>
      <c r="GY747">
        <v>0</v>
      </c>
      <c r="HB747">
        <v>0</v>
      </c>
      <c r="HC747">
        <v>0</v>
      </c>
    </row>
    <row r="748" spans="1:325" ht="20.25">
      <c r="DV748">
        <v>47</v>
      </c>
      <c r="DW748" t="s">
        <v>56</v>
      </c>
      <c r="DX748" s="8">
        <v>43963</v>
      </c>
      <c r="DY748">
        <v>118</v>
      </c>
      <c r="DZ748">
        <v>1037</v>
      </c>
      <c r="EA748">
        <v>10</v>
      </c>
      <c r="GV748" s="8">
        <v>43942</v>
      </c>
      <c r="GW748">
        <v>145</v>
      </c>
      <c r="GX748" t="s">
        <v>111</v>
      </c>
      <c r="GY748">
        <v>0</v>
      </c>
      <c r="HB748">
        <v>0</v>
      </c>
      <c r="HC748">
        <v>0</v>
      </c>
    </row>
    <row r="749" spans="1:325" ht="20.25">
      <c r="DV749">
        <v>47</v>
      </c>
      <c r="DW749" t="s">
        <v>56</v>
      </c>
      <c r="DX749" s="8">
        <v>43964</v>
      </c>
      <c r="DY749">
        <v>126</v>
      </c>
      <c r="DZ749">
        <v>1108</v>
      </c>
      <c r="EA749">
        <v>13</v>
      </c>
      <c r="GV749" s="8">
        <v>43943</v>
      </c>
      <c r="GW749">
        <v>145</v>
      </c>
      <c r="GX749" t="s">
        <v>111</v>
      </c>
      <c r="GY749">
        <v>0</v>
      </c>
      <c r="HB749">
        <v>0</v>
      </c>
      <c r="HC749">
        <v>0</v>
      </c>
    </row>
    <row r="750" spans="1:325" ht="20.25">
      <c r="DV750">
        <v>47</v>
      </c>
      <c r="DW750" t="s">
        <v>56</v>
      </c>
      <c r="DX750" s="8">
        <v>43965</v>
      </c>
      <c r="DY750">
        <v>126</v>
      </c>
      <c r="DZ750">
        <v>1108</v>
      </c>
      <c r="EA750">
        <v>14</v>
      </c>
      <c r="GV750" s="8">
        <v>43944</v>
      </c>
      <c r="GW750">
        <v>145</v>
      </c>
      <c r="GX750" t="s">
        <v>111</v>
      </c>
      <c r="GY750">
        <v>0</v>
      </c>
      <c r="HB750">
        <v>0</v>
      </c>
      <c r="HC750">
        <v>0</v>
      </c>
    </row>
    <row r="751" spans="1:325" ht="20.25">
      <c r="DV751">
        <v>47</v>
      </c>
      <c r="DW751" t="s">
        <v>56</v>
      </c>
      <c r="DX751" s="8">
        <v>43966</v>
      </c>
      <c r="DY751">
        <v>129</v>
      </c>
      <c r="DZ751">
        <v>1134</v>
      </c>
      <c r="EA751">
        <v>17</v>
      </c>
      <c r="GV751" s="8">
        <v>43945</v>
      </c>
      <c r="GW751">
        <v>145</v>
      </c>
      <c r="GX751" t="s">
        <v>111</v>
      </c>
      <c r="GY751">
        <v>1</v>
      </c>
      <c r="HB751">
        <v>119</v>
      </c>
      <c r="HC751">
        <v>0</v>
      </c>
    </row>
    <row r="752" spans="1:325" ht="20.25">
      <c r="DV752">
        <v>52</v>
      </c>
      <c r="DW752" t="s">
        <v>57</v>
      </c>
      <c r="DX752" s="8">
        <v>43914</v>
      </c>
      <c r="DY752">
        <v>5</v>
      </c>
      <c r="EA752">
        <v>0</v>
      </c>
      <c r="GV752" s="8">
        <v>43946</v>
      </c>
      <c r="GW752">
        <v>145</v>
      </c>
      <c r="GX752" t="s">
        <v>111</v>
      </c>
      <c r="GY752">
        <v>1</v>
      </c>
      <c r="HB752">
        <v>119</v>
      </c>
      <c r="HC752">
        <v>0</v>
      </c>
    </row>
    <row r="753" spans="1:325" ht="20.25">
      <c r="DV753">
        <v>52</v>
      </c>
      <c r="DW753" t="s">
        <v>57</v>
      </c>
      <c r="DX753" s="8">
        <v>43915</v>
      </c>
      <c r="DY753">
        <v>8</v>
      </c>
      <c r="EA753">
        <v>0</v>
      </c>
      <c r="GV753" s="8">
        <v>43947</v>
      </c>
      <c r="GW753">
        <v>145</v>
      </c>
      <c r="GX753" t="s">
        <v>111</v>
      </c>
      <c r="GY753">
        <v>1</v>
      </c>
      <c r="HB753">
        <v>119</v>
      </c>
      <c r="HC753">
        <v>0</v>
      </c>
    </row>
    <row r="754" spans="1:325" ht="20.25">
      <c r="DV754">
        <v>52</v>
      </c>
      <c r="DW754" t="s">
        <v>57</v>
      </c>
      <c r="DX754" s="8">
        <v>43916</v>
      </c>
      <c r="DY754">
        <v>8</v>
      </c>
      <c r="EA754">
        <v>0</v>
      </c>
      <c r="GV754" s="8">
        <v>43948</v>
      </c>
      <c r="GW754">
        <v>145</v>
      </c>
      <c r="GX754" t="s">
        <v>111</v>
      </c>
      <c r="GY754">
        <v>1</v>
      </c>
      <c r="HB754">
        <v>119</v>
      </c>
      <c r="HC754">
        <v>0</v>
      </c>
    </row>
    <row r="755" spans="1:325" ht="20.25">
      <c r="DV755">
        <v>52</v>
      </c>
      <c r="DW755" t="s">
        <v>57</v>
      </c>
      <c r="DX755" s="8">
        <v>43917</v>
      </c>
      <c r="DY755">
        <v>11</v>
      </c>
      <c r="EA755">
        <v>0</v>
      </c>
      <c r="GV755" s="8">
        <v>43949</v>
      </c>
      <c r="GW755">
        <v>145</v>
      </c>
      <c r="GX755" t="s">
        <v>111</v>
      </c>
      <c r="GY755">
        <v>1</v>
      </c>
      <c r="HB755">
        <v>119</v>
      </c>
      <c r="HC755">
        <v>0</v>
      </c>
    </row>
    <row r="756" spans="1:325" ht="20.25">
      <c r="DV756">
        <v>52</v>
      </c>
      <c r="DW756" t="s">
        <v>57</v>
      </c>
      <c r="DX756" s="8">
        <v>43918</v>
      </c>
      <c r="DY756">
        <v>11</v>
      </c>
      <c r="EA756">
        <v>0</v>
      </c>
      <c r="GV756" s="8">
        <v>43950</v>
      </c>
      <c r="GW756">
        <v>145</v>
      </c>
      <c r="GX756" t="s">
        <v>111</v>
      </c>
      <c r="GY756">
        <v>1</v>
      </c>
      <c r="HB756">
        <v>119</v>
      </c>
      <c r="HC756">
        <v>0</v>
      </c>
    </row>
    <row r="757" spans="1:325" ht="20.25">
      <c r="DV757">
        <v>52</v>
      </c>
      <c r="DW757" t="s">
        <v>57</v>
      </c>
      <c r="DX757" s="8">
        <v>43919</v>
      </c>
      <c r="DY757">
        <v>12</v>
      </c>
      <c r="EA757">
        <v>0</v>
      </c>
      <c r="GV757" s="8">
        <v>43951</v>
      </c>
      <c r="GW757">
        <v>145</v>
      </c>
      <c r="GX757" t="s">
        <v>111</v>
      </c>
      <c r="GY757">
        <v>1</v>
      </c>
      <c r="HB757">
        <v>119</v>
      </c>
      <c r="HC757">
        <v>0</v>
      </c>
    </row>
    <row r="758" spans="1:325" ht="20.25">
      <c r="DV758">
        <v>52</v>
      </c>
      <c r="DW758" t="s">
        <v>57</v>
      </c>
      <c r="DX758" s="8">
        <v>43920</v>
      </c>
      <c r="DY758">
        <v>15</v>
      </c>
      <c r="EA758">
        <v>0</v>
      </c>
      <c r="GV758" s="8">
        <v>43952</v>
      </c>
      <c r="GW758">
        <v>145</v>
      </c>
      <c r="GX758" t="s">
        <v>111</v>
      </c>
      <c r="GY758">
        <v>2</v>
      </c>
      <c r="HB758">
        <v>238</v>
      </c>
      <c r="HC758">
        <v>0</v>
      </c>
    </row>
    <row r="759" spans="1:325" ht="20.25">
      <c r="DV759">
        <v>52</v>
      </c>
      <c r="DW759" t="s">
        <v>57</v>
      </c>
      <c r="DX759" s="8">
        <v>43921</v>
      </c>
      <c r="DY759">
        <v>15</v>
      </c>
      <c r="EA759">
        <v>0</v>
      </c>
      <c r="GV759" s="8">
        <v>43953</v>
      </c>
      <c r="GW759">
        <v>145</v>
      </c>
      <c r="GX759" t="s">
        <v>111</v>
      </c>
      <c r="GY759">
        <v>2</v>
      </c>
      <c r="HB759">
        <v>238</v>
      </c>
      <c r="HC759">
        <v>0</v>
      </c>
    </row>
    <row r="760" spans="1:325" ht="20.25">
      <c r="DV760">
        <v>52</v>
      </c>
      <c r="DW760" t="s">
        <v>57</v>
      </c>
      <c r="DX760" s="8">
        <v>43922</v>
      </c>
      <c r="DY760">
        <v>15</v>
      </c>
      <c r="EA760">
        <v>0</v>
      </c>
      <c r="GV760" s="8">
        <v>43954</v>
      </c>
      <c r="GW760">
        <v>145</v>
      </c>
      <c r="GX760" t="s">
        <v>111</v>
      </c>
      <c r="GY760">
        <v>2</v>
      </c>
      <c r="HB760">
        <v>238</v>
      </c>
      <c r="HC760">
        <v>0</v>
      </c>
    </row>
    <row r="761" spans="1:325" ht="20.25">
      <c r="DV761">
        <v>52</v>
      </c>
      <c r="DW761" t="s">
        <v>57</v>
      </c>
      <c r="DX761" s="8">
        <v>43923</v>
      </c>
      <c r="DY761">
        <v>16</v>
      </c>
      <c r="EA761">
        <v>0</v>
      </c>
      <c r="GV761" s="8">
        <v>43955</v>
      </c>
      <c r="GW761">
        <v>145</v>
      </c>
      <c r="GX761" t="s">
        <v>111</v>
      </c>
      <c r="GY761">
        <v>2</v>
      </c>
      <c r="HB761">
        <v>238</v>
      </c>
      <c r="HC761">
        <v>0</v>
      </c>
    </row>
    <row r="762" spans="1:325" ht="20.25">
      <c r="DV762">
        <v>52</v>
      </c>
      <c r="DW762" t="s">
        <v>57</v>
      </c>
      <c r="DX762" s="8">
        <v>43924</v>
      </c>
      <c r="DY762">
        <v>20</v>
      </c>
      <c r="EA762">
        <v>1</v>
      </c>
      <c r="GV762" s="8">
        <v>43956</v>
      </c>
      <c r="GW762">
        <v>145</v>
      </c>
      <c r="GX762" t="s">
        <v>111</v>
      </c>
      <c r="GY762">
        <v>2</v>
      </c>
      <c r="HB762">
        <v>238</v>
      </c>
      <c r="HC762">
        <v>0</v>
      </c>
    </row>
    <row r="763" spans="1:325" ht="20.25">
      <c r="DV763">
        <v>52</v>
      </c>
      <c r="DW763" t="s">
        <v>57</v>
      </c>
      <c r="DX763" s="8">
        <v>43925</v>
      </c>
      <c r="DY763">
        <v>21</v>
      </c>
      <c r="EA763">
        <v>1</v>
      </c>
      <c r="GV763" s="8">
        <v>43957</v>
      </c>
      <c r="GW763">
        <v>145</v>
      </c>
      <c r="GX763" t="s">
        <v>111</v>
      </c>
      <c r="GY763">
        <v>2</v>
      </c>
      <c r="HB763">
        <v>238</v>
      </c>
      <c r="HC763">
        <v>0</v>
      </c>
    </row>
    <row r="764" spans="1:325" ht="20.25">
      <c r="DV764">
        <v>52</v>
      </c>
      <c r="DW764" t="s">
        <v>57</v>
      </c>
      <c r="DX764" s="8">
        <v>43926</v>
      </c>
      <c r="DY764">
        <v>23</v>
      </c>
      <c r="EA764">
        <v>1</v>
      </c>
      <c r="GV764" s="8">
        <v>43958</v>
      </c>
      <c r="GW764">
        <v>145</v>
      </c>
      <c r="GX764" t="s">
        <v>111</v>
      </c>
      <c r="GY764">
        <v>2</v>
      </c>
      <c r="HB764">
        <v>238</v>
      </c>
      <c r="HC764">
        <v>0</v>
      </c>
    </row>
    <row r="765" spans="1:325" ht="20.25">
      <c r="DV765">
        <v>52</v>
      </c>
      <c r="DW765" t="s">
        <v>57</v>
      </c>
      <c r="DX765" s="8">
        <v>43927</v>
      </c>
      <c r="DY765">
        <v>30</v>
      </c>
      <c r="EA765">
        <v>1</v>
      </c>
      <c r="GV765" s="8">
        <v>43959</v>
      </c>
      <c r="GW765">
        <v>145</v>
      </c>
      <c r="GX765" t="s">
        <v>111</v>
      </c>
      <c r="GY765">
        <v>2</v>
      </c>
      <c r="HB765">
        <v>238</v>
      </c>
      <c r="HC765">
        <v>0</v>
      </c>
    </row>
    <row r="766" spans="1:325" ht="20.25">
      <c r="DV766">
        <v>52</v>
      </c>
      <c r="DW766" t="s">
        <v>57</v>
      </c>
      <c r="DX766" s="8">
        <v>43928</v>
      </c>
      <c r="DY766">
        <v>33</v>
      </c>
      <c r="EA766">
        <v>1</v>
      </c>
      <c r="GV766" s="8">
        <v>43960</v>
      </c>
      <c r="GW766">
        <v>145</v>
      </c>
      <c r="GX766" t="s">
        <v>111</v>
      </c>
      <c r="GY766">
        <v>2</v>
      </c>
      <c r="HB766">
        <v>238</v>
      </c>
      <c r="HC766">
        <v>0</v>
      </c>
    </row>
    <row r="767" spans="1:325" ht="20.25">
      <c r="DV767">
        <v>52</v>
      </c>
      <c r="DW767" t="s">
        <v>57</v>
      </c>
      <c r="DX767" s="8">
        <v>43929</v>
      </c>
      <c r="DY767">
        <v>35</v>
      </c>
      <c r="EA767">
        <v>1</v>
      </c>
      <c r="GV767" s="8">
        <v>43961</v>
      </c>
      <c r="GW767">
        <v>145</v>
      </c>
      <c r="GX767" t="s">
        <v>111</v>
      </c>
      <c r="GY767">
        <v>2</v>
      </c>
      <c r="HB767">
        <v>238</v>
      </c>
      <c r="HC767">
        <v>0</v>
      </c>
    </row>
    <row r="768" spans="1:325" ht="20.25">
      <c r="DV768">
        <v>52</v>
      </c>
      <c r="DW768" t="s">
        <v>57</v>
      </c>
      <c r="DX768" s="8">
        <v>43930</v>
      </c>
      <c r="DY768">
        <v>47</v>
      </c>
      <c r="EA768">
        <v>1</v>
      </c>
      <c r="GV768" s="8">
        <v>43962</v>
      </c>
      <c r="GW768">
        <v>145</v>
      </c>
      <c r="GX768" t="s">
        <v>111</v>
      </c>
      <c r="GY768">
        <v>2</v>
      </c>
      <c r="HB768">
        <v>238</v>
      </c>
      <c r="HC768">
        <v>0</v>
      </c>
    </row>
    <row r="769" spans="1:325" ht="20.25">
      <c r="DV769">
        <v>52</v>
      </c>
      <c r="DW769" t="s">
        <v>57</v>
      </c>
      <c r="DX769" s="8">
        <v>43931</v>
      </c>
      <c r="DY769">
        <v>51</v>
      </c>
      <c r="EA769">
        <v>2</v>
      </c>
      <c r="GV769" s="8">
        <v>43963</v>
      </c>
      <c r="GW769">
        <v>145</v>
      </c>
      <c r="GX769" t="s">
        <v>111</v>
      </c>
      <c r="GY769">
        <v>2</v>
      </c>
      <c r="HB769">
        <v>238</v>
      </c>
      <c r="HC769">
        <v>0</v>
      </c>
    </row>
    <row r="770" spans="1:325" ht="20.25">
      <c r="DV770">
        <v>52</v>
      </c>
      <c r="DW770" t="s">
        <v>57</v>
      </c>
      <c r="DX770" s="8">
        <v>43932</v>
      </c>
      <c r="DY770">
        <v>56</v>
      </c>
      <c r="EA770">
        <v>1</v>
      </c>
      <c r="GV770" s="8">
        <v>43964</v>
      </c>
      <c r="GW770">
        <v>145</v>
      </c>
      <c r="GX770" t="s">
        <v>111</v>
      </c>
      <c r="GY770">
        <v>2</v>
      </c>
      <c r="HB770">
        <v>238</v>
      </c>
      <c r="HC770">
        <v>0</v>
      </c>
    </row>
    <row r="771" spans="1:325" ht="20.25">
      <c r="DV771">
        <v>52</v>
      </c>
      <c r="DW771" t="s">
        <v>57</v>
      </c>
      <c r="DX771" s="8">
        <v>43933</v>
      </c>
      <c r="DY771">
        <v>56</v>
      </c>
      <c r="EA771">
        <v>2</v>
      </c>
      <c r="GV771" s="8">
        <v>43965</v>
      </c>
      <c r="GW771">
        <v>145</v>
      </c>
      <c r="GX771" t="s">
        <v>111</v>
      </c>
      <c r="GY771">
        <v>2</v>
      </c>
      <c r="HB771">
        <v>238</v>
      </c>
      <c r="HC771">
        <v>0</v>
      </c>
    </row>
    <row r="772" spans="1:325" ht="20.25">
      <c r="DV772">
        <v>52</v>
      </c>
      <c r="DW772" t="s">
        <v>57</v>
      </c>
      <c r="DX772" s="8">
        <v>43934</v>
      </c>
      <c r="DY772">
        <v>56</v>
      </c>
      <c r="EA772">
        <v>2</v>
      </c>
      <c r="GV772" s="8">
        <v>43966</v>
      </c>
      <c r="GW772">
        <v>145</v>
      </c>
      <c r="GX772" t="s">
        <v>111</v>
      </c>
      <c r="GY772">
        <v>2</v>
      </c>
      <c r="HB772">
        <v>238</v>
      </c>
      <c r="HC772">
        <v>0</v>
      </c>
    </row>
    <row r="773" spans="1:325" ht="20.25">
      <c r="DV773">
        <v>52</v>
      </c>
      <c r="DW773" t="s">
        <v>57</v>
      </c>
      <c r="DX773" s="8">
        <v>43935</v>
      </c>
      <c r="DY773">
        <v>57</v>
      </c>
      <c r="EA773">
        <v>2</v>
      </c>
      <c r="GV773" s="8">
        <v>43967</v>
      </c>
      <c r="GW773">
        <v>145</v>
      </c>
      <c r="GX773" t="s">
        <v>111</v>
      </c>
      <c r="GY773">
        <v>4</v>
      </c>
      <c r="HB773">
        <v>476</v>
      </c>
      <c r="HC773">
        <v>0</v>
      </c>
      <c r="HF773">
        <v>13</v>
      </c>
    </row>
    <row r="774" spans="1:325" ht="20.25">
      <c r="DV774">
        <v>52</v>
      </c>
      <c r="DW774" t="s">
        <v>57</v>
      </c>
      <c r="DX774" s="8">
        <v>43936</v>
      </c>
      <c r="DY774">
        <v>60</v>
      </c>
      <c r="EA774">
        <v>2</v>
      </c>
      <c r="GV774" s="8">
        <v>43968</v>
      </c>
      <c r="GW774">
        <v>145</v>
      </c>
      <c r="GX774" t="s">
        <v>111</v>
      </c>
      <c r="GY774">
        <v>4</v>
      </c>
      <c r="HB774">
        <v>476</v>
      </c>
      <c r="HC774">
        <v>0</v>
      </c>
      <c r="HF774">
        <v>13</v>
      </c>
    </row>
    <row r="775" spans="1:325" ht="20.25">
      <c r="DV775">
        <v>52</v>
      </c>
      <c r="DW775" t="s">
        <v>57</v>
      </c>
      <c r="DX775" s="8">
        <v>43937</v>
      </c>
      <c r="DY775">
        <v>60</v>
      </c>
      <c r="DZ775">
        <v>235</v>
      </c>
      <c r="EA775">
        <v>3</v>
      </c>
      <c r="GV775" s="8">
        <v>43969</v>
      </c>
      <c r="GW775">
        <v>145</v>
      </c>
      <c r="GX775" t="s">
        <v>111</v>
      </c>
      <c r="GY775">
        <v>4</v>
      </c>
      <c r="HB775">
        <v>476</v>
      </c>
      <c r="HC775">
        <v>0</v>
      </c>
      <c r="HF775">
        <v>13</v>
      </c>
    </row>
    <row r="776" spans="1:325" ht="20.25">
      <c r="DV776">
        <v>52</v>
      </c>
      <c r="DW776" t="s">
        <v>57</v>
      </c>
      <c r="DX776" s="8">
        <v>43938</v>
      </c>
      <c r="DY776">
        <v>62</v>
      </c>
      <c r="DZ776">
        <v>243</v>
      </c>
      <c r="EA776">
        <v>3</v>
      </c>
      <c r="GV776" s="8">
        <v>43970</v>
      </c>
      <c r="GW776">
        <v>145</v>
      </c>
      <c r="GX776" t="s">
        <v>111</v>
      </c>
      <c r="GY776">
        <v>4</v>
      </c>
      <c r="HB776">
        <v>476</v>
      </c>
      <c r="HC776">
        <v>0</v>
      </c>
      <c r="HF776">
        <v>14</v>
      </c>
    </row>
    <row r="777" spans="1:325" ht="20.25">
      <c r="DV777">
        <v>52</v>
      </c>
      <c r="DW777" t="s">
        <v>57</v>
      </c>
      <c r="DX777" s="8">
        <v>43939</v>
      </c>
      <c r="DY777">
        <v>65</v>
      </c>
      <c r="DZ777">
        <v>255</v>
      </c>
      <c r="EA777">
        <v>6</v>
      </c>
      <c r="GV777" s="8">
        <v>43971</v>
      </c>
      <c r="GW777">
        <v>145</v>
      </c>
      <c r="GX777" t="s">
        <v>111</v>
      </c>
      <c r="GY777">
        <v>4</v>
      </c>
      <c r="HB777">
        <v>476</v>
      </c>
      <c r="HC777">
        <v>0</v>
      </c>
      <c r="HF777">
        <v>14</v>
      </c>
      <c r="HG777">
        <v>1667</v>
      </c>
    </row>
    <row r="778" spans="1:325" ht="20.25">
      <c r="DV778">
        <v>52</v>
      </c>
      <c r="DW778" t="s">
        <v>57</v>
      </c>
      <c r="DX778" s="8">
        <v>43940</v>
      </c>
      <c r="DY778">
        <v>65</v>
      </c>
      <c r="DZ778">
        <v>255</v>
      </c>
      <c r="EA778">
        <v>7</v>
      </c>
      <c r="GV778" s="8">
        <v>43972</v>
      </c>
      <c r="GW778">
        <v>145</v>
      </c>
      <c r="GX778" t="s">
        <v>111</v>
      </c>
      <c r="GY778">
        <v>4</v>
      </c>
      <c r="HB778">
        <v>476</v>
      </c>
      <c r="HC778">
        <v>0</v>
      </c>
      <c r="HF778">
        <v>14</v>
      </c>
      <c r="HG778">
        <v>1667</v>
      </c>
    </row>
    <row r="779" spans="1:325" ht="20.25">
      <c r="DV779">
        <v>52</v>
      </c>
      <c r="DW779" t="s">
        <v>57</v>
      </c>
      <c r="DX779" s="8">
        <v>43941</v>
      </c>
      <c r="DY779">
        <v>90</v>
      </c>
      <c r="DZ779">
        <v>353</v>
      </c>
      <c r="EA779">
        <v>13</v>
      </c>
      <c r="GV779" s="8">
        <v>43973</v>
      </c>
      <c r="GW779">
        <v>145</v>
      </c>
      <c r="GX779" t="s">
        <v>111</v>
      </c>
      <c r="GY779">
        <v>4</v>
      </c>
      <c r="HB779">
        <v>476</v>
      </c>
      <c r="HC779">
        <v>0</v>
      </c>
      <c r="HF779">
        <v>15</v>
      </c>
      <c r="HG779">
        <v>1786</v>
      </c>
    </row>
    <row r="780" spans="1:325" ht="20.25">
      <c r="DV780">
        <v>52</v>
      </c>
      <c r="DW780" t="s">
        <v>57</v>
      </c>
      <c r="DX780" s="8">
        <v>43942</v>
      </c>
      <c r="DY780">
        <v>96</v>
      </c>
      <c r="DZ780">
        <v>376</v>
      </c>
      <c r="EA780">
        <v>13</v>
      </c>
      <c r="GV780" s="8">
        <v>43974</v>
      </c>
      <c r="GW780">
        <v>145</v>
      </c>
      <c r="GX780" t="s">
        <v>111</v>
      </c>
      <c r="GY780">
        <v>4</v>
      </c>
      <c r="HB780">
        <v>476</v>
      </c>
      <c r="HC780">
        <v>0</v>
      </c>
      <c r="HF780">
        <v>15</v>
      </c>
      <c r="HG780">
        <v>1786</v>
      </c>
    </row>
    <row r="781" spans="1:325" ht="20.25">
      <c r="DV781">
        <v>52</v>
      </c>
      <c r="DW781" t="s">
        <v>57</v>
      </c>
      <c r="DX781" s="8">
        <v>43943</v>
      </c>
      <c r="DY781">
        <v>97</v>
      </c>
      <c r="DZ781">
        <v>380</v>
      </c>
      <c r="EA781">
        <v>16</v>
      </c>
      <c r="GV781" s="8">
        <v>43975</v>
      </c>
      <c r="GW781">
        <v>145</v>
      </c>
      <c r="GX781" t="s">
        <v>111</v>
      </c>
      <c r="GY781">
        <v>4</v>
      </c>
      <c r="HB781">
        <v>476</v>
      </c>
      <c r="HC781">
        <v>0</v>
      </c>
      <c r="HF781">
        <v>15</v>
      </c>
      <c r="HG781">
        <v>1786</v>
      </c>
    </row>
    <row r="782" spans="1:325" ht="20.25">
      <c r="DV782">
        <v>52</v>
      </c>
      <c r="DW782" t="s">
        <v>57</v>
      </c>
      <c r="DX782" s="8">
        <v>43944</v>
      </c>
      <c r="DY782">
        <v>108</v>
      </c>
      <c r="DZ782">
        <v>423</v>
      </c>
      <c r="EA782">
        <v>16</v>
      </c>
      <c r="GV782" s="8">
        <v>43976</v>
      </c>
      <c r="GW782">
        <v>145</v>
      </c>
      <c r="GX782" t="s">
        <v>111</v>
      </c>
      <c r="GY782">
        <v>4</v>
      </c>
      <c r="HB782">
        <v>476</v>
      </c>
      <c r="HC782">
        <v>0</v>
      </c>
      <c r="HF782">
        <v>16</v>
      </c>
      <c r="HG782">
        <v>1905</v>
      </c>
    </row>
    <row r="783" spans="1:325" ht="20.25">
      <c r="DV783">
        <v>52</v>
      </c>
      <c r="DW783" t="s">
        <v>57</v>
      </c>
      <c r="DX783" s="8">
        <v>43945</v>
      </c>
      <c r="DY783">
        <v>127</v>
      </c>
      <c r="DZ783">
        <v>498</v>
      </c>
      <c r="EA783">
        <v>17</v>
      </c>
      <c r="GV783" s="8">
        <v>43977</v>
      </c>
      <c r="GW783">
        <v>145</v>
      </c>
      <c r="GX783" t="s">
        <v>111</v>
      </c>
      <c r="GY783">
        <v>4</v>
      </c>
      <c r="HB783">
        <v>476</v>
      </c>
      <c r="HC783">
        <v>0</v>
      </c>
      <c r="HF783">
        <v>16</v>
      </c>
      <c r="HG783">
        <v>1905</v>
      </c>
    </row>
    <row r="784" spans="1:325" ht="20.25">
      <c r="DV784">
        <v>52</v>
      </c>
      <c r="DW784" t="s">
        <v>57</v>
      </c>
      <c r="DX784" s="8">
        <v>43946</v>
      </c>
      <c r="DY784">
        <v>131</v>
      </c>
      <c r="DZ784">
        <v>514</v>
      </c>
      <c r="EA784">
        <v>17</v>
      </c>
      <c r="GV784" s="8">
        <v>43978</v>
      </c>
      <c r="GW784">
        <v>145</v>
      </c>
      <c r="GX784" t="s">
        <v>111</v>
      </c>
      <c r="GY784">
        <v>5</v>
      </c>
      <c r="HB784">
        <v>595</v>
      </c>
      <c r="HC784">
        <v>0</v>
      </c>
      <c r="HF784">
        <v>17</v>
      </c>
      <c r="HG784">
        <v>2024</v>
      </c>
    </row>
    <row r="785" spans="1:325" ht="20.25">
      <c r="DV785">
        <v>52</v>
      </c>
      <c r="DW785" t="s">
        <v>57</v>
      </c>
      <c r="DX785" s="8">
        <v>43947</v>
      </c>
      <c r="DY785">
        <v>147</v>
      </c>
      <c r="DZ785">
        <v>576</v>
      </c>
      <c r="EA785">
        <v>17</v>
      </c>
      <c r="GV785" s="8">
        <v>43979</v>
      </c>
      <c r="GW785">
        <v>145</v>
      </c>
      <c r="GX785" t="s">
        <v>111</v>
      </c>
      <c r="GY785">
        <v>6</v>
      </c>
      <c r="HB785">
        <v>714</v>
      </c>
      <c r="HC785">
        <v>0</v>
      </c>
      <c r="HF785">
        <v>17</v>
      </c>
      <c r="HG785">
        <v>2024</v>
      </c>
    </row>
    <row r="786" spans="1:325" ht="20.25">
      <c r="DV786">
        <v>52</v>
      </c>
      <c r="DW786" t="s">
        <v>57</v>
      </c>
      <c r="DX786" s="8">
        <v>43948</v>
      </c>
      <c r="DY786">
        <v>148</v>
      </c>
      <c r="DZ786">
        <v>580</v>
      </c>
      <c r="EA786">
        <v>17</v>
      </c>
      <c r="GV786" s="8">
        <v>43980</v>
      </c>
      <c r="GW786">
        <v>145</v>
      </c>
      <c r="GX786" t="s">
        <v>111</v>
      </c>
      <c r="GY786">
        <v>6</v>
      </c>
      <c r="HB786">
        <v>714</v>
      </c>
      <c r="HC786">
        <v>0</v>
      </c>
      <c r="HF786">
        <v>17</v>
      </c>
      <c r="HG786">
        <v>2024</v>
      </c>
    </row>
    <row r="787" spans="1:325" ht="20.25">
      <c r="DV787">
        <v>52</v>
      </c>
      <c r="DW787" t="s">
        <v>57</v>
      </c>
      <c r="DX787" s="8">
        <v>43949</v>
      </c>
      <c r="DY787">
        <v>148</v>
      </c>
      <c r="DZ787">
        <v>580</v>
      </c>
      <c r="EA787">
        <v>18</v>
      </c>
      <c r="GV787" s="8">
        <v>43981</v>
      </c>
      <c r="GW787">
        <v>145</v>
      </c>
      <c r="GX787" t="s">
        <v>111</v>
      </c>
      <c r="GY787">
        <v>6</v>
      </c>
      <c r="HB787">
        <v>714</v>
      </c>
      <c r="HC787">
        <v>0</v>
      </c>
      <c r="HF787">
        <v>17</v>
      </c>
      <c r="HG787">
        <v>2024</v>
      </c>
    </row>
    <row r="788" spans="1:325" ht="20.25">
      <c r="DV788">
        <v>52</v>
      </c>
      <c r="DW788" t="s">
        <v>57</v>
      </c>
      <c r="DX788" s="8">
        <v>43950</v>
      </c>
      <c r="DY788">
        <v>150</v>
      </c>
      <c r="DZ788">
        <v>588</v>
      </c>
      <c r="EA788">
        <v>18</v>
      </c>
      <c r="GV788" s="8">
        <v>43982</v>
      </c>
      <c r="GW788">
        <v>145</v>
      </c>
      <c r="GX788" t="s">
        <v>111</v>
      </c>
      <c r="GY788">
        <v>6</v>
      </c>
      <c r="GZ788">
        <v>5</v>
      </c>
      <c r="HA788">
        <v>1</v>
      </c>
      <c r="HB788">
        <v>714</v>
      </c>
      <c r="HC788">
        <v>0</v>
      </c>
      <c r="HD788">
        <v>0</v>
      </c>
      <c r="HE788">
        <v>0</v>
      </c>
      <c r="HF788">
        <v>17</v>
      </c>
      <c r="HG788">
        <v>2024</v>
      </c>
      <c r="HH788">
        <v>17</v>
      </c>
      <c r="HI788">
        <v>5</v>
      </c>
      <c r="HJ788">
        <v>12</v>
      </c>
      <c r="HK788">
        <v>0</v>
      </c>
    </row>
    <row r="789" spans="1:325" ht="20.25">
      <c r="DV789">
        <v>52</v>
      </c>
      <c r="DW789" t="s">
        <v>57</v>
      </c>
      <c r="DX789" s="8">
        <v>43951</v>
      </c>
      <c r="DY789">
        <v>155</v>
      </c>
      <c r="DZ789">
        <v>608</v>
      </c>
      <c r="EA789">
        <v>19</v>
      </c>
      <c r="GV789" s="8">
        <v>43983</v>
      </c>
      <c r="GW789">
        <v>145</v>
      </c>
      <c r="GX789" t="s">
        <v>111</v>
      </c>
      <c r="GY789">
        <v>5</v>
      </c>
      <c r="GZ789">
        <v>4</v>
      </c>
      <c r="HA789">
        <v>1</v>
      </c>
      <c r="HB789">
        <v>595</v>
      </c>
      <c r="HC789">
        <v>0</v>
      </c>
      <c r="HD789">
        <v>0</v>
      </c>
      <c r="HE789">
        <v>0</v>
      </c>
      <c r="HF789">
        <v>18</v>
      </c>
      <c r="HG789">
        <v>2143</v>
      </c>
      <c r="HH789">
        <v>18</v>
      </c>
      <c r="HI789">
        <v>4</v>
      </c>
      <c r="HJ789">
        <v>14</v>
      </c>
      <c r="HK789">
        <v>0</v>
      </c>
    </row>
    <row r="790" spans="1:325" ht="20.25">
      <c r="DV790">
        <v>52</v>
      </c>
      <c r="DW790" t="s">
        <v>57</v>
      </c>
      <c r="DX790" s="8">
        <v>43952</v>
      </c>
      <c r="DY790">
        <v>159</v>
      </c>
      <c r="DZ790">
        <v>623</v>
      </c>
      <c r="EA790">
        <v>19</v>
      </c>
      <c r="GV790" s="8">
        <v>43984</v>
      </c>
      <c r="GW790">
        <v>145</v>
      </c>
      <c r="GX790" t="s">
        <v>111</v>
      </c>
      <c r="GY790">
        <v>5</v>
      </c>
      <c r="GZ790">
        <v>4</v>
      </c>
      <c r="HA790">
        <v>1</v>
      </c>
      <c r="HB790">
        <v>595</v>
      </c>
      <c r="HC790">
        <v>0</v>
      </c>
      <c r="HD790">
        <v>0</v>
      </c>
      <c r="HE790">
        <v>0</v>
      </c>
      <c r="HF790">
        <v>18</v>
      </c>
      <c r="HG790">
        <v>2143</v>
      </c>
      <c r="HH790">
        <v>18</v>
      </c>
      <c r="HI790">
        <v>4</v>
      </c>
      <c r="HJ790">
        <v>14</v>
      </c>
      <c r="HK790">
        <v>0</v>
      </c>
    </row>
    <row r="791" spans="1:325" ht="20.25">
      <c r="DV791">
        <v>52</v>
      </c>
      <c r="DW791" t="s">
        <v>57</v>
      </c>
      <c r="DX791" s="8">
        <v>43953</v>
      </c>
      <c r="DY791">
        <v>161</v>
      </c>
      <c r="DZ791">
        <v>631</v>
      </c>
      <c r="EA791">
        <v>19</v>
      </c>
      <c r="GV791" s="8">
        <v>43914</v>
      </c>
      <c r="GW791">
        <v>146</v>
      </c>
      <c r="GX791" t="s">
        <v>91</v>
      </c>
      <c r="GY791">
        <v>3</v>
      </c>
      <c r="HC791">
        <v>0</v>
      </c>
    </row>
    <row r="792" spans="1:325" ht="20.25">
      <c r="DV792">
        <v>52</v>
      </c>
      <c r="DW792" t="s">
        <v>57</v>
      </c>
      <c r="DX792" s="8">
        <v>43954</v>
      </c>
      <c r="DY792">
        <v>161</v>
      </c>
      <c r="DZ792">
        <v>631</v>
      </c>
      <c r="EA792">
        <v>19</v>
      </c>
      <c r="GV792" s="8">
        <v>43915</v>
      </c>
      <c r="GW792">
        <v>146</v>
      </c>
      <c r="GX792" t="s">
        <v>91</v>
      </c>
      <c r="GY792">
        <v>4</v>
      </c>
      <c r="HC792">
        <v>0</v>
      </c>
    </row>
    <row r="793" spans="1:325" ht="20.25">
      <c r="DV793">
        <v>52</v>
      </c>
      <c r="DW793" t="s">
        <v>57</v>
      </c>
      <c r="DX793" s="8">
        <v>43955</v>
      </c>
      <c r="DY793">
        <v>159</v>
      </c>
      <c r="DZ793">
        <v>623</v>
      </c>
      <c r="EA793">
        <v>19</v>
      </c>
      <c r="GV793" s="8">
        <v>43916</v>
      </c>
      <c r="GW793">
        <v>146</v>
      </c>
      <c r="GX793" t="s">
        <v>91</v>
      </c>
      <c r="GY793">
        <v>5</v>
      </c>
      <c r="HC793">
        <v>0</v>
      </c>
    </row>
    <row r="794" spans="1:325" ht="20.25">
      <c r="DV794">
        <v>52</v>
      </c>
      <c r="DW794" t="s">
        <v>57</v>
      </c>
      <c r="DX794" s="8">
        <v>43956</v>
      </c>
      <c r="DY794">
        <v>161</v>
      </c>
      <c r="DZ794">
        <v>631</v>
      </c>
      <c r="EA794">
        <v>21</v>
      </c>
      <c r="GV794" s="8">
        <v>43917</v>
      </c>
      <c r="GW794">
        <v>146</v>
      </c>
      <c r="GX794" t="s">
        <v>91</v>
      </c>
      <c r="GY794">
        <v>4</v>
      </c>
      <c r="HC794">
        <v>0</v>
      </c>
    </row>
    <row r="795" spans="1:325" ht="20.25">
      <c r="DV795">
        <v>52</v>
      </c>
      <c r="DW795" t="s">
        <v>57</v>
      </c>
      <c r="DX795" s="8">
        <v>43957</v>
      </c>
      <c r="DY795">
        <v>163</v>
      </c>
      <c r="DZ795">
        <v>639</v>
      </c>
      <c r="EA795">
        <v>24</v>
      </c>
      <c r="GV795" s="8">
        <v>43918</v>
      </c>
      <c r="GW795">
        <v>146</v>
      </c>
      <c r="GX795" t="s">
        <v>91</v>
      </c>
      <c r="GY795">
        <v>7</v>
      </c>
      <c r="HC795">
        <v>0</v>
      </c>
    </row>
    <row r="796" spans="1:325" ht="20.25">
      <c r="DV796">
        <v>52</v>
      </c>
      <c r="DW796" t="s">
        <v>57</v>
      </c>
      <c r="DX796" s="8">
        <v>43958</v>
      </c>
      <c r="DY796">
        <v>163</v>
      </c>
      <c r="DZ796">
        <v>639</v>
      </c>
      <c r="EA796">
        <v>26</v>
      </c>
      <c r="GV796" s="8">
        <v>43919</v>
      </c>
      <c r="GW796">
        <v>146</v>
      </c>
      <c r="GX796" t="s">
        <v>91</v>
      </c>
      <c r="GY796">
        <v>8</v>
      </c>
      <c r="HC796">
        <v>0</v>
      </c>
    </row>
    <row r="797" spans="1:325" ht="20.25">
      <c r="DV797">
        <v>52</v>
      </c>
      <c r="DW797" t="s">
        <v>57</v>
      </c>
      <c r="DX797" s="8">
        <v>43959</v>
      </c>
      <c r="DY797">
        <v>164</v>
      </c>
      <c r="DZ797">
        <v>643</v>
      </c>
      <c r="EA797">
        <v>26</v>
      </c>
      <c r="GV797" s="8">
        <v>43920</v>
      </c>
      <c r="GW797">
        <v>146</v>
      </c>
      <c r="GX797" t="s">
        <v>91</v>
      </c>
      <c r="GY797">
        <v>10</v>
      </c>
      <c r="HC797">
        <v>0</v>
      </c>
    </row>
    <row r="798" spans="1:325" ht="20.25">
      <c r="DV798">
        <v>52</v>
      </c>
      <c r="DW798" t="s">
        <v>57</v>
      </c>
      <c r="DX798" s="8">
        <v>43960</v>
      </c>
      <c r="DY798">
        <v>165</v>
      </c>
      <c r="DZ798">
        <v>647</v>
      </c>
      <c r="EA798">
        <v>25</v>
      </c>
      <c r="GV798" s="8">
        <v>43921</v>
      </c>
      <c r="GW798">
        <v>146</v>
      </c>
      <c r="GX798" t="s">
        <v>91</v>
      </c>
      <c r="GY798">
        <v>11</v>
      </c>
      <c r="HC798">
        <v>0</v>
      </c>
    </row>
    <row r="799" spans="1:325" ht="20.25">
      <c r="DV799">
        <v>52</v>
      </c>
      <c r="DW799" t="s">
        <v>57</v>
      </c>
      <c r="DX799" s="8">
        <v>43961</v>
      </c>
      <c r="DY799">
        <v>166</v>
      </c>
      <c r="DZ799">
        <v>651</v>
      </c>
      <c r="EA799">
        <v>25</v>
      </c>
      <c r="GV799" s="8">
        <v>43922</v>
      </c>
      <c r="GW799">
        <v>146</v>
      </c>
      <c r="GX799" t="s">
        <v>91</v>
      </c>
      <c r="GY799">
        <v>13</v>
      </c>
      <c r="HC799">
        <v>0</v>
      </c>
    </row>
    <row r="800" spans="1:325" ht="20.25">
      <c r="DV800">
        <v>52</v>
      </c>
      <c r="DW800" t="s">
        <v>57</v>
      </c>
      <c r="DX800" s="8">
        <v>43962</v>
      </c>
      <c r="DY800">
        <v>169</v>
      </c>
      <c r="DZ800">
        <v>663</v>
      </c>
      <c r="EA800">
        <v>25</v>
      </c>
      <c r="GV800" s="8">
        <v>43923</v>
      </c>
      <c r="GW800">
        <v>146</v>
      </c>
      <c r="GX800" t="s">
        <v>91</v>
      </c>
      <c r="GY800">
        <v>14</v>
      </c>
      <c r="HC800">
        <v>0</v>
      </c>
    </row>
    <row r="801" spans="1:325" ht="20.25">
      <c r="DV801">
        <v>52</v>
      </c>
      <c r="DW801" t="s">
        <v>57</v>
      </c>
      <c r="DX801" s="8">
        <v>43963</v>
      </c>
      <c r="DY801">
        <v>171</v>
      </c>
      <c r="DZ801">
        <v>670</v>
      </c>
      <c r="EA801">
        <v>26</v>
      </c>
      <c r="GV801" s="8">
        <v>43924</v>
      </c>
      <c r="GW801">
        <v>146</v>
      </c>
      <c r="GX801" t="s">
        <v>91</v>
      </c>
      <c r="GY801">
        <v>15</v>
      </c>
      <c r="HC801">
        <v>0</v>
      </c>
    </row>
    <row r="802" spans="1:325" ht="20.25">
      <c r="DV802">
        <v>52</v>
      </c>
      <c r="DW802" t="s">
        <v>57</v>
      </c>
      <c r="DX802" s="8">
        <v>43964</v>
      </c>
      <c r="DY802">
        <v>172</v>
      </c>
      <c r="DZ802">
        <v>674</v>
      </c>
      <c r="EA802">
        <v>26</v>
      </c>
      <c r="GV802" s="8">
        <v>43925</v>
      </c>
      <c r="GW802">
        <v>146</v>
      </c>
      <c r="GX802" t="s">
        <v>91</v>
      </c>
      <c r="GY802">
        <v>20</v>
      </c>
      <c r="HC802">
        <v>0</v>
      </c>
    </row>
    <row r="803" spans="1:325" ht="20.25">
      <c r="DV803">
        <v>52</v>
      </c>
      <c r="DW803" t="s">
        <v>57</v>
      </c>
      <c r="DX803" s="8">
        <v>43965</v>
      </c>
      <c r="DY803">
        <v>175</v>
      </c>
      <c r="DZ803">
        <v>686</v>
      </c>
      <c r="EA803">
        <v>27</v>
      </c>
      <c r="GV803" s="8">
        <v>43926</v>
      </c>
      <c r="GW803">
        <v>146</v>
      </c>
      <c r="GX803" t="s">
        <v>91</v>
      </c>
      <c r="GY803">
        <v>21</v>
      </c>
      <c r="HC803">
        <v>0</v>
      </c>
    </row>
    <row r="804" spans="1:325" ht="20.25">
      <c r="DV804">
        <v>52</v>
      </c>
      <c r="DW804" t="s">
        <v>57</v>
      </c>
      <c r="DX804" s="8">
        <v>43966</v>
      </c>
      <c r="DY804">
        <v>179</v>
      </c>
      <c r="DZ804">
        <v>702</v>
      </c>
      <c r="EA804">
        <v>29</v>
      </c>
      <c r="GV804" s="8">
        <v>43927</v>
      </c>
      <c r="GW804">
        <v>146</v>
      </c>
      <c r="GX804" t="s">
        <v>91</v>
      </c>
      <c r="GY804">
        <v>22</v>
      </c>
      <c r="HC804">
        <v>0</v>
      </c>
    </row>
    <row r="805" spans="1:325" ht="20.25">
      <c r="DV805">
        <v>54</v>
      </c>
      <c r="DW805" t="s">
        <v>58</v>
      </c>
      <c r="DX805" s="8">
        <v>43914</v>
      </c>
      <c r="DY805">
        <v>6</v>
      </c>
      <c r="EA805">
        <v>0</v>
      </c>
      <c r="GV805" s="8">
        <v>43928</v>
      </c>
      <c r="GW805">
        <v>146</v>
      </c>
      <c r="GX805" t="s">
        <v>91</v>
      </c>
      <c r="GY805">
        <v>24</v>
      </c>
      <c r="HC805">
        <v>0</v>
      </c>
    </row>
    <row r="806" spans="1:325" ht="20.25">
      <c r="DV806">
        <v>54</v>
      </c>
      <c r="DW806" t="s">
        <v>58</v>
      </c>
      <c r="DX806" s="8">
        <v>43915</v>
      </c>
      <c r="DY806">
        <v>7</v>
      </c>
      <c r="EA806">
        <v>0</v>
      </c>
      <c r="GV806" s="8">
        <v>43929</v>
      </c>
      <c r="GW806">
        <v>146</v>
      </c>
      <c r="GX806" t="s">
        <v>91</v>
      </c>
      <c r="GY806">
        <v>29</v>
      </c>
      <c r="HC806">
        <v>0</v>
      </c>
    </row>
    <row r="807" spans="1:325" ht="20.25">
      <c r="DV807">
        <v>54</v>
      </c>
      <c r="DW807" t="s">
        <v>58</v>
      </c>
      <c r="DX807" s="8">
        <v>43916</v>
      </c>
      <c r="DY807">
        <v>8</v>
      </c>
      <c r="EA807">
        <v>0</v>
      </c>
      <c r="GV807" s="8">
        <v>43930</v>
      </c>
      <c r="GW807">
        <v>146</v>
      </c>
      <c r="GX807" t="s">
        <v>91</v>
      </c>
      <c r="GY807">
        <v>33</v>
      </c>
      <c r="HC807">
        <v>0</v>
      </c>
    </row>
    <row r="808" spans="1:325" ht="20.25">
      <c r="DV808">
        <v>54</v>
      </c>
      <c r="DW808" t="s">
        <v>58</v>
      </c>
      <c r="DX808" s="8">
        <v>43917</v>
      </c>
      <c r="DY808">
        <v>8</v>
      </c>
      <c r="EA808">
        <v>0</v>
      </c>
      <c r="GV808" s="8">
        <v>43931</v>
      </c>
      <c r="GW808">
        <v>146</v>
      </c>
      <c r="GX808" t="s">
        <v>91</v>
      </c>
      <c r="GY808">
        <v>40</v>
      </c>
      <c r="HC808">
        <v>0</v>
      </c>
    </row>
    <row r="809" spans="1:325" ht="20.25">
      <c r="DV809">
        <v>54</v>
      </c>
      <c r="DW809" t="s">
        <v>58</v>
      </c>
      <c r="DX809" s="8">
        <v>43918</v>
      </c>
      <c r="DY809">
        <v>8</v>
      </c>
      <c r="EA809">
        <v>0</v>
      </c>
      <c r="GV809" s="8">
        <v>43932</v>
      </c>
      <c r="GW809">
        <v>146</v>
      </c>
      <c r="GX809" t="s">
        <v>91</v>
      </c>
      <c r="GY809">
        <v>44</v>
      </c>
      <c r="HC809">
        <v>0</v>
      </c>
    </row>
    <row r="810" spans="1:325" ht="20.25">
      <c r="DV810">
        <v>54</v>
      </c>
      <c r="DW810" t="s">
        <v>58</v>
      </c>
      <c r="DX810" s="8">
        <v>43919</v>
      </c>
      <c r="DY810">
        <v>11</v>
      </c>
      <c r="EA810">
        <v>0</v>
      </c>
      <c r="GV810" s="8">
        <v>43933</v>
      </c>
      <c r="GW810">
        <v>146</v>
      </c>
      <c r="GX810" t="s">
        <v>91</v>
      </c>
      <c r="GY810">
        <v>52</v>
      </c>
      <c r="HC810">
        <v>1</v>
      </c>
    </row>
    <row r="811" spans="1:325" ht="20.25">
      <c r="DV811">
        <v>54</v>
      </c>
      <c r="DW811" t="s">
        <v>58</v>
      </c>
      <c r="DX811" s="8">
        <v>43920</v>
      </c>
      <c r="DY811">
        <v>12</v>
      </c>
      <c r="EA811">
        <v>0</v>
      </c>
      <c r="GV811" s="8">
        <v>43934</v>
      </c>
      <c r="GW811">
        <v>146</v>
      </c>
      <c r="GX811" t="s">
        <v>91</v>
      </c>
      <c r="GY811">
        <v>60</v>
      </c>
      <c r="HC811">
        <v>1</v>
      </c>
    </row>
    <row r="812" spans="1:325" ht="20.25">
      <c r="DV812">
        <v>54</v>
      </c>
      <c r="DW812" t="s">
        <v>58</v>
      </c>
      <c r="DX812" s="8">
        <v>43921</v>
      </c>
      <c r="DY812">
        <v>12</v>
      </c>
      <c r="EA812">
        <v>0</v>
      </c>
      <c r="GV812" s="8">
        <v>43935</v>
      </c>
      <c r="GW812">
        <v>146</v>
      </c>
      <c r="GX812" t="s">
        <v>91</v>
      </c>
      <c r="GY812">
        <v>61</v>
      </c>
      <c r="HC812">
        <v>2</v>
      </c>
    </row>
    <row r="813" spans="1:325" ht="20.25">
      <c r="DV813">
        <v>54</v>
      </c>
      <c r="DW813" t="s">
        <v>58</v>
      </c>
      <c r="DX813" s="8">
        <v>43922</v>
      </c>
      <c r="DY813">
        <v>13</v>
      </c>
      <c r="EA813">
        <v>1</v>
      </c>
      <c r="GV813" s="8">
        <v>43936</v>
      </c>
      <c r="GW813">
        <v>146</v>
      </c>
      <c r="GX813" t="s">
        <v>91</v>
      </c>
      <c r="GY813">
        <v>67</v>
      </c>
      <c r="HC813">
        <v>2</v>
      </c>
    </row>
    <row r="814" spans="1:325" ht="20.25">
      <c r="DV814">
        <v>54</v>
      </c>
      <c r="DW814" t="s">
        <v>58</v>
      </c>
      <c r="DX814" s="8">
        <v>43923</v>
      </c>
      <c r="DY814">
        <v>14</v>
      </c>
      <c r="EA814">
        <v>1</v>
      </c>
      <c r="GV814" s="8">
        <v>43937</v>
      </c>
      <c r="GW814">
        <v>146</v>
      </c>
      <c r="GX814" t="s">
        <v>91</v>
      </c>
      <c r="GY814">
        <v>74</v>
      </c>
      <c r="HB814">
        <v>253</v>
      </c>
      <c r="HC814">
        <v>2</v>
      </c>
    </row>
    <row r="815" spans="1:325" ht="20.25">
      <c r="DV815">
        <v>54</v>
      </c>
      <c r="DW815" t="s">
        <v>58</v>
      </c>
      <c r="DX815" s="8">
        <v>43924</v>
      </c>
      <c r="DY815">
        <v>18</v>
      </c>
      <c r="EA815">
        <v>1</v>
      </c>
      <c r="GV815" s="8">
        <v>43938</v>
      </c>
      <c r="GW815">
        <v>146</v>
      </c>
      <c r="GX815" t="s">
        <v>91</v>
      </c>
      <c r="GY815">
        <v>82</v>
      </c>
      <c r="HB815">
        <v>280</v>
      </c>
      <c r="HC815">
        <v>5</v>
      </c>
    </row>
    <row r="816" spans="1:325" ht="20.25">
      <c r="DV816">
        <v>54</v>
      </c>
      <c r="DW816" t="s">
        <v>58</v>
      </c>
      <c r="DX816" s="8">
        <v>43925</v>
      </c>
      <c r="DY816">
        <v>20</v>
      </c>
      <c r="EA816">
        <v>1</v>
      </c>
      <c r="GV816" s="8">
        <v>43939</v>
      </c>
      <c r="GW816">
        <v>146</v>
      </c>
      <c r="GX816" t="s">
        <v>91</v>
      </c>
      <c r="GY816">
        <v>87</v>
      </c>
      <c r="HB816">
        <v>297</v>
      </c>
      <c r="HC816">
        <v>5</v>
      </c>
    </row>
    <row r="817" spans="1:325" ht="20.25">
      <c r="DV817">
        <v>54</v>
      </c>
      <c r="DW817" t="s">
        <v>58</v>
      </c>
      <c r="DX817" s="8">
        <v>43926</v>
      </c>
      <c r="DY817">
        <v>21</v>
      </c>
      <c r="EA817">
        <v>1</v>
      </c>
      <c r="GV817" s="8">
        <v>43940</v>
      </c>
      <c r="GW817">
        <v>146</v>
      </c>
      <c r="GX817" t="s">
        <v>91</v>
      </c>
      <c r="GY817">
        <v>90</v>
      </c>
      <c r="HB817">
        <v>307</v>
      </c>
      <c r="HC817">
        <v>5</v>
      </c>
    </row>
    <row r="818" spans="1:325" ht="20.25">
      <c r="DV818">
        <v>54</v>
      </c>
      <c r="DW818" t="s">
        <v>58</v>
      </c>
      <c r="DX818" s="8">
        <v>43927</v>
      </c>
      <c r="DY818">
        <v>26</v>
      </c>
      <c r="EA818">
        <v>1</v>
      </c>
      <c r="GV818" s="8">
        <v>43941</v>
      </c>
      <c r="GW818">
        <v>146</v>
      </c>
      <c r="GX818" t="s">
        <v>91</v>
      </c>
      <c r="GY818">
        <v>93</v>
      </c>
      <c r="HB818">
        <v>317</v>
      </c>
      <c r="HC818">
        <v>5</v>
      </c>
    </row>
    <row r="819" spans="1:325" ht="20.25">
      <c r="DV819">
        <v>54</v>
      </c>
      <c r="DW819" t="s">
        <v>58</v>
      </c>
      <c r="DX819" s="8">
        <v>43928</v>
      </c>
      <c r="DY819">
        <v>35</v>
      </c>
      <c r="EA819">
        <v>2</v>
      </c>
      <c r="GV819" s="8">
        <v>43942</v>
      </c>
      <c r="GW819">
        <v>146</v>
      </c>
      <c r="GX819" t="s">
        <v>91</v>
      </c>
      <c r="GY819">
        <v>94</v>
      </c>
      <c r="HB819">
        <v>321</v>
      </c>
      <c r="HC819">
        <v>6</v>
      </c>
    </row>
    <row r="820" spans="1:325" ht="20.25">
      <c r="DV820">
        <v>54</v>
      </c>
      <c r="DW820" t="s">
        <v>58</v>
      </c>
      <c r="DX820" s="8">
        <v>43929</v>
      </c>
      <c r="DY820">
        <v>38</v>
      </c>
      <c r="EA820">
        <v>2</v>
      </c>
      <c r="GV820" s="8">
        <v>43943</v>
      </c>
      <c r="GW820">
        <v>146</v>
      </c>
      <c r="GX820" t="s">
        <v>91</v>
      </c>
      <c r="GY820">
        <v>99</v>
      </c>
      <c r="HB820">
        <v>338</v>
      </c>
      <c r="HC820">
        <v>7</v>
      </c>
    </row>
    <row r="821" spans="1:325" ht="20.25">
      <c r="DV821">
        <v>54</v>
      </c>
      <c r="DW821" t="s">
        <v>58</v>
      </c>
      <c r="DX821" s="8">
        <v>43930</v>
      </c>
      <c r="DY821">
        <v>43</v>
      </c>
      <c r="EA821">
        <v>2</v>
      </c>
      <c r="GV821" s="8">
        <v>43944</v>
      </c>
      <c r="GW821">
        <v>146</v>
      </c>
      <c r="GX821" t="s">
        <v>91</v>
      </c>
      <c r="GY821">
        <v>100</v>
      </c>
      <c r="HB821">
        <v>341</v>
      </c>
      <c r="HC821">
        <v>7</v>
      </c>
    </row>
    <row r="822" spans="1:325" ht="20.25">
      <c r="DV822">
        <v>54</v>
      </c>
      <c r="DW822" t="s">
        <v>58</v>
      </c>
      <c r="DX822" s="8">
        <v>43931</v>
      </c>
      <c r="DY822">
        <v>49</v>
      </c>
      <c r="EA822">
        <v>2</v>
      </c>
      <c r="GV822" s="8">
        <v>43945</v>
      </c>
      <c r="GW822">
        <v>146</v>
      </c>
      <c r="GX822" t="s">
        <v>91</v>
      </c>
      <c r="GY822">
        <v>100</v>
      </c>
      <c r="HB822">
        <v>341</v>
      </c>
      <c r="HC822">
        <v>6</v>
      </c>
    </row>
    <row r="823" spans="1:325" ht="20.25">
      <c r="DV823">
        <v>54</v>
      </c>
      <c r="DW823" t="s">
        <v>58</v>
      </c>
      <c r="DX823" s="8">
        <v>43932</v>
      </c>
      <c r="DY823">
        <v>58</v>
      </c>
      <c r="EA823">
        <v>5</v>
      </c>
      <c r="GV823" s="8">
        <v>43946</v>
      </c>
      <c r="GW823">
        <v>146</v>
      </c>
      <c r="GX823" t="s">
        <v>91</v>
      </c>
      <c r="GY823">
        <v>104</v>
      </c>
      <c r="HB823">
        <v>355</v>
      </c>
      <c r="HC823">
        <v>7</v>
      </c>
    </row>
    <row r="824" spans="1:325" ht="20.25">
      <c r="DV824">
        <v>54</v>
      </c>
      <c r="DW824" t="s">
        <v>58</v>
      </c>
      <c r="DX824" s="8">
        <v>43933</v>
      </c>
      <c r="DY824">
        <v>59</v>
      </c>
      <c r="EA824">
        <v>6</v>
      </c>
      <c r="GV824" s="8">
        <v>43947</v>
      </c>
      <c r="GW824">
        <v>146</v>
      </c>
      <c r="GX824" t="s">
        <v>91</v>
      </c>
      <c r="GY824">
        <v>120</v>
      </c>
      <c r="HB824">
        <v>410</v>
      </c>
      <c r="HC824">
        <v>7</v>
      </c>
    </row>
    <row r="825" spans="1:325" ht="20.25">
      <c r="DV825">
        <v>54</v>
      </c>
      <c r="DW825" t="s">
        <v>58</v>
      </c>
      <c r="DX825" s="8">
        <v>43934</v>
      </c>
      <c r="DY825">
        <v>69</v>
      </c>
      <c r="EA825">
        <v>6</v>
      </c>
      <c r="GV825" s="8">
        <v>43948</v>
      </c>
      <c r="GW825">
        <v>146</v>
      </c>
      <c r="GX825" t="s">
        <v>91</v>
      </c>
      <c r="GY825">
        <v>122</v>
      </c>
      <c r="HB825">
        <v>416</v>
      </c>
      <c r="HC825">
        <v>7</v>
      </c>
    </row>
    <row r="826" spans="1:325" ht="20.25">
      <c r="DV826">
        <v>54</v>
      </c>
      <c r="DW826" t="s">
        <v>58</v>
      </c>
      <c r="DX826" s="8">
        <v>43935</v>
      </c>
      <c r="DY826">
        <v>72</v>
      </c>
      <c r="EA826">
        <v>6</v>
      </c>
      <c r="GV826" s="8">
        <v>43949</v>
      </c>
      <c r="GW826">
        <v>146</v>
      </c>
      <c r="GX826" t="s">
        <v>91</v>
      </c>
      <c r="GY826">
        <v>122</v>
      </c>
      <c r="HB826">
        <v>416</v>
      </c>
      <c r="HC826">
        <v>8</v>
      </c>
    </row>
    <row r="827" spans="1:325" ht="20.25">
      <c r="DV827">
        <v>54</v>
      </c>
      <c r="DW827" t="s">
        <v>58</v>
      </c>
      <c r="DX827" s="8">
        <v>43936</v>
      </c>
      <c r="DY827">
        <v>84</v>
      </c>
      <c r="EA827">
        <v>11</v>
      </c>
      <c r="GV827" s="8">
        <v>43950</v>
      </c>
      <c r="GW827">
        <v>146</v>
      </c>
      <c r="GX827" t="s">
        <v>91</v>
      </c>
      <c r="GY827">
        <v>124</v>
      </c>
      <c r="HB827">
        <v>423</v>
      </c>
      <c r="HC827">
        <v>8</v>
      </c>
    </row>
    <row r="828" spans="1:325" ht="20.25">
      <c r="DV828">
        <v>54</v>
      </c>
      <c r="DW828" t="s">
        <v>58</v>
      </c>
      <c r="DX828" s="8">
        <v>43937</v>
      </c>
      <c r="DY828">
        <v>86</v>
      </c>
      <c r="DZ828">
        <v>249</v>
      </c>
      <c r="EA828">
        <v>12</v>
      </c>
      <c r="GV828" s="8">
        <v>43951</v>
      </c>
      <c r="GW828">
        <v>146</v>
      </c>
      <c r="GX828" t="s">
        <v>91</v>
      </c>
      <c r="GY828">
        <v>124</v>
      </c>
      <c r="HB828">
        <v>423</v>
      </c>
      <c r="HC828">
        <v>8</v>
      </c>
    </row>
    <row r="829" spans="1:325" ht="20.25">
      <c r="DV829">
        <v>54</v>
      </c>
      <c r="DW829" t="s">
        <v>58</v>
      </c>
      <c r="DX829" s="8">
        <v>43938</v>
      </c>
      <c r="DY829">
        <v>90</v>
      </c>
      <c r="DZ829">
        <v>261</v>
      </c>
      <c r="EA829">
        <v>14</v>
      </c>
      <c r="GV829" s="8">
        <v>43952</v>
      </c>
      <c r="GW829">
        <v>146</v>
      </c>
      <c r="GX829" t="s">
        <v>91</v>
      </c>
      <c r="GY829">
        <v>132</v>
      </c>
      <c r="HB829">
        <v>450</v>
      </c>
      <c r="HC829">
        <v>10</v>
      </c>
    </row>
    <row r="830" spans="1:325" ht="20.25">
      <c r="DV830">
        <v>54</v>
      </c>
      <c r="DW830" t="s">
        <v>58</v>
      </c>
      <c r="DX830" s="8">
        <v>43939</v>
      </c>
      <c r="DY830">
        <v>98</v>
      </c>
      <c r="DZ830">
        <v>284</v>
      </c>
      <c r="EA830">
        <v>15</v>
      </c>
      <c r="GV830" s="8">
        <v>43953</v>
      </c>
      <c r="GW830">
        <v>146</v>
      </c>
      <c r="GX830" t="s">
        <v>91</v>
      </c>
      <c r="GY830">
        <v>134</v>
      </c>
      <c r="HB830">
        <v>457</v>
      </c>
      <c r="HC830">
        <v>10</v>
      </c>
    </row>
    <row r="831" spans="1:325" ht="20.25">
      <c r="DV831">
        <v>54</v>
      </c>
      <c r="DW831" t="s">
        <v>58</v>
      </c>
      <c r="DX831" s="8">
        <v>43940</v>
      </c>
      <c r="DY831">
        <v>106</v>
      </c>
      <c r="DZ831">
        <v>307</v>
      </c>
      <c r="EA831">
        <v>15</v>
      </c>
      <c r="GV831" s="8">
        <v>43954</v>
      </c>
      <c r="GW831">
        <v>146</v>
      </c>
      <c r="GX831" t="s">
        <v>91</v>
      </c>
      <c r="GY831">
        <v>136</v>
      </c>
      <c r="HB831">
        <v>464</v>
      </c>
      <c r="HC831">
        <v>10</v>
      </c>
    </row>
    <row r="832" spans="1:325" ht="20.25">
      <c r="DV832">
        <v>54</v>
      </c>
      <c r="DW832" t="s">
        <v>58</v>
      </c>
      <c r="DX832" s="8">
        <v>43941</v>
      </c>
      <c r="DY832">
        <v>124</v>
      </c>
      <c r="DZ832">
        <v>360</v>
      </c>
      <c r="EA832">
        <v>20</v>
      </c>
      <c r="GV832" s="8">
        <v>43955</v>
      </c>
      <c r="GW832">
        <v>146</v>
      </c>
      <c r="GX832" t="s">
        <v>91</v>
      </c>
      <c r="GY832">
        <v>142</v>
      </c>
      <c r="HB832">
        <v>485</v>
      </c>
      <c r="HC832">
        <v>11</v>
      </c>
    </row>
    <row r="833" spans="1:325" ht="20.25">
      <c r="DV833">
        <v>54</v>
      </c>
      <c r="DW833" t="s">
        <v>58</v>
      </c>
      <c r="DX833" s="8">
        <v>43942</v>
      </c>
      <c r="DY833">
        <v>131</v>
      </c>
      <c r="DZ833">
        <v>380</v>
      </c>
      <c r="EA833">
        <v>25</v>
      </c>
      <c r="GV833" s="8">
        <v>43956</v>
      </c>
      <c r="GW833">
        <v>146</v>
      </c>
      <c r="GX833" t="s">
        <v>91</v>
      </c>
      <c r="GY833">
        <v>144</v>
      </c>
      <c r="HB833">
        <v>491</v>
      </c>
      <c r="HC833">
        <v>11</v>
      </c>
    </row>
    <row r="834" spans="1:325" ht="20.25">
      <c r="DV834">
        <v>54</v>
      </c>
      <c r="DW834" t="s">
        <v>58</v>
      </c>
      <c r="DX834" s="8">
        <v>43943</v>
      </c>
      <c r="DY834">
        <v>133</v>
      </c>
      <c r="DZ834">
        <v>386</v>
      </c>
      <c r="EA834">
        <v>27</v>
      </c>
      <c r="GV834" s="8">
        <v>43957</v>
      </c>
      <c r="GW834">
        <v>146</v>
      </c>
      <c r="GX834" t="s">
        <v>91</v>
      </c>
      <c r="GY834">
        <v>145</v>
      </c>
      <c r="HB834">
        <v>495</v>
      </c>
      <c r="HC834">
        <v>12</v>
      </c>
    </row>
    <row r="835" spans="1:325" ht="20.25">
      <c r="DV835">
        <v>54</v>
      </c>
      <c r="DW835" t="s">
        <v>58</v>
      </c>
      <c r="DX835" s="8">
        <v>43944</v>
      </c>
      <c r="DY835">
        <v>137</v>
      </c>
      <c r="DZ835">
        <v>397</v>
      </c>
      <c r="EA835">
        <v>27</v>
      </c>
      <c r="GV835" s="8">
        <v>43958</v>
      </c>
      <c r="GW835">
        <v>146</v>
      </c>
      <c r="GX835" t="s">
        <v>91</v>
      </c>
      <c r="GY835">
        <v>145</v>
      </c>
      <c r="HB835">
        <v>495</v>
      </c>
      <c r="HC835">
        <v>12</v>
      </c>
    </row>
    <row r="836" spans="1:325" ht="20.25">
      <c r="DV836">
        <v>54</v>
      </c>
      <c r="DW836" t="s">
        <v>58</v>
      </c>
      <c r="DX836" s="8">
        <v>43945</v>
      </c>
      <c r="DY836">
        <v>142</v>
      </c>
      <c r="DZ836">
        <v>412</v>
      </c>
      <c r="EA836">
        <v>28</v>
      </c>
      <c r="GV836" s="8">
        <v>43959</v>
      </c>
      <c r="GW836">
        <v>146</v>
      </c>
      <c r="GX836" t="s">
        <v>91</v>
      </c>
      <c r="GY836">
        <v>150</v>
      </c>
      <c r="HB836">
        <v>512</v>
      </c>
      <c r="HC836">
        <v>12</v>
      </c>
    </row>
    <row r="837" spans="1:325" ht="20.25">
      <c r="DV837">
        <v>54</v>
      </c>
      <c r="DW837" t="s">
        <v>58</v>
      </c>
      <c r="DX837" s="8">
        <v>43946</v>
      </c>
      <c r="DY837">
        <v>149</v>
      </c>
      <c r="DZ837">
        <v>432</v>
      </c>
      <c r="EA837">
        <v>31</v>
      </c>
      <c r="GV837" s="8">
        <v>43960</v>
      </c>
      <c r="GW837">
        <v>146</v>
      </c>
      <c r="GX837" t="s">
        <v>91</v>
      </c>
      <c r="GY837">
        <v>151</v>
      </c>
      <c r="HB837">
        <v>515</v>
      </c>
      <c r="HC837">
        <v>13</v>
      </c>
    </row>
    <row r="838" spans="1:325" ht="20.25">
      <c r="DV838">
        <v>54</v>
      </c>
      <c r="DW838" t="s">
        <v>58</v>
      </c>
      <c r="DX838" s="8">
        <v>43947</v>
      </c>
      <c r="DY838">
        <v>152</v>
      </c>
      <c r="DZ838">
        <v>441</v>
      </c>
      <c r="EA838">
        <v>35</v>
      </c>
      <c r="GV838" s="8">
        <v>43961</v>
      </c>
      <c r="GW838">
        <v>146</v>
      </c>
      <c r="GX838" t="s">
        <v>91</v>
      </c>
      <c r="GY838">
        <v>151</v>
      </c>
      <c r="HB838">
        <v>515</v>
      </c>
      <c r="HC838">
        <v>13</v>
      </c>
    </row>
    <row r="839" spans="1:325" ht="20.25">
      <c r="DV839">
        <v>54</v>
      </c>
      <c r="DW839" t="s">
        <v>58</v>
      </c>
      <c r="DX839" s="8">
        <v>43948</v>
      </c>
      <c r="DY839">
        <v>157</v>
      </c>
      <c r="DZ839">
        <v>455</v>
      </c>
      <c r="EA839">
        <v>37</v>
      </c>
      <c r="GV839" s="8">
        <v>43962</v>
      </c>
      <c r="GW839">
        <v>146</v>
      </c>
      <c r="GX839" t="s">
        <v>91</v>
      </c>
      <c r="GY839">
        <v>155</v>
      </c>
      <c r="HB839">
        <v>529</v>
      </c>
      <c r="HC839">
        <v>13</v>
      </c>
    </row>
    <row r="840" spans="1:325" ht="20.25">
      <c r="DV840">
        <v>54</v>
      </c>
      <c r="DW840" t="s">
        <v>58</v>
      </c>
      <c r="DX840" s="8">
        <v>43949</v>
      </c>
      <c r="DY840">
        <v>158</v>
      </c>
      <c r="DZ840">
        <v>458</v>
      </c>
      <c r="EA840">
        <v>40</v>
      </c>
      <c r="GV840" s="8">
        <v>43963</v>
      </c>
      <c r="GW840">
        <v>146</v>
      </c>
      <c r="GX840" t="s">
        <v>91</v>
      </c>
      <c r="GY840">
        <v>155</v>
      </c>
      <c r="HB840">
        <v>529</v>
      </c>
      <c r="HC840">
        <v>15</v>
      </c>
    </row>
    <row r="841" spans="1:325" ht="20.25">
      <c r="DV841">
        <v>54</v>
      </c>
      <c r="DW841" t="s">
        <v>58</v>
      </c>
      <c r="DX841" s="8">
        <v>43950</v>
      </c>
      <c r="DY841">
        <v>161</v>
      </c>
      <c r="DZ841">
        <v>467</v>
      </c>
      <c r="EA841">
        <v>43</v>
      </c>
      <c r="GV841" s="8">
        <v>43964</v>
      </c>
      <c r="GW841">
        <v>146</v>
      </c>
      <c r="GX841" t="s">
        <v>91</v>
      </c>
      <c r="GY841">
        <v>156</v>
      </c>
      <c r="HB841">
        <v>532</v>
      </c>
      <c r="HC841">
        <v>15</v>
      </c>
    </row>
    <row r="842" spans="1:325" ht="20.25">
      <c r="DV842">
        <v>54</v>
      </c>
      <c r="DW842" t="s">
        <v>58</v>
      </c>
      <c r="DX842" s="8">
        <v>43951</v>
      </c>
      <c r="DY842">
        <v>170</v>
      </c>
      <c r="DZ842">
        <v>493</v>
      </c>
      <c r="EA842">
        <v>44</v>
      </c>
      <c r="GV842" s="8">
        <v>43965</v>
      </c>
      <c r="GW842">
        <v>146</v>
      </c>
      <c r="GX842" t="s">
        <v>91</v>
      </c>
      <c r="GY842">
        <v>160</v>
      </c>
      <c r="HB842">
        <v>546</v>
      </c>
      <c r="HC842">
        <v>15</v>
      </c>
    </row>
    <row r="843" spans="1:325" ht="20.25">
      <c r="DV843">
        <v>54</v>
      </c>
      <c r="DW843" t="s">
        <v>58</v>
      </c>
      <c r="DX843" s="8">
        <v>43952</v>
      </c>
      <c r="DY843">
        <v>182</v>
      </c>
      <c r="DZ843">
        <v>528</v>
      </c>
      <c r="EA843">
        <v>47</v>
      </c>
      <c r="GV843" s="8">
        <v>43966</v>
      </c>
      <c r="GW843">
        <v>146</v>
      </c>
      <c r="GX843" t="s">
        <v>91</v>
      </c>
      <c r="GY843">
        <v>163</v>
      </c>
      <c r="HB843">
        <v>556</v>
      </c>
      <c r="HC843">
        <v>15</v>
      </c>
    </row>
    <row r="844" spans="1:325" ht="20.25">
      <c r="DV844">
        <v>54</v>
      </c>
      <c r="DW844" t="s">
        <v>58</v>
      </c>
      <c r="DX844" s="8">
        <v>43953</v>
      </c>
      <c r="DY844">
        <v>184</v>
      </c>
      <c r="DZ844">
        <v>533</v>
      </c>
      <c r="EA844">
        <v>47</v>
      </c>
      <c r="GV844" s="8">
        <v>43967</v>
      </c>
      <c r="GW844">
        <v>146</v>
      </c>
      <c r="GX844" t="s">
        <v>91</v>
      </c>
      <c r="GY844">
        <v>170</v>
      </c>
      <c r="HB844">
        <v>580</v>
      </c>
      <c r="HC844">
        <v>17</v>
      </c>
      <c r="HF844">
        <v>574</v>
      </c>
    </row>
    <row r="845" spans="1:325" ht="20.25">
      <c r="DV845">
        <v>54</v>
      </c>
      <c r="DW845" t="s">
        <v>58</v>
      </c>
      <c r="DX845" s="8">
        <v>43954</v>
      </c>
      <c r="DY845">
        <v>187</v>
      </c>
      <c r="DZ845">
        <v>542</v>
      </c>
      <c r="EA845">
        <v>48</v>
      </c>
      <c r="GV845" s="8">
        <v>43968</v>
      </c>
      <c r="GW845">
        <v>146</v>
      </c>
      <c r="GX845" t="s">
        <v>91</v>
      </c>
      <c r="GY845">
        <v>171</v>
      </c>
      <c r="HB845">
        <v>580</v>
      </c>
      <c r="HC845">
        <v>17</v>
      </c>
      <c r="HF845">
        <v>645</v>
      </c>
    </row>
    <row r="846" spans="1:325" ht="20.25">
      <c r="DV846">
        <v>54</v>
      </c>
      <c r="DW846" t="s">
        <v>58</v>
      </c>
      <c r="DX846" s="8">
        <v>43955</v>
      </c>
      <c r="DY846">
        <v>192</v>
      </c>
      <c r="DZ846">
        <v>557</v>
      </c>
      <c r="EA846">
        <v>49</v>
      </c>
      <c r="GV846" s="8">
        <v>43969</v>
      </c>
      <c r="GW846">
        <v>146</v>
      </c>
      <c r="GX846" t="s">
        <v>91</v>
      </c>
      <c r="GY846">
        <v>171</v>
      </c>
      <c r="HB846">
        <v>584</v>
      </c>
      <c r="HC846">
        <v>17</v>
      </c>
      <c r="HF846">
        <v>668</v>
      </c>
    </row>
    <row r="847" spans="1:325" ht="20.25">
      <c r="DV847">
        <v>54</v>
      </c>
      <c r="DW847" t="s">
        <v>58</v>
      </c>
      <c r="DX847" s="8">
        <v>43956</v>
      </c>
      <c r="DY847">
        <v>197</v>
      </c>
      <c r="DZ847">
        <v>571</v>
      </c>
      <c r="EA847">
        <v>52</v>
      </c>
      <c r="GV847" s="8">
        <v>43970</v>
      </c>
      <c r="GW847">
        <v>146</v>
      </c>
      <c r="GX847" t="s">
        <v>91</v>
      </c>
      <c r="GY847">
        <v>170</v>
      </c>
      <c r="HB847">
        <v>580</v>
      </c>
      <c r="HC847">
        <v>18</v>
      </c>
      <c r="HF847">
        <v>709</v>
      </c>
    </row>
    <row r="848" spans="1:325" ht="20.25">
      <c r="DV848">
        <v>54</v>
      </c>
      <c r="DW848" t="s">
        <v>58</v>
      </c>
      <c r="DX848" s="8">
        <v>43957</v>
      </c>
      <c r="DY848">
        <v>203</v>
      </c>
      <c r="DZ848">
        <v>589</v>
      </c>
      <c r="EA848">
        <v>54</v>
      </c>
      <c r="GV848" s="8">
        <v>43971</v>
      </c>
      <c r="GW848">
        <v>146</v>
      </c>
      <c r="GX848" t="s">
        <v>91</v>
      </c>
      <c r="GY848">
        <v>170</v>
      </c>
      <c r="HB848">
        <v>580</v>
      </c>
      <c r="HC848">
        <v>18</v>
      </c>
      <c r="HF848">
        <v>790</v>
      </c>
      <c r="HG848">
        <v>2696</v>
      </c>
    </row>
    <row r="849" spans="1:325" ht="20.25">
      <c r="DV849">
        <v>54</v>
      </c>
      <c r="DW849" t="s">
        <v>58</v>
      </c>
      <c r="DX849" s="8">
        <v>43958</v>
      </c>
      <c r="DY849">
        <v>211</v>
      </c>
      <c r="DZ849">
        <v>612</v>
      </c>
      <c r="EA849">
        <v>56</v>
      </c>
      <c r="GV849" s="8">
        <v>43972</v>
      </c>
      <c r="GW849">
        <v>146</v>
      </c>
      <c r="GX849" t="s">
        <v>91</v>
      </c>
      <c r="GY849">
        <v>171</v>
      </c>
      <c r="HB849">
        <v>584</v>
      </c>
      <c r="HC849">
        <v>18</v>
      </c>
      <c r="HF849">
        <v>810</v>
      </c>
      <c r="HG849">
        <v>2764</v>
      </c>
    </row>
    <row r="850" spans="1:325" ht="20.25">
      <c r="DV850">
        <v>54</v>
      </c>
      <c r="DW850" t="s">
        <v>58</v>
      </c>
      <c r="DX850" s="8">
        <v>43959</v>
      </c>
      <c r="DY850">
        <v>212</v>
      </c>
      <c r="DZ850">
        <v>615</v>
      </c>
      <c r="EA850">
        <v>57</v>
      </c>
      <c r="GV850" s="8">
        <v>43973</v>
      </c>
      <c r="GW850">
        <v>146</v>
      </c>
      <c r="GX850" t="s">
        <v>91</v>
      </c>
      <c r="GY850">
        <v>171</v>
      </c>
      <c r="HB850">
        <v>584</v>
      </c>
      <c r="HC850">
        <v>18</v>
      </c>
      <c r="HF850">
        <v>833</v>
      </c>
      <c r="HG850">
        <v>2843</v>
      </c>
    </row>
    <row r="851" spans="1:325" ht="20.25">
      <c r="DV851">
        <v>54</v>
      </c>
      <c r="DW851" t="s">
        <v>58</v>
      </c>
      <c r="DX851" s="8">
        <v>43960</v>
      </c>
      <c r="DY851">
        <v>215</v>
      </c>
      <c r="DZ851">
        <v>623</v>
      </c>
      <c r="EA851">
        <v>57</v>
      </c>
      <c r="GV851" s="8">
        <v>43974</v>
      </c>
      <c r="GW851">
        <v>146</v>
      </c>
      <c r="GX851" t="s">
        <v>91</v>
      </c>
      <c r="GY851">
        <v>171</v>
      </c>
      <c r="HB851">
        <v>584</v>
      </c>
      <c r="HC851">
        <v>18</v>
      </c>
      <c r="HF851">
        <v>846</v>
      </c>
      <c r="HG851">
        <v>2887</v>
      </c>
    </row>
    <row r="852" spans="1:325" ht="20.25">
      <c r="DV852">
        <v>54</v>
      </c>
      <c r="DW852" t="s">
        <v>58</v>
      </c>
      <c r="DX852" s="8">
        <v>43961</v>
      </c>
      <c r="DY852">
        <v>216</v>
      </c>
      <c r="DZ852">
        <v>626</v>
      </c>
      <c r="EA852">
        <v>58</v>
      </c>
      <c r="GV852" s="8">
        <v>43975</v>
      </c>
      <c r="GW852">
        <v>146</v>
      </c>
      <c r="GX852" t="s">
        <v>91</v>
      </c>
      <c r="GY852">
        <v>173</v>
      </c>
      <c r="HB852">
        <v>590</v>
      </c>
      <c r="HC852">
        <v>18</v>
      </c>
      <c r="HF852">
        <v>874</v>
      </c>
      <c r="HG852">
        <v>2983</v>
      </c>
    </row>
    <row r="853" spans="1:325" ht="20.25">
      <c r="DV853">
        <v>54</v>
      </c>
      <c r="DW853" t="s">
        <v>58</v>
      </c>
      <c r="DX853" s="8">
        <v>43962</v>
      </c>
      <c r="DY853">
        <v>219</v>
      </c>
      <c r="DZ853">
        <v>635</v>
      </c>
      <c r="EA853">
        <v>60</v>
      </c>
      <c r="GV853" s="8">
        <v>43976</v>
      </c>
      <c r="GW853">
        <v>146</v>
      </c>
      <c r="GX853" t="s">
        <v>91</v>
      </c>
      <c r="GY853">
        <v>175</v>
      </c>
      <c r="HB853">
        <v>597</v>
      </c>
      <c r="HC853">
        <v>18</v>
      </c>
      <c r="HF853">
        <v>902</v>
      </c>
      <c r="HG853">
        <v>3078</v>
      </c>
    </row>
    <row r="854" spans="1:325" ht="20.25">
      <c r="DV854">
        <v>54</v>
      </c>
      <c r="DW854" t="s">
        <v>58</v>
      </c>
      <c r="DX854" s="8">
        <v>43963</v>
      </c>
      <c r="DY854">
        <v>225</v>
      </c>
      <c r="DZ854">
        <v>652</v>
      </c>
      <c r="EA854">
        <v>62</v>
      </c>
      <c r="GV854" s="8">
        <v>43977</v>
      </c>
      <c r="GW854">
        <v>146</v>
      </c>
      <c r="GX854" t="s">
        <v>91</v>
      </c>
      <c r="GY854">
        <v>173</v>
      </c>
      <c r="HB854">
        <v>590</v>
      </c>
      <c r="HC854">
        <v>18</v>
      </c>
      <c r="HF854">
        <v>920</v>
      </c>
      <c r="HG854">
        <v>3140</v>
      </c>
    </row>
    <row r="855" spans="1:325" ht="20.25">
      <c r="DV855">
        <v>54</v>
      </c>
      <c r="DW855" t="s">
        <v>58</v>
      </c>
      <c r="DX855" s="8">
        <v>43964</v>
      </c>
      <c r="DY855">
        <v>233</v>
      </c>
      <c r="DZ855">
        <v>676</v>
      </c>
      <c r="EA855">
        <v>64</v>
      </c>
      <c r="GV855" s="8">
        <v>43978</v>
      </c>
      <c r="GW855">
        <v>146</v>
      </c>
      <c r="GX855" t="s">
        <v>91</v>
      </c>
      <c r="GY855">
        <v>175</v>
      </c>
      <c r="HB855">
        <v>597</v>
      </c>
      <c r="HC855">
        <v>18</v>
      </c>
      <c r="HF855">
        <v>948</v>
      </c>
      <c r="HG855">
        <v>3235</v>
      </c>
    </row>
    <row r="856" spans="1:325" ht="20.25">
      <c r="DV856">
        <v>54</v>
      </c>
      <c r="DW856" t="s">
        <v>58</v>
      </c>
      <c r="DX856" s="8">
        <v>43965</v>
      </c>
      <c r="DY856">
        <v>235</v>
      </c>
      <c r="DZ856">
        <v>681</v>
      </c>
      <c r="EA856">
        <v>65</v>
      </c>
      <c r="GV856" s="8">
        <v>43979</v>
      </c>
      <c r="GW856">
        <v>146</v>
      </c>
      <c r="GX856" t="s">
        <v>91</v>
      </c>
      <c r="GY856">
        <v>175</v>
      </c>
      <c r="HB856">
        <v>597</v>
      </c>
      <c r="HC856">
        <v>18</v>
      </c>
      <c r="HF856">
        <v>957</v>
      </c>
      <c r="HG856">
        <v>3266</v>
      </c>
    </row>
    <row r="857" spans="1:325" ht="20.25">
      <c r="DV857">
        <v>54</v>
      </c>
      <c r="DW857" t="s">
        <v>58</v>
      </c>
      <c r="DX857" s="8">
        <v>43966</v>
      </c>
      <c r="DY857">
        <v>235</v>
      </c>
      <c r="DZ857">
        <v>681</v>
      </c>
      <c r="EA857">
        <v>65</v>
      </c>
      <c r="GV857" s="8">
        <v>43980</v>
      </c>
      <c r="GW857">
        <v>146</v>
      </c>
      <c r="GX857" t="s">
        <v>91</v>
      </c>
      <c r="GY857">
        <v>175</v>
      </c>
      <c r="HB857">
        <v>597</v>
      </c>
      <c r="HC857">
        <v>18</v>
      </c>
      <c r="HF857">
        <v>987</v>
      </c>
      <c r="HG857">
        <v>3368</v>
      </c>
    </row>
    <row r="858" spans="1:325" ht="20.25">
      <c r="DV858">
        <v>55</v>
      </c>
      <c r="DW858" t="s">
        <v>42</v>
      </c>
      <c r="DX858" s="8">
        <v>43914</v>
      </c>
      <c r="DY858">
        <v>0</v>
      </c>
      <c r="EA858">
        <v>0</v>
      </c>
      <c r="GV858" s="8">
        <v>43981</v>
      </c>
      <c r="GW858">
        <v>146</v>
      </c>
      <c r="GX858" t="s">
        <v>91</v>
      </c>
      <c r="GY858">
        <v>177</v>
      </c>
      <c r="HB858">
        <v>604</v>
      </c>
      <c r="HC858">
        <v>18</v>
      </c>
      <c r="HF858">
        <v>999</v>
      </c>
      <c r="HG858">
        <v>3409</v>
      </c>
    </row>
    <row r="859" spans="1:325" ht="20.25">
      <c r="DV859">
        <v>55</v>
      </c>
      <c r="DW859" t="s">
        <v>42</v>
      </c>
      <c r="DX859" s="8">
        <v>43915</v>
      </c>
      <c r="DY859">
        <v>0</v>
      </c>
      <c r="EA859">
        <v>0</v>
      </c>
      <c r="GV859" s="8">
        <v>43982</v>
      </c>
      <c r="GW859">
        <v>146</v>
      </c>
      <c r="GX859" t="s">
        <v>91</v>
      </c>
      <c r="GY859">
        <v>179</v>
      </c>
      <c r="GZ859">
        <v>163</v>
      </c>
      <c r="HA859">
        <v>16</v>
      </c>
      <c r="HB859">
        <v>611</v>
      </c>
      <c r="HC859">
        <v>18</v>
      </c>
      <c r="HD859">
        <v>15</v>
      </c>
      <c r="HE859">
        <v>3</v>
      </c>
      <c r="HF859">
        <v>1044</v>
      </c>
      <c r="HG859">
        <v>3563</v>
      </c>
      <c r="HH859">
        <v>1199</v>
      </c>
      <c r="HI859">
        <v>177</v>
      </c>
      <c r="HJ859">
        <v>1017</v>
      </c>
      <c r="HK859">
        <v>5</v>
      </c>
    </row>
    <row r="860" spans="1:325" ht="20.25">
      <c r="DV860">
        <v>55</v>
      </c>
      <c r="DW860" t="s">
        <v>42</v>
      </c>
      <c r="DX860" s="8">
        <v>43916</v>
      </c>
      <c r="DY860">
        <v>0</v>
      </c>
      <c r="EA860">
        <v>0</v>
      </c>
      <c r="GV860" s="8">
        <v>43983</v>
      </c>
      <c r="GW860">
        <v>146</v>
      </c>
      <c r="GX860" t="s">
        <v>91</v>
      </c>
      <c r="GY860">
        <v>181</v>
      </c>
      <c r="GZ860">
        <v>165</v>
      </c>
      <c r="HA860">
        <v>16</v>
      </c>
      <c r="HB860">
        <v>618</v>
      </c>
      <c r="HC860">
        <v>19</v>
      </c>
      <c r="HD860">
        <v>16</v>
      </c>
      <c r="HE860">
        <v>3</v>
      </c>
      <c r="HF860">
        <v>1086</v>
      </c>
      <c r="HG860">
        <v>3706</v>
      </c>
      <c r="HH860">
        <v>1250</v>
      </c>
      <c r="HI860">
        <v>179</v>
      </c>
      <c r="HJ860">
        <v>1066</v>
      </c>
      <c r="HK860">
        <v>5</v>
      </c>
    </row>
    <row r="861" spans="1:325" ht="20.25">
      <c r="DV861">
        <v>55</v>
      </c>
      <c r="DW861" t="s">
        <v>42</v>
      </c>
      <c r="DX861" s="8">
        <v>43917</v>
      </c>
      <c r="DY861">
        <v>0</v>
      </c>
      <c r="EA861">
        <v>0</v>
      </c>
      <c r="GV861" s="8">
        <v>43984</v>
      </c>
      <c r="GW861">
        <v>146</v>
      </c>
      <c r="GX861" t="s">
        <v>91</v>
      </c>
      <c r="GY861">
        <v>183</v>
      </c>
      <c r="GZ861">
        <v>167</v>
      </c>
      <c r="HA861">
        <v>16</v>
      </c>
      <c r="HB861">
        <v>625</v>
      </c>
      <c r="HC861">
        <v>19</v>
      </c>
      <c r="HD861">
        <v>16</v>
      </c>
      <c r="HE861">
        <v>3</v>
      </c>
      <c r="HF861">
        <v>1098</v>
      </c>
      <c r="HG861">
        <v>3747</v>
      </c>
      <c r="HH861">
        <v>1272</v>
      </c>
      <c r="HI861">
        <v>181</v>
      </c>
      <c r="HJ861">
        <v>1086</v>
      </c>
      <c r="HK861">
        <v>5</v>
      </c>
    </row>
    <row r="862" spans="1:325" ht="20.25">
      <c r="DV862">
        <v>55</v>
      </c>
      <c r="DW862" t="s">
        <v>42</v>
      </c>
      <c r="DX862" s="8">
        <v>43918</v>
      </c>
      <c r="DY862">
        <v>0</v>
      </c>
      <c r="EA862">
        <v>0</v>
      </c>
      <c r="GV862" s="8">
        <v>43914</v>
      </c>
      <c r="GW862">
        <v>160</v>
      </c>
      <c r="GX862" t="s">
        <v>112</v>
      </c>
      <c r="GY862">
        <v>0</v>
      </c>
      <c r="HC862">
        <v>0</v>
      </c>
    </row>
    <row r="863" spans="1:325" ht="20.25">
      <c r="DV863">
        <v>55</v>
      </c>
      <c r="DW863" t="s">
        <v>42</v>
      </c>
      <c r="DX863" s="8">
        <v>43919</v>
      </c>
      <c r="DY863">
        <v>0</v>
      </c>
      <c r="EA863">
        <v>0</v>
      </c>
      <c r="GV863" s="8">
        <v>43915</v>
      </c>
      <c r="GW863">
        <v>160</v>
      </c>
      <c r="GX863" t="s">
        <v>112</v>
      </c>
      <c r="GY863">
        <v>0</v>
      </c>
      <c r="HC863">
        <v>0</v>
      </c>
    </row>
    <row r="864" spans="1:325" ht="20.25">
      <c r="DV864">
        <v>55</v>
      </c>
      <c r="DW864" t="s">
        <v>42</v>
      </c>
      <c r="DX864" s="8">
        <v>43920</v>
      </c>
      <c r="DY864">
        <v>0</v>
      </c>
      <c r="EA864">
        <v>0</v>
      </c>
      <c r="GV864" s="8">
        <v>43916</v>
      </c>
      <c r="GW864">
        <v>160</v>
      </c>
      <c r="GX864" t="s">
        <v>112</v>
      </c>
      <c r="GY864">
        <v>0</v>
      </c>
      <c r="HC864">
        <v>0</v>
      </c>
    </row>
    <row r="865" spans="1:325" ht="20.25">
      <c r="DV865">
        <v>55</v>
      </c>
      <c r="DW865" t="s">
        <v>42</v>
      </c>
      <c r="DX865" s="8">
        <v>43921</v>
      </c>
      <c r="DY865">
        <v>1</v>
      </c>
      <c r="EA865">
        <v>0</v>
      </c>
      <c r="GV865" s="8">
        <v>43917</v>
      </c>
      <c r="GW865">
        <v>160</v>
      </c>
      <c r="GX865" t="s">
        <v>112</v>
      </c>
      <c r="GY865">
        <v>0</v>
      </c>
      <c r="HC865">
        <v>0</v>
      </c>
    </row>
    <row r="866" spans="1:325" ht="20.25">
      <c r="DV866">
        <v>55</v>
      </c>
      <c r="DW866" t="s">
        <v>42</v>
      </c>
      <c r="DX866" s="8">
        <v>43922</v>
      </c>
      <c r="DY866">
        <v>1</v>
      </c>
      <c r="EA866">
        <v>0</v>
      </c>
      <c r="GV866" s="8">
        <v>43918</v>
      </c>
      <c r="GW866">
        <v>160</v>
      </c>
      <c r="GX866" t="s">
        <v>112</v>
      </c>
      <c r="GY866">
        <v>0</v>
      </c>
      <c r="HC866">
        <v>0</v>
      </c>
    </row>
    <row r="867" spans="1:325" ht="20.25">
      <c r="DV867">
        <v>55</v>
      </c>
      <c r="DW867" t="s">
        <v>42</v>
      </c>
      <c r="DX867" s="8">
        <v>43923</v>
      </c>
      <c r="DY867">
        <v>1</v>
      </c>
      <c r="EA867">
        <v>0</v>
      </c>
      <c r="GV867" s="8">
        <v>43919</v>
      </c>
      <c r="GW867">
        <v>160</v>
      </c>
      <c r="GX867" t="s">
        <v>112</v>
      </c>
      <c r="GY867">
        <v>1</v>
      </c>
      <c r="HC867">
        <v>0</v>
      </c>
    </row>
    <row r="868" spans="1:325" ht="20.25">
      <c r="DV868">
        <v>55</v>
      </c>
      <c r="DW868" t="s">
        <v>42</v>
      </c>
      <c r="DX868" s="8">
        <v>43924</v>
      </c>
      <c r="DY868">
        <v>1</v>
      </c>
      <c r="EA868">
        <v>0</v>
      </c>
      <c r="GV868" s="8">
        <v>43920</v>
      </c>
      <c r="GW868">
        <v>160</v>
      </c>
      <c r="GX868" t="s">
        <v>112</v>
      </c>
      <c r="GY868">
        <v>1</v>
      </c>
      <c r="HC868">
        <v>0</v>
      </c>
    </row>
    <row r="869" spans="1:325" ht="20.25">
      <c r="DV869">
        <v>55</v>
      </c>
      <c r="DW869" t="s">
        <v>42</v>
      </c>
      <c r="DX869" s="8">
        <v>43925</v>
      </c>
      <c r="DY869">
        <v>1</v>
      </c>
      <c r="EA869">
        <v>0</v>
      </c>
      <c r="GV869" s="8">
        <v>43921</v>
      </c>
      <c r="GW869">
        <v>160</v>
      </c>
      <c r="GX869" t="s">
        <v>112</v>
      </c>
      <c r="GY869">
        <v>1</v>
      </c>
      <c r="HC869">
        <v>0</v>
      </c>
    </row>
    <row r="870" spans="1:325" ht="20.25">
      <c r="DV870">
        <v>55</v>
      </c>
      <c r="DW870" t="s">
        <v>42</v>
      </c>
      <c r="DX870" s="8">
        <v>43926</v>
      </c>
      <c r="DY870">
        <v>1</v>
      </c>
      <c r="EA870">
        <v>0</v>
      </c>
      <c r="GV870" s="8">
        <v>43922</v>
      </c>
      <c r="GW870">
        <v>160</v>
      </c>
      <c r="GX870" t="s">
        <v>112</v>
      </c>
      <c r="GY870">
        <v>1</v>
      </c>
      <c r="HC870">
        <v>0</v>
      </c>
    </row>
    <row r="871" spans="1:325" ht="20.25">
      <c r="DV871">
        <v>55</v>
      </c>
      <c r="DW871" t="s">
        <v>42</v>
      </c>
      <c r="DX871" s="8">
        <v>43927</v>
      </c>
      <c r="DY871">
        <v>1</v>
      </c>
      <c r="EA871">
        <v>0</v>
      </c>
      <c r="GV871" s="8">
        <v>43923</v>
      </c>
      <c r="GW871">
        <v>160</v>
      </c>
      <c r="GX871" t="s">
        <v>112</v>
      </c>
      <c r="GY871">
        <v>1</v>
      </c>
      <c r="HC871">
        <v>0</v>
      </c>
    </row>
    <row r="872" spans="1:325" ht="20.25">
      <c r="DV872">
        <v>55</v>
      </c>
      <c r="DW872" t="s">
        <v>42</v>
      </c>
      <c r="DX872" s="8">
        <v>43928</v>
      </c>
      <c r="DY872">
        <v>1</v>
      </c>
      <c r="EA872">
        <v>0</v>
      </c>
      <c r="GV872" s="8">
        <v>43924</v>
      </c>
      <c r="GW872">
        <v>160</v>
      </c>
      <c r="GX872" t="s">
        <v>112</v>
      </c>
      <c r="GY872">
        <v>2</v>
      </c>
      <c r="HC872">
        <v>0</v>
      </c>
    </row>
    <row r="873" spans="1:325" ht="20.25">
      <c r="DV873">
        <v>55</v>
      </c>
      <c r="DW873" t="s">
        <v>42</v>
      </c>
      <c r="DX873" s="8">
        <v>43929</v>
      </c>
      <c r="DY873">
        <v>1</v>
      </c>
      <c r="EA873">
        <v>0</v>
      </c>
      <c r="GV873" s="8">
        <v>43925</v>
      </c>
      <c r="GW873">
        <v>160</v>
      </c>
      <c r="GX873" t="s">
        <v>112</v>
      </c>
      <c r="GY873">
        <v>2</v>
      </c>
      <c r="HC873">
        <v>0</v>
      </c>
    </row>
    <row r="874" spans="1:325" ht="20.25">
      <c r="DV874">
        <v>55</v>
      </c>
      <c r="DW874" t="s">
        <v>42</v>
      </c>
      <c r="DX874" s="8">
        <v>43930</v>
      </c>
      <c r="DY874">
        <v>1</v>
      </c>
      <c r="EA874">
        <v>0</v>
      </c>
      <c r="GV874" s="8">
        <v>43926</v>
      </c>
      <c r="GW874">
        <v>160</v>
      </c>
      <c r="GX874" t="s">
        <v>112</v>
      </c>
      <c r="GY874">
        <v>2</v>
      </c>
      <c r="HC874">
        <v>0</v>
      </c>
    </row>
    <row r="875" spans="1:325" ht="20.25">
      <c r="DV875">
        <v>55</v>
      </c>
      <c r="DW875" t="s">
        <v>42</v>
      </c>
      <c r="DX875" s="8">
        <v>43931</v>
      </c>
      <c r="DY875">
        <v>1</v>
      </c>
      <c r="EA875">
        <v>0</v>
      </c>
      <c r="GV875" s="8">
        <v>43927</v>
      </c>
      <c r="GW875">
        <v>160</v>
      </c>
      <c r="GX875" t="s">
        <v>112</v>
      </c>
      <c r="GY875">
        <v>2</v>
      </c>
      <c r="HC875">
        <v>0</v>
      </c>
    </row>
    <row r="876" spans="1:325" ht="20.25">
      <c r="DV876">
        <v>55</v>
      </c>
      <c r="DW876" t="s">
        <v>42</v>
      </c>
      <c r="DX876" s="8">
        <v>43932</v>
      </c>
      <c r="DY876">
        <v>2</v>
      </c>
      <c r="EA876">
        <v>0</v>
      </c>
      <c r="GV876" s="8">
        <v>43928</v>
      </c>
      <c r="GW876">
        <v>160</v>
      </c>
      <c r="GX876" t="s">
        <v>112</v>
      </c>
      <c r="GY876">
        <v>2</v>
      </c>
      <c r="HC876">
        <v>0</v>
      </c>
    </row>
    <row r="877" spans="1:325" ht="20.25">
      <c r="DV877">
        <v>55</v>
      </c>
      <c r="DW877" t="s">
        <v>42</v>
      </c>
      <c r="DX877" s="8">
        <v>43933</v>
      </c>
      <c r="DY877">
        <v>2</v>
      </c>
      <c r="EA877">
        <v>0</v>
      </c>
      <c r="GV877" s="8">
        <v>43929</v>
      </c>
      <c r="GW877">
        <v>160</v>
      </c>
      <c r="GX877" t="s">
        <v>112</v>
      </c>
      <c r="GY877">
        <v>2</v>
      </c>
      <c r="HC877">
        <v>0</v>
      </c>
    </row>
    <row r="878" spans="1:325" ht="20.25">
      <c r="DV878">
        <v>55</v>
      </c>
      <c r="DW878" t="s">
        <v>42</v>
      </c>
      <c r="DX878" s="8">
        <v>43934</v>
      </c>
      <c r="DY878">
        <v>2</v>
      </c>
      <c r="EA878">
        <v>0</v>
      </c>
      <c r="GV878" s="8">
        <v>43930</v>
      </c>
      <c r="GW878">
        <v>160</v>
      </c>
      <c r="GX878" t="s">
        <v>112</v>
      </c>
      <c r="GY878">
        <v>3</v>
      </c>
      <c r="HC878">
        <v>0</v>
      </c>
    </row>
    <row r="879" spans="1:325" ht="20.25">
      <c r="DV879">
        <v>55</v>
      </c>
      <c r="DW879" t="s">
        <v>42</v>
      </c>
      <c r="DX879" s="8">
        <v>43935</v>
      </c>
      <c r="DY879">
        <v>2</v>
      </c>
      <c r="EA879">
        <v>0</v>
      </c>
      <c r="GV879" s="8">
        <v>43931</v>
      </c>
      <c r="GW879">
        <v>160</v>
      </c>
      <c r="GX879" t="s">
        <v>112</v>
      </c>
      <c r="GY879">
        <v>3</v>
      </c>
      <c r="HC879">
        <v>0</v>
      </c>
    </row>
    <row r="880" spans="1:325" ht="20.25">
      <c r="DV880">
        <v>55</v>
      </c>
      <c r="DW880" t="s">
        <v>42</v>
      </c>
      <c r="DX880" s="8">
        <v>43936</v>
      </c>
      <c r="DY880">
        <v>2</v>
      </c>
      <c r="EA880">
        <v>0</v>
      </c>
      <c r="GV880" s="8">
        <v>43932</v>
      </c>
      <c r="GW880">
        <v>160</v>
      </c>
      <c r="GX880" t="s">
        <v>112</v>
      </c>
      <c r="GY880">
        <v>4</v>
      </c>
      <c r="HC880">
        <v>0</v>
      </c>
    </row>
    <row r="881" spans="1:325" ht="20.25">
      <c r="DV881">
        <v>55</v>
      </c>
      <c r="DW881" t="s">
        <v>42</v>
      </c>
      <c r="DX881" s="8">
        <v>43937</v>
      </c>
      <c r="DY881">
        <v>2</v>
      </c>
      <c r="DZ881">
        <v>69</v>
      </c>
      <c r="EA881">
        <v>0</v>
      </c>
      <c r="GV881" s="8">
        <v>43933</v>
      </c>
      <c r="GW881">
        <v>160</v>
      </c>
      <c r="GX881" t="s">
        <v>112</v>
      </c>
      <c r="GY881">
        <v>4</v>
      </c>
      <c r="HC881">
        <v>0</v>
      </c>
    </row>
    <row r="882" spans="1:325" ht="20.25">
      <c r="DV882">
        <v>55</v>
      </c>
      <c r="DW882" t="s">
        <v>42</v>
      </c>
      <c r="DX882" s="8">
        <v>43938</v>
      </c>
      <c r="DY882">
        <v>2</v>
      </c>
      <c r="DZ882">
        <v>69</v>
      </c>
      <c r="EA882">
        <v>0</v>
      </c>
      <c r="GV882" s="8">
        <v>43934</v>
      </c>
      <c r="GW882">
        <v>160</v>
      </c>
      <c r="GX882" t="s">
        <v>112</v>
      </c>
      <c r="GY882">
        <v>4</v>
      </c>
      <c r="HC882">
        <v>0</v>
      </c>
    </row>
    <row r="883" spans="1:325" ht="20.25">
      <c r="DV883">
        <v>55</v>
      </c>
      <c r="DW883" t="s">
        <v>42</v>
      </c>
      <c r="DX883" s="8">
        <v>43939</v>
      </c>
      <c r="DY883">
        <v>2</v>
      </c>
      <c r="DZ883">
        <v>69</v>
      </c>
      <c r="EA883">
        <v>0</v>
      </c>
      <c r="GV883" s="8">
        <v>43935</v>
      </c>
      <c r="GW883">
        <v>160</v>
      </c>
      <c r="GX883" t="s">
        <v>112</v>
      </c>
      <c r="GY883">
        <v>4</v>
      </c>
      <c r="HC883">
        <v>0</v>
      </c>
    </row>
    <row r="884" spans="1:325" ht="20.25">
      <c r="DV884">
        <v>55</v>
      </c>
      <c r="DW884" t="s">
        <v>42</v>
      </c>
      <c r="DX884" s="8">
        <v>43940</v>
      </c>
      <c r="DY884">
        <v>4</v>
      </c>
      <c r="DZ884">
        <v>139</v>
      </c>
      <c r="EA884">
        <v>0</v>
      </c>
      <c r="GV884" s="8">
        <v>43936</v>
      </c>
      <c r="GW884">
        <v>160</v>
      </c>
      <c r="GX884" t="s">
        <v>112</v>
      </c>
      <c r="GY884">
        <v>4</v>
      </c>
      <c r="HC884">
        <v>0</v>
      </c>
    </row>
    <row r="885" spans="1:325" ht="20.25">
      <c r="DV885">
        <v>55</v>
      </c>
      <c r="DW885" t="s">
        <v>42</v>
      </c>
      <c r="DX885" s="8">
        <v>43941</v>
      </c>
      <c r="DY885">
        <v>4</v>
      </c>
      <c r="DZ885">
        <v>139</v>
      </c>
      <c r="EA885">
        <v>0</v>
      </c>
      <c r="GV885" s="8">
        <v>43937</v>
      </c>
      <c r="GW885">
        <v>160</v>
      </c>
      <c r="GX885" t="s">
        <v>112</v>
      </c>
      <c r="GY885">
        <v>4</v>
      </c>
      <c r="HB885">
        <v>68</v>
      </c>
      <c r="HC885">
        <v>0</v>
      </c>
    </row>
    <row r="886" spans="1:325" ht="20.25">
      <c r="DV886">
        <v>55</v>
      </c>
      <c r="DW886" t="s">
        <v>42</v>
      </c>
      <c r="DX886" s="8">
        <v>43942</v>
      </c>
      <c r="DY886">
        <v>4</v>
      </c>
      <c r="DZ886">
        <v>139</v>
      </c>
      <c r="EA886">
        <v>0</v>
      </c>
      <c r="GV886" s="8">
        <v>43938</v>
      </c>
      <c r="GW886">
        <v>160</v>
      </c>
      <c r="GX886" t="s">
        <v>112</v>
      </c>
      <c r="GY886">
        <v>4</v>
      </c>
      <c r="HB886">
        <v>68</v>
      </c>
      <c r="HC886">
        <v>0</v>
      </c>
    </row>
    <row r="887" spans="1:325" ht="20.25">
      <c r="DV887">
        <v>55</v>
      </c>
      <c r="DW887" t="s">
        <v>42</v>
      </c>
      <c r="DX887" s="8">
        <v>43943</v>
      </c>
      <c r="DY887">
        <v>4</v>
      </c>
      <c r="DZ887">
        <v>139</v>
      </c>
      <c r="EA887">
        <v>0</v>
      </c>
      <c r="GV887" s="8">
        <v>43939</v>
      </c>
      <c r="GW887">
        <v>160</v>
      </c>
      <c r="GX887" t="s">
        <v>112</v>
      </c>
      <c r="GY887">
        <v>4</v>
      </c>
      <c r="HB887">
        <v>68</v>
      </c>
      <c r="HC887">
        <v>0</v>
      </c>
    </row>
    <row r="888" spans="1:325" ht="20.25">
      <c r="DV888">
        <v>55</v>
      </c>
      <c r="DW888" t="s">
        <v>42</v>
      </c>
      <c r="DX888" s="8">
        <v>43944</v>
      </c>
      <c r="DY888">
        <v>6</v>
      </c>
      <c r="DZ888">
        <v>208</v>
      </c>
      <c r="EA888">
        <v>0</v>
      </c>
      <c r="GV888" s="8">
        <v>43940</v>
      </c>
      <c r="GW888">
        <v>160</v>
      </c>
      <c r="GX888" t="s">
        <v>112</v>
      </c>
      <c r="GY888">
        <v>4</v>
      </c>
      <c r="HB888">
        <v>68</v>
      </c>
      <c r="HC888">
        <v>0</v>
      </c>
    </row>
    <row r="889" spans="1:325" ht="20.25">
      <c r="DV889">
        <v>55</v>
      </c>
      <c r="DW889" t="s">
        <v>42</v>
      </c>
      <c r="DX889" s="8">
        <v>43945</v>
      </c>
      <c r="DY889">
        <v>6</v>
      </c>
      <c r="DZ889">
        <v>208</v>
      </c>
      <c r="EA889">
        <v>0</v>
      </c>
      <c r="GV889" s="8">
        <v>43941</v>
      </c>
      <c r="GW889">
        <v>160</v>
      </c>
      <c r="GX889" t="s">
        <v>112</v>
      </c>
      <c r="GY889">
        <v>4</v>
      </c>
      <c r="HB889">
        <v>68</v>
      </c>
      <c r="HC889">
        <v>0</v>
      </c>
    </row>
    <row r="890" spans="1:325" ht="20.25">
      <c r="DV890">
        <v>55</v>
      </c>
      <c r="DW890" t="s">
        <v>42</v>
      </c>
      <c r="DX890" s="8">
        <v>43946</v>
      </c>
      <c r="DY890">
        <v>7</v>
      </c>
      <c r="DZ890">
        <v>243</v>
      </c>
      <c r="EA890">
        <v>0</v>
      </c>
      <c r="GV890" s="8">
        <v>43942</v>
      </c>
      <c r="GW890">
        <v>160</v>
      </c>
      <c r="GX890" t="s">
        <v>112</v>
      </c>
      <c r="GY890">
        <v>4</v>
      </c>
      <c r="HB890">
        <v>68</v>
      </c>
      <c r="HC890">
        <v>0</v>
      </c>
    </row>
    <row r="891" spans="1:325" ht="20.25">
      <c r="DV891">
        <v>55</v>
      </c>
      <c r="DW891" t="s">
        <v>42</v>
      </c>
      <c r="DX891" s="8">
        <v>43947</v>
      </c>
      <c r="DY891">
        <v>7</v>
      </c>
      <c r="DZ891">
        <v>243</v>
      </c>
      <c r="EA891">
        <v>0</v>
      </c>
      <c r="GV891" s="8">
        <v>43943</v>
      </c>
      <c r="GW891">
        <v>160</v>
      </c>
      <c r="GX891" t="s">
        <v>112</v>
      </c>
      <c r="GY891">
        <v>4</v>
      </c>
      <c r="HB891">
        <v>68</v>
      </c>
      <c r="HC891">
        <v>0</v>
      </c>
    </row>
    <row r="892" spans="1:325" ht="20.25">
      <c r="DV892">
        <v>55</v>
      </c>
      <c r="DW892" t="s">
        <v>42</v>
      </c>
      <c r="DX892" s="8">
        <v>43948</v>
      </c>
      <c r="DY892">
        <v>7</v>
      </c>
      <c r="DZ892">
        <v>243</v>
      </c>
      <c r="EA892">
        <v>0</v>
      </c>
      <c r="GV892" s="8">
        <v>43944</v>
      </c>
      <c r="GW892">
        <v>160</v>
      </c>
      <c r="GX892" t="s">
        <v>112</v>
      </c>
      <c r="GY892">
        <v>5</v>
      </c>
      <c r="HB892">
        <v>85</v>
      </c>
      <c r="HC892">
        <v>0</v>
      </c>
    </row>
    <row r="893" spans="1:325" ht="20.25">
      <c r="DV893">
        <v>55</v>
      </c>
      <c r="DW893" t="s">
        <v>42</v>
      </c>
      <c r="DX893" s="8">
        <v>43949</v>
      </c>
      <c r="DY893">
        <v>7</v>
      </c>
      <c r="DZ893">
        <v>243</v>
      </c>
      <c r="EA893">
        <v>0</v>
      </c>
      <c r="GV893" s="8">
        <v>43945</v>
      </c>
      <c r="GW893">
        <v>160</v>
      </c>
      <c r="GX893" t="s">
        <v>112</v>
      </c>
      <c r="GY893">
        <v>5</v>
      </c>
      <c r="HB893">
        <v>85</v>
      </c>
      <c r="HC893">
        <v>0</v>
      </c>
    </row>
    <row r="894" spans="1:325" ht="20.25">
      <c r="DV894">
        <v>55</v>
      </c>
      <c r="DW894" t="s">
        <v>42</v>
      </c>
      <c r="DX894" s="8">
        <v>43950</v>
      </c>
      <c r="DY894">
        <v>7</v>
      </c>
      <c r="DZ894">
        <v>243</v>
      </c>
      <c r="EA894">
        <v>0</v>
      </c>
      <c r="GV894" s="8">
        <v>43946</v>
      </c>
      <c r="GW894">
        <v>160</v>
      </c>
      <c r="GX894" t="s">
        <v>112</v>
      </c>
      <c r="GY894">
        <v>5</v>
      </c>
      <c r="HB894">
        <v>85</v>
      </c>
      <c r="HC894">
        <v>0</v>
      </c>
    </row>
    <row r="895" spans="1:325" ht="20.25">
      <c r="DV895">
        <v>55</v>
      </c>
      <c r="DW895" t="s">
        <v>42</v>
      </c>
      <c r="DX895" s="8">
        <v>43951</v>
      </c>
      <c r="DY895">
        <v>7</v>
      </c>
      <c r="DZ895">
        <v>243</v>
      </c>
      <c r="EA895">
        <v>0</v>
      </c>
      <c r="GV895" s="8">
        <v>43947</v>
      </c>
      <c r="GW895">
        <v>160</v>
      </c>
      <c r="GX895" t="s">
        <v>112</v>
      </c>
      <c r="GY895">
        <v>5</v>
      </c>
      <c r="HB895">
        <v>85</v>
      </c>
      <c r="HC895">
        <v>0</v>
      </c>
    </row>
    <row r="896" spans="1:325" ht="20.25">
      <c r="DV896">
        <v>55</v>
      </c>
      <c r="DW896" t="s">
        <v>42</v>
      </c>
      <c r="DX896" s="8">
        <v>43952</v>
      </c>
      <c r="DY896">
        <v>7</v>
      </c>
      <c r="DZ896">
        <v>243</v>
      </c>
      <c r="EA896">
        <v>0</v>
      </c>
      <c r="GV896" s="8">
        <v>43948</v>
      </c>
      <c r="GW896">
        <v>160</v>
      </c>
      <c r="GX896" t="s">
        <v>112</v>
      </c>
      <c r="GY896">
        <v>5</v>
      </c>
      <c r="HB896">
        <v>85</v>
      </c>
      <c r="HC896">
        <v>0</v>
      </c>
    </row>
    <row r="897" spans="1:325" ht="20.25">
      <c r="DV897">
        <v>55</v>
      </c>
      <c r="DW897" t="s">
        <v>42</v>
      </c>
      <c r="DX897" s="8">
        <v>43953</v>
      </c>
      <c r="DY897">
        <v>8</v>
      </c>
      <c r="DZ897">
        <v>278</v>
      </c>
      <c r="EA897">
        <v>0</v>
      </c>
      <c r="GV897" s="8">
        <v>43949</v>
      </c>
      <c r="GW897">
        <v>160</v>
      </c>
      <c r="GX897" t="s">
        <v>112</v>
      </c>
      <c r="GY897">
        <v>5</v>
      </c>
      <c r="HB897">
        <v>85</v>
      </c>
      <c r="HC897">
        <v>0</v>
      </c>
    </row>
    <row r="898" spans="1:325" ht="20.25">
      <c r="DV898">
        <v>55</v>
      </c>
      <c r="DW898" t="s">
        <v>42</v>
      </c>
      <c r="DX898" s="8">
        <v>43954</v>
      </c>
      <c r="DY898">
        <v>8</v>
      </c>
      <c r="DZ898">
        <v>278</v>
      </c>
      <c r="EA898">
        <v>0</v>
      </c>
      <c r="GV898" s="8">
        <v>43950</v>
      </c>
      <c r="GW898">
        <v>160</v>
      </c>
      <c r="GX898" t="s">
        <v>112</v>
      </c>
      <c r="GY898">
        <v>5</v>
      </c>
      <c r="HB898">
        <v>85</v>
      </c>
      <c r="HC898">
        <v>0</v>
      </c>
    </row>
    <row r="899" spans="1:325" ht="20.25">
      <c r="DV899">
        <v>55</v>
      </c>
      <c r="DW899" t="s">
        <v>42</v>
      </c>
      <c r="DX899" s="8">
        <v>43955</v>
      </c>
      <c r="DY899">
        <v>8</v>
      </c>
      <c r="DZ899">
        <v>278</v>
      </c>
      <c r="EA899">
        <v>0</v>
      </c>
      <c r="GV899" s="8">
        <v>43951</v>
      </c>
      <c r="GW899">
        <v>160</v>
      </c>
      <c r="GX899" t="s">
        <v>112</v>
      </c>
      <c r="GY899">
        <v>5</v>
      </c>
      <c r="HB899">
        <v>85</v>
      </c>
      <c r="HC899">
        <v>0</v>
      </c>
    </row>
    <row r="900" spans="1:325" ht="20.25">
      <c r="DV900">
        <v>55</v>
      </c>
      <c r="DW900" t="s">
        <v>42</v>
      </c>
      <c r="DX900" s="8">
        <v>43956</v>
      </c>
      <c r="DY900">
        <v>8</v>
      </c>
      <c r="DZ900">
        <v>278</v>
      </c>
      <c r="EA900">
        <v>0</v>
      </c>
      <c r="GV900" s="8">
        <v>43952</v>
      </c>
      <c r="GW900">
        <v>160</v>
      </c>
      <c r="GX900" t="s">
        <v>112</v>
      </c>
      <c r="GY900">
        <v>5</v>
      </c>
      <c r="HB900">
        <v>85</v>
      </c>
      <c r="HC900">
        <v>0</v>
      </c>
    </row>
    <row r="901" spans="1:325" ht="20.25">
      <c r="DV901">
        <v>55</v>
      </c>
      <c r="DW901" t="s">
        <v>42</v>
      </c>
      <c r="DX901" s="8">
        <v>43957</v>
      </c>
      <c r="DY901">
        <v>8</v>
      </c>
      <c r="DZ901">
        <v>278</v>
      </c>
      <c r="EA901">
        <v>0</v>
      </c>
      <c r="GV901" s="8">
        <v>43953</v>
      </c>
      <c r="GW901">
        <v>160</v>
      </c>
      <c r="GX901" t="s">
        <v>112</v>
      </c>
      <c r="GY901">
        <v>6</v>
      </c>
      <c r="HB901">
        <v>102</v>
      </c>
      <c r="HC901">
        <v>0</v>
      </c>
    </row>
    <row r="902" spans="1:325" ht="20.25">
      <c r="DV902">
        <v>55</v>
      </c>
      <c r="DW902" t="s">
        <v>42</v>
      </c>
      <c r="DX902" s="8">
        <v>43958</v>
      </c>
      <c r="DY902">
        <v>8</v>
      </c>
      <c r="DZ902">
        <v>278</v>
      </c>
      <c r="EA902">
        <v>0</v>
      </c>
      <c r="GV902" s="8">
        <v>43954</v>
      </c>
      <c r="GW902">
        <v>160</v>
      </c>
      <c r="GX902" t="s">
        <v>112</v>
      </c>
      <c r="GY902">
        <v>6</v>
      </c>
      <c r="HB902">
        <v>102</v>
      </c>
      <c r="HC902">
        <v>0</v>
      </c>
    </row>
    <row r="903" spans="1:325" ht="20.25">
      <c r="DV903">
        <v>55</v>
      </c>
      <c r="DW903" t="s">
        <v>42</v>
      </c>
      <c r="DX903" s="8">
        <v>43959</v>
      </c>
      <c r="DY903">
        <v>8</v>
      </c>
      <c r="DZ903">
        <v>278</v>
      </c>
      <c r="EA903">
        <v>0</v>
      </c>
      <c r="GV903" s="8">
        <v>43955</v>
      </c>
      <c r="GW903">
        <v>160</v>
      </c>
      <c r="GX903" t="s">
        <v>112</v>
      </c>
      <c r="GY903">
        <v>6</v>
      </c>
      <c r="HB903">
        <v>102</v>
      </c>
      <c r="HC903">
        <v>0</v>
      </c>
    </row>
    <row r="904" spans="1:325" ht="20.25">
      <c r="DV904">
        <v>55</v>
      </c>
      <c r="DW904" t="s">
        <v>42</v>
      </c>
      <c r="DX904" s="8">
        <v>43960</v>
      </c>
      <c r="DY904">
        <v>8</v>
      </c>
      <c r="DZ904">
        <v>278</v>
      </c>
      <c r="EA904">
        <v>0</v>
      </c>
      <c r="GV904" s="8">
        <v>43956</v>
      </c>
      <c r="GW904">
        <v>160</v>
      </c>
      <c r="GX904" t="s">
        <v>112</v>
      </c>
      <c r="GY904">
        <v>6</v>
      </c>
      <c r="HB904">
        <v>102</v>
      </c>
      <c r="HC904">
        <v>0</v>
      </c>
    </row>
    <row r="905" spans="1:325" ht="20.25">
      <c r="DV905">
        <v>55</v>
      </c>
      <c r="DW905" t="s">
        <v>42</v>
      </c>
      <c r="DX905" s="8">
        <v>43961</v>
      </c>
      <c r="DY905">
        <v>8</v>
      </c>
      <c r="DZ905">
        <v>278</v>
      </c>
      <c r="EA905">
        <v>0</v>
      </c>
      <c r="GV905" s="8">
        <v>43957</v>
      </c>
      <c r="GW905">
        <v>160</v>
      </c>
      <c r="GX905" t="s">
        <v>112</v>
      </c>
      <c r="GY905">
        <v>6</v>
      </c>
      <c r="HB905">
        <v>102</v>
      </c>
      <c r="HC905">
        <v>0</v>
      </c>
    </row>
    <row r="906" spans="1:325" ht="20.25">
      <c r="DV906">
        <v>55</v>
      </c>
      <c r="DW906" t="s">
        <v>42</v>
      </c>
      <c r="DX906" s="8">
        <v>43962</v>
      </c>
      <c r="DY906">
        <v>8</v>
      </c>
      <c r="DZ906">
        <v>278</v>
      </c>
      <c r="EA906">
        <v>0</v>
      </c>
      <c r="GV906" s="8">
        <v>43958</v>
      </c>
      <c r="GW906">
        <v>160</v>
      </c>
      <c r="GX906" t="s">
        <v>112</v>
      </c>
      <c r="GY906">
        <v>6</v>
      </c>
      <c r="HB906">
        <v>102</v>
      </c>
      <c r="HC906">
        <v>0</v>
      </c>
    </row>
    <row r="907" spans="1:325" ht="20.25">
      <c r="DV907">
        <v>55</v>
      </c>
      <c r="DW907" t="s">
        <v>42</v>
      </c>
      <c r="DX907" s="8">
        <v>43963</v>
      </c>
      <c r="DY907">
        <v>8</v>
      </c>
      <c r="DZ907">
        <v>278</v>
      </c>
      <c r="EA907">
        <v>0</v>
      </c>
      <c r="GV907" s="8">
        <v>43959</v>
      </c>
      <c r="GW907">
        <v>160</v>
      </c>
      <c r="GX907" t="s">
        <v>112</v>
      </c>
      <c r="GY907">
        <v>8</v>
      </c>
      <c r="HB907">
        <v>136</v>
      </c>
      <c r="HC907">
        <v>0</v>
      </c>
    </row>
    <row r="908" spans="1:325" ht="20.25">
      <c r="DV908">
        <v>55</v>
      </c>
      <c r="DW908" t="s">
        <v>42</v>
      </c>
      <c r="DX908" s="8">
        <v>43964</v>
      </c>
      <c r="DY908">
        <v>8</v>
      </c>
      <c r="DZ908">
        <v>278</v>
      </c>
      <c r="EA908">
        <v>0</v>
      </c>
      <c r="GV908" s="8">
        <v>43960</v>
      </c>
      <c r="GW908">
        <v>160</v>
      </c>
      <c r="GX908" t="s">
        <v>112</v>
      </c>
      <c r="GY908">
        <v>8</v>
      </c>
      <c r="HB908">
        <v>136</v>
      </c>
      <c r="HC908">
        <v>0</v>
      </c>
    </row>
    <row r="909" spans="1:325" ht="20.25">
      <c r="DV909">
        <v>55</v>
      </c>
      <c r="DW909" t="s">
        <v>42</v>
      </c>
      <c r="DX909" s="8">
        <v>43965</v>
      </c>
      <c r="DY909">
        <v>8</v>
      </c>
      <c r="DZ909">
        <v>278</v>
      </c>
      <c r="EA909">
        <v>0</v>
      </c>
      <c r="GV909" s="8">
        <v>43961</v>
      </c>
      <c r="GW909">
        <v>160</v>
      </c>
      <c r="GX909" t="s">
        <v>112</v>
      </c>
      <c r="GY909">
        <v>8</v>
      </c>
      <c r="HB909">
        <v>136</v>
      </c>
      <c r="HC909">
        <v>0</v>
      </c>
    </row>
    <row r="910" spans="1:325" ht="20.25">
      <c r="DV910">
        <v>55</v>
      </c>
      <c r="DW910" t="s">
        <v>42</v>
      </c>
      <c r="DX910" s="8">
        <v>43966</v>
      </c>
      <c r="DY910">
        <v>8</v>
      </c>
      <c r="DZ910">
        <v>278</v>
      </c>
      <c r="EA910">
        <v>0</v>
      </c>
      <c r="GV910" s="8">
        <v>43962</v>
      </c>
      <c r="GW910">
        <v>160</v>
      </c>
      <c r="GX910" t="s">
        <v>112</v>
      </c>
      <c r="GY910">
        <v>8</v>
      </c>
      <c r="HB910">
        <v>136</v>
      </c>
      <c r="HC910">
        <v>0</v>
      </c>
    </row>
    <row r="911" spans="1:325" ht="20.25">
      <c r="DV911">
        <v>56</v>
      </c>
      <c r="DW911" t="s">
        <v>59</v>
      </c>
      <c r="DX911" s="8">
        <v>43914</v>
      </c>
      <c r="DY911">
        <v>0</v>
      </c>
      <c r="EA911">
        <v>0</v>
      </c>
      <c r="GV911" s="8">
        <v>43963</v>
      </c>
      <c r="GW911">
        <v>160</v>
      </c>
      <c r="GX911" t="s">
        <v>112</v>
      </c>
      <c r="GY911">
        <v>8</v>
      </c>
      <c r="HB911">
        <v>136</v>
      </c>
      <c r="HC911">
        <v>0</v>
      </c>
    </row>
    <row r="912" spans="1:325" ht="20.25">
      <c r="DV912">
        <v>56</v>
      </c>
      <c r="DW912" t="s">
        <v>59</v>
      </c>
      <c r="DX912" s="8">
        <v>43915</v>
      </c>
      <c r="DY912">
        <v>0</v>
      </c>
      <c r="EA912">
        <v>0</v>
      </c>
      <c r="GV912" s="8">
        <v>43964</v>
      </c>
      <c r="GW912">
        <v>160</v>
      </c>
      <c r="GX912" t="s">
        <v>112</v>
      </c>
      <c r="GY912">
        <v>9</v>
      </c>
      <c r="HB912">
        <v>153</v>
      </c>
      <c r="HC912">
        <v>0</v>
      </c>
    </row>
    <row r="913" spans="1:325" ht="20.25">
      <c r="DV913">
        <v>56</v>
      </c>
      <c r="DW913" t="s">
        <v>59</v>
      </c>
      <c r="DX913" s="8">
        <v>43916</v>
      </c>
      <c r="DY913">
        <v>0</v>
      </c>
      <c r="EA913">
        <v>0</v>
      </c>
      <c r="GV913" s="8">
        <v>43965</v>
      </c>
      <c r="GW913">
        <v>160</v>
      </c>
      <c r="GX913" t="s">
        <v>112</v>
      </c>
      <c r="GY913">
        <v>9</v>
      </c>
      <c r="HB913">
        <v>153</v>
      </c>
      <c r="HC913">
        <v>0</v>
      </c>
    </row>
    <row r="914" spans="1:325" ht="20.25">
      <c r="DV914">
        <v>56</v>
      </c>
      <c r="DW914" t="s">
        <v>59</v>
      </c>
      <c r="DX914" s="8">
        <v>43917</v>
      </c>
      <c r="DY914">
        <v>0</v>
      </c>
      <c r="EA914">
        <v>0</v>
      </c>
      <c r="GV914" s="8">
        <v>43966</v>
      </c>
      <c r="GW914">
        <v>160</v>
      </c>
      <c r="GX914" t="s">
        <v>112</v>
      </c>
      <c r="GY914">
        <v>10</v>
      </c>
      <c r="HB914">
        <v>170</v>
      </c>
      <c r="HC914">
        <v>0</v>
      </c>
    </row>
    <row r="915" spans="1:325" ht="20.25">
      <c r="DV915">
        <v>56</v>
      </c>
      <c r="DW915" t="s">
        <v>59</v>
      </c>
      <c r="DX915" s="8">
        <v>43918</v>
      </c>
      <c r="DY915">
        <v>0</v>
      </c>
      <c r="EA915">
        <v>0</v>
      </c>
      <c r="GV915" s="8">
        <v>43967</v>
      </c>
      <c r="GW915">
        <v>160</v>
      </c>
      <c r="GX915" t="s">
        <v>112</v>
      </c>
      <c r="GY915">
        <v>11</v>
      </c>
      <c r="HB915">
        <v>187</v>
      </c>
      <c r="HC915">
        <v>0</v>
      </c>
      <c r="HF915">
        <v>81</v>
      </c>
    </row>
    <row r="916" spans="1:325" ht="20.25">
      <c r="DV916">
        <v>56</v>
      </c>
      <c r="DW916" t="s">
        <v>59</v>
      </c>
      <c r="DX916" s="8">
        <v>43919</v>
      </c>
      <c r="DY916">
        <v>0</v>
      </c>
      <c r="EA916">
        <v>0</v>
      </c>
      <c r="GV916" s="8">
        <v>43968</v>
      </c>
      <c r="GW916">
        <v>160</v>
      </c>
      <c r="GX916" t="s">
        <v>112</v>
      </c>
      <c r="GY916">
        <v>11</v>
      </c>
      <c r="HB916">
        <v>187</v>
      </c>
      <c r="HC916">
        <v>0</v>
      </c>
      <c r="HF916">
        <v>90</v>
      </c>
    </row>
    <row r="917" spans="1:325" ht="20.25">
      <c r="DV917">
        <v>56</v>
      </c>
      <c r="DW917" t="s">
        <v>59</v>
      </c>
      <c r="DX917" s="8">
        <v>43920</v>
      </c>
      <c r="DY917">
        <v>0</v>
      </c>
      <c r="EA917">
        <v>0</v>
      </c>
      <c r="GV917" s="8">
        <v>43969</v>
      </c>
      <c r="GW917">
        <v>160</v>
      </c>
      <c r="GX917" t="s">
        <v>112</v>
      </c>
      <c r="GY917">
        <v>11</v>
      </c>
      <c r="HB917">
        <v>187</v>
      </c>
      <c r="HC917">
        <v>0</v>
      </c>
      <c r="HF917">
        <v>91</v>
      </c>
    </row>
    <row r="918" spans="1:325" ht="20.25">
      <c r="DV918">
        <v>56</v>
      </c>
      <c r="DW918" t="s">
        <v>59</v>
      </c>
      <c r="DX918" s="8">
        <v>43921</v>
      </c>
      <c r="DY918">
        <v>1</v>
      </c>
      <c r="EA918">
        <v>0</v>
      </c>
      <c r="GV918" s="8">
        <v>43970</v>
      </c>
      <c r="GW918">
        <v>160</v>
      </c>
      <c r="GX918" t="s">
        <v>112</v>
      </c>
      <c r="GY918">
        <v>11</v>
      </c>
      <c r="HB918">
        <v>187</v>
      </c>
      <c r="HC918">
        <v>0</v>
      </c>
      <c r="HF918">
        <v>98</v>
      </c>
    </row>
    <row r="919" spans="1:325" ht="20.25">
      <c r="DV919">
        <v>56</v>
      </c>
      <c r="DW919" t="s">
        <v>59</v>
      </c>
      <c r="DX919" s="8">
        <v>43922</v>
      </c>
      <c r="DY919">
        <v>1</v>
      </c>
      <c r="EA919">
        <v>0</v>
      </c>
      <c r="GV919" s="8">
        <v>43971</v>
      </c>
      <c r="GW919">
        <v>160</v>
      </c>
      <c r="GX919" t="s">
        <v>112</v>
      </c>
      <c r="GY919">
        <v>11</v>
      </c>
      <c r="HB919">
        <v>187</v>
      </c>
      <c r="HC919">
        <v>0</v>
      </c>
      <c r="HF919">
        <v>97</v>
      </c>
      <c r="HG919">
        <v>1648</v>
      </c>
    </row>
    <row r="920" spans="1:325" ht="20.25">
      <c r="DV920">
        <v>56</v>
      </c>
      <c r="DW920" t="s">
        <v>59</v>
      </c>
      <c r="DX920" s="8">
        <v>43923</v>
      </c>
      <c r="DY920">
        <v>1</v>
      </c>
      <c r="EA920">
        <v>0</v>
      </c>
      <c r="GV920" s="8">
        <v>43972</v>
      </c>
      <c r="GW920">
        <v>160</v>
      </c>
      <c r="GX920" t="s">
        <v>112</v>
      </c>
      <c r="GY920">
        <v>12</v>
      </c>
      <c r="HB920">
        <v>204</v>
      </c>
      <c r="HC920">
        <v>0</v>
      </c>
      <c r="HF920">
        <v>103</v>
      </c>
      <c r="HG920">
        <v>1750</v>
      </c>
    </row>
    <row r="921" spans="1:325" ht="20.25">
      <c r="DV921">
        <v>56</v>
      </c>
      <c r="DW921" t="s">
        <v>59</v>
      </c>
      <c r="DX921" s="8">
        <v>43924</v>
      </c>
      <c r="DY921">
        <v>1</v>
      </c>
      <c r="EA921">
        <v>0</v>
      </c>
      <c r="GV921" s="8">
        <v>43973</v>
      </c>
      <c r="GW921">
        <v>160</v>
      </c>
      <c r="GX921" t="s">
        <v>112</v>
      </c>
      <c r="GY921">
        <v>12</v>
      </c>
      <c r="HB921">
        <v>204</v>
      </c>
      <c r="HC921">
        <v>0</v>
      </c>
      <c r="HF921">
        <v>107</v>
      </c>
      <c r="HG921">
        <v>1818</v>
      </c>
    </row>
    <row r="922" spans="1:325" ht="20.25">
      <c r="DV922">
        <v>56</v>
      </c>
      <c r="DW922" t="s">
        <v>59</v>
      </c>
      <c r="DX922" s="8">
        <v>43925</v>
      </c>
      <c r="DY922">
        <v>2</v>
      </c>
      <c r="EA922">
        <v>0</v>
      </c>
      <c r="GV922" s="8">
        <v>43974</v>
      </c>
      <c r="GW922">
        <v>160</v>
      </c>
      <c r="GX922" t="s">
        <v>112</v>
      </c>
      <c r="GY922">
        <v>12</v>
      </c>
      <c r="HB922">
        <v>204</v>
      </c>
      <c r="HC922">
        <v>0</v>
      </c>
      <c r="HF922">
        <v>111</v>
      </c>
      <c r="HG922">
        <v>1886</v>
      </c>
    </row>
    <row r="923" spans="1:325" ht="20.25">
      <c r="DV923">
        <v>56</v>
      </c>
      <c r="DW923" t="s">
        <v>59</v>
      </c>
      <c r="DX923" s="8">
        <v>43926</v>
      </c>
      <c r="DY923">
        <v>2</v>
      </c>
      <c r="EA923">
        <v>0</v>
      </c>
      <c r="GV923" s="8">
        <v>43975</v>
      </c>
      <c r="GW923">
        <v>160</v>
      </c>
      <c r="GX923" t="s">
        <v>112</v>
      </c>
      <c r="GY923">
        <v>12</v>
      </c>
      <c r="HB923">
        <v>204</v>
      </c>
      <c r="HC923">
        <v>0</v>
      </c>
      <c r="HF923">
        <v>116</v>
      </c>
      <c r="HG923">
        <v>1970</v>
      </c>
    </row>
    <row r="924" spans="1:325" ht="20.25">
      <c r="DV924">
        <v>56</v>
      </c>
      <c r="DW924" t="s">
        <v>59</v>
      </c>
      <c r="DX924" s="8">
        <v>43927</v>
      </c>
      <c r="DY924">
        <v>3</v>
      </c>
      <c r="EA924">
        <v>0</v>
      </c>
      <c r="GV924" s="8">
        <v>43976</v>
      </c>
      <c r="GW924">
        <v>160</v>
      </c>
      <c r="GX924" t="s">
        <v>112</v>
      </c>
      <c r="GY924">
        <v>12</v>
      </c>
      <c r="HB924">
        <v>204</v>
      </c>
      <c r="HC924">
        <v>0</v>
      </c>
      <c r="HF924">
        <v>118</v>
      </c>
      <c r="HG924">
        <v>2004</v>
      </c>
    </row>
    <row r="925" spans="1:325" ht="20.25">
      <c r="DV925">
        <v>56</v>
      </c>
      <c r="DW925" t="s">
        <v>59</v>
      </c>
      <c r="DX925" s="8">
        <v>43928</v>
      </c>
      <c r="DY925">
        <v>3</v>
      </c>
      <c r="EA925">
        <v>0</v>
      </c>
      <c r="GV925" s="8">
        <v>43977</v>
      </c>
      <c r="GW925">
        <v>160</v>
      </c>
      <c r="GX925" t="s">
        <v>112</v>
      </c>
      <c r="GY925">
        <v>12</v>
      </c>
      <c r="HB925">
        <v>204</v>
      </c>
      <c r="HC925">
        <v>0</v>
      </c>
      <c r="HF925">
        <v>122</v>
      </c>
      <c r="HG925">
        <v>2072</v>
      </c>
    </row>
    <row r="926" spans="1:325" ht="20.25">
      <c r="DV926">
        <v>56</v>
      </c>
      <c r="DW926" t="s">
        <v>59</v>
      </c>
      <c r="DX926" s="8">
        <v>43929</v>
      </c>
      <c r="DY926">
        <v>7</v>
      </c>
      <c r="EA926">
        <v>0</v>
      </c>
      <c r="GV926" s="8">
        <v>43978</v>
      </c>
      <c r="GW926">
        <v>160</v>
      </c>
      <c r="GX926" t="s">
        <v>112</v>
      </c>
      <c r="GY926">
        <v>12</v>
      </c>
      <c r="HB926">
        <v>204</v>
      </c>
      <c r="HC926">
        <v>0</v>
      </c>
      <c r="HF926">
        <v>123</v>
      </c>
      <c r="HG926">
        <v>2089</v>
      </c>
    </row>
    <row r="927" spans="1:325" ht="20.25">
      <c r="DV927">
        <v>56</v>
      </c>
      <c r="DW927" t="s">
        <v>59</v>
      </c>
      <c r="DX927" s="8">
        <v>43930</v>
      </c>
      <c r="DY927">
        <v>7</v>
      </c>
      <c r="EA927">
        <v>0</v>
      </c>
      <c r="GV927" s="8">
        <v>43979</v>
      </c>
      <c r="GW927">
        <v>160</v>
      </c>
      <c r="GX927" t="s">
        <v>112</v>
      </c>
      <c r="GY927">
        <v>12</v>
      </c>
      <c r="HB927">
        <v>204</v>
      </c>
      <c r="HC927">
        <v>0</v>
      </c>
      <c r="HF927">
        <v>123</v>
      </c>
      <c r="HG927">
        <v>2089</v>
      </c>
    </row>
    <row r="928" spans="1:325" ht="20.25">
      <c r="DV928">
        <v>56</v>
      </c>
      <c r="DW928" t="s">
        <v>59</v>
      </c>
      <c r="DX928" s="8">
        <v>43931</v>
      </c>
      <c r="DY928">
        <v>7</v>
      </c>
      <c r="EA928">
        <v>0</v>
      </c>
      <c r="GV928" s="8">
        <v>43980</v>
      </c>
      <c r="GW928">
        <v>160</v>
      </c>
      <c r="GX928" t="s">
        <v>112</v>
      </c>
      <c r="GY928">
        <v>13</v>
      </c>
      <c r="HB928">
        <v>221</v>
      </c>
      <c r="HC928">
        <v>0</v>
      </c>
      <c r="HF928">
        <v>126</v>
      </c>
      <c r="HG928">
        <v>2140</v>
      </c>
    </row>
    <row r="929" spans="1:325" ht="20.25">
      <c r="DV929">
        <v>56</v>
      </c>
      <c r="DW929" t="s">
        <v>59</v>
      </c>
      <c r="DX929" s="8">
        <v>43932</v>
      </c>
      <c r="DY929">
        <v>7</v>
      </c>
      <c r="EA929">
        <v>0</v>
      </c>
      <c r="GV929" s="8">
        <v>43981</v>
      </c>
      <c r="GW929">
        <v>160</v>
      </c>
      <c r="GX929" t="s">
        <v>112</v>
      </c>
      <c r="GY929">
        <v>13</v>
      </c>
      <c r="HB929">
        <v>221</v>
      </c>
      <c r="HC929">
        <v>0</v>
      </c>
      <c r="HF929">
        <v>127</v>
      </c>
      <c r="HG929">
        <v>2157</v>
      </c>
    </row>
    <row r="930" spans="1:325" ht="20.25">
      <c r="DV930">
        <v>56</v>
      </c>
      <c r="DW930" t="s">
        <v>59</v>
      </c>
      <c r="DX930" s="8">
        <v>43933</v>
      </c>
      <c r="DY930">
        <v>7</v>
      </c>
      <c r="EA930">
        <v>0</v>
      </c>
      <c r="GV930" s="8">
        <v>43982</v>
      </c>
      <c r="GW930">
        <v>160</v>
      </c>
      <c r="GX930" t="s">
        <v>112</v>
      </c>
      <c r="GY930">
        <v>13</v>
      </c>
      <c r="GZ930">
        <v>13</v>
      </c>
      <c r="HA930">
        <v>0</v>
      </c>
      <c r="HB930">
        <v>221</v>
      </c>
      <c r="HC930">
        <v>0</v>
      </c>
      <c r="HD930">
        <v>0</v>
      </c>
      <c r="HE930">
        <v>0</v>
      </c>
      <c r="HF930">
        <v>131</v>
      </c>
      <c r="HG930">
        <v>2225</v>
      </c>
      <c r="HH930">
        <v>145</v>
      </c>
      <c r="HI930">
        <v>13</v>
      </c>
      <c r="HJ930">
        <v>132</v>
      </c>
      <c r="HK930">
        <v>0</v>
      </c>
    </row>
    <row r="931" spans="1:325" ht="20.25">
      <c r="DV931">
        <v>56</v>
      </c>
      <c r="DW931" t="s">
        <v>59</v>
      </c>
      <c r="DX931" s="8">
        <v>43934</v>
      </c>
      <c r="DY931">
        <v>7</v>
      </c>
      <c r="EA931">
        <v>0</v>
      </c>
      <c r="GV931" s="8">
        <v>43983</v>
      </c>
      <c r="GW931">
        <v>160</v>
      </c>
      <c r="GX931" t="s">
        <v>112</v>
      </c>
      <c r="GY931">
        <v>13</v>
      </c>
      <c r="GZ931">
        <v>13</v>
      </c>
      <c r="HA931">
        <v>0</v>
      </c>
      <c r="HB931">
        <v>221</v>
      </c>
      <c r="HC931">
        <v>0</v>
      </c>
      <c r="HD931">
        <v>0</v>
      </c>
      <c r="HE931">
        <v>0</v>
      </c>
      <c r="HF931">
        <v>138</v>
      </c>
      <c r="HG931">
        <v>2344</v>
      </c>
      <c r="HH931">
        <v>152</v>
      </c>
      <c r="HI931">
        <v>13</v>
      </c>
      <c r="HJ931">
        <v>139</v>
      </c>
      <c r="HK931">
        <v>0</v>
      </c>
    </row>
    <row r="932" spans="1:325" ht="20.25">
      <c r="DV932">
        <v>56</v>
      </c>
      <c r="DW932" t="s">
        <v>59</v>
      </c>
      <c r="DX932" s="8">
        <v>43935</v>
      </c>
      <c r="DY932">
        <v>8</v>
      </c>
      <c r="EA932">
        <v>1</v>
      </c>
      <c r="GV932" s="8">
        <v>43984</v>
      </c>
      <c r="GW932">
        <v>160</v>
      </c>
      <c r="GX932" t="s">
        <v>112</v>
      </c>
      <c r="GY932">
        <v>13</v>
      </c>
      <c r="GZ932">
        <v>13</v>
      </c>
      <c r="HA932">
        <v>0</v>
      </c>
      <c r="HB932">
        <v>221</v>
      </c>
      <c r="HC932">
        <v>0</v>
      </c>
      <c r="HD932">
        <v>0</v>
      </c>
      <c r="HE932">
        <v>0</v>
      </c>
      <c r="HF932">
        <v>139</v>
      </c>
      <c r="HG932">
        <v>2361</v>
      </c>
      <c r="HH932">
        <v>156</v>
      </c>
      <c r="HI932">
        <v>13</v>
      </c>
      <c r="HJ932">
        <v>143</v>
      </c>
      <c r="HK932">
        <v>0</v>
      </c>
    </row>
    <row r="933" spans="1:325" ht="20.25">
      <c r="DV933">
        <v>56</v>
      </c>
      <c r="DW933" t="s">
        <v>59</v>
      </c>
      <c r="DX933" s="8">
        <v>43936</v>
      </c>
      <c r="DY933">
        <v>7</v>
      </c>
      <c r="EA933">
        <v>1</v>
      </c>
    </row>
    <row r="934" spans="1:325" ht="20.25">
      <c r="DV934">
        <v>56</v>
      </c>
      <c r="DW934" t="s">
        <v>59</v>
      </c>
      <c r="DX934" s="8">
        <v>43937</v>
      </c>
      <c r="DY934">
        <v>7</v>
      </c>
      <c r="DZ934">
        <v>62</v>
      </c>
      <c r="EA934">
        <v>1</v>
      </c>
    </row>
    <row r="935" spans="1:325" ht="20.25">
      <c r="DV935">
        <v>56</v>
      </c>
      <c r="DW935" t="s">
        <v>59</v>
      </c>
      <c r="DX935" s="8">
        <v>43938</v>
      </c>
      <c r="DY935">
        <v>7</v>
      </c>
      <c r="DZ935">
        <v>62</v>
      </c>
      <c r="EA935">
        <v>1</v>
      </c>
    </row>
    <row r="936" spans="1:325" ht="20.25">
      <c r="DV936">
        <v>56</v>
      </c>
      <c r="DW936" t="s">
        <v>59</v>
      </c>
      <c r="DX936" s="8">
        <v>43939</v>
      </c>
      <c r="DY936">
        <v>7</v>
      </c>
      <c r="DZ936">
        <v>62</v>
      </c>
      <c r="EA936">
        <v>1</v>
      </c>
    </row>
    <row r="937" spans="1:325" ht="20.25">
      <c r="DV937">
        <v>56</v>
      </c>
      <c r="DW937" t="s">
        <v>59</v>
      </c>
      <c r="DX937" s="8">
        <v>43940</v>
      </c>
      <c r="DY937">
        <v>8</v>
      </c>
      <c r="DZ937">
        <v>70</v>
      </c>
      <c r="EA937">
        <v>1</v>
      </c>
    </row>
    <row r="938" spans="1:325" ht="20.25">
      <c r="DV938">
        <v>56</v>
      </c>
      <c r="DW938" t="s">
        <v>59</v>
      </c>
      <c r="DX938" s="8">
        <v>43941</v>
      </c>
      <c r="DY938">
        <v>8</v>
      </c>
      <c r="DZ938">
        <v>70</v>
      </c>
      <c r="EA938">
        <v>1</v>
      </c>
    </row>
    <row r="939" spans="1:325" ht="20.25">
      <c r="DV939">
        <v>56</v>
      </c>
      <c r="DW939" t="s">
        <v>59</v>
      </c>
      <c r="DX939" s="8">
        <v>43942</v>
      </c>
      <c r="DY939">
        <v>8</v>
      </c>
      <c r="DZ939">
        <v>70</v>
      </c>
      <c r="EA939">
        <v>1</v>
      </c>
    </row>
    <row r="940" spans="1:325" ht="20.25">
      <c r="DV940">
        <v>56</v>
      </c>
      <c r="DW940" t="s">
        <v>59</v>
      </c>
      <c r="DX940" s="8">
        <v>43943</v>
      </c>
      <c r="DY940">
        <v>8</v>
      </c>
      <c r="DZ940">
        <v>70</v>
      </c>
      <c r="EA940">
        <v>1</v>
      </c>
    </row>
    <row r="941" spans="1:325" ht="20.25">
      <c r="DV941">
        <v>56</v>
      </c>
      <c r="DW941" t="s">
        <v>59</v>
      </c>
      <c r="DX941" s="8">
        <v>43944</v>
      </c>
      <c r="DY941">
        <v>8</v>
      </c>
      <c r="DZ941">
        <v>70</v>
      </c>
      <c r="EA941">
        <v>1</v>
      </c>
    </row>
    <row r="942" spans="1:325" ht="20.25">
      <c r="DV942">
        <v>56</v>
      </c>
      <c r="DW942" t="s">
        <v>59</v>
      </c>
      <c r="DX942" s="8">
        <v>43945</v>
      </c>
      <c r="DY942">
        <v>9</v>
      </c>
      <c r="DZ942">
        <v>79</v>
      </c>
      <c r="EA942">
        <v>1</v>
      </c>
    </row>
    <row r="943" spans="1:325" ht="20.25">
      <c r="DV943">
        <v>56</v>
      </c>
      <c r="DW943" t="s">
        <v>59</v>
      </c>
      <c r="DX943" s="8">
        <v>43946</v>
      </c>
      <c r="DY943">
        <v>10</v>
      </c>
      <c r="DZ943">
        <v>88</v>
      </c>
      <c r="EA943">
        <v>1</v>
      </c>
    </row>
    <row r="944" spans="1:325" ht="20.25">
      <c r="DV944">
        <v>56</v>
      </c>
      <c r="DW944" t="s">
        <v>59</v>
      </c>
      <c r="DX944" s="8">
        <v>43947</v>
      </c>
      <c r="DY944">
        <v>13</v>
      </c>
      <c r="DZ944">
        <v>114</v>
      </c>
      <c r="EA944">
        <v>1</v>
      </c>
    </row>
    <row r="945" spans="1:325" ht="20.25">
      <c r="DV945">
        <v>56</v>
      </c>
      <c r="DW945" t="s">
        <v>59</v>
      </c>
      <c r="DX945" s="8">
        <v>43948</v>
      </c>
      <c r="DY945">
        <v>13</v>
      </c>
      <c r="DZ945">
        <v>114</v>
      </c>
      <c r="EA945">
        <v>1</v>
      </c>
    </row>
    <row r="946" spans="1:325" ht="20.25">
      <c r="DV946">
        <v>56</v>
      </c>
      <c r="DW946" t="s">
        <v>59</v>
      </c>
      <c r="DX946" s="8">
        <v>43949</v>
      </c>
      <c r="DY946">
        <v>13</v>
      </c>
      <c r="DZ946">
        <v>114</v>
      </c>
      <c r="EA946">
        <v>1</v>
      </c>
    </row>
    <row r="947" spans="1:325" ht="20.25">
      <c r="DV947">
        <v>56</v>
      </c>
      <c r="DW947" t="s">
        <v>59</v>
      </c>
      <c r="DX947" s="8">
        <v>43950</v>
      </c>
      <c r="DY947">
        <v>13</v>
      </c>
      <c r="DZ947">
        <v>114</v>
      </c>
      <c r="EA947">
        <v>1</v>
      </c>
    </row>
    <row r="948" spans="1:325" ht="20.25">
      <c r="DV948">
        <v>56</v>
      </c>
      <c r="DW948" t="s">
        <v>59</v>
      </c>
      <c r="DX948" s="8">
        <v>43951</v>
      </c>
      <c r="DY948">
        <v>13</v>
      </c>
      <c r="DZ948">
        <v>114</v>
      </c>
      <c r="EA948">
        <v>1</v>
      </c>
    </row>
    <row r="949" spans="1:325" ht="20.25">
      <c r="DV949">
        <v>56</v>
      </c>
      <c r="DW949" t="s">
        <v>59</v>
      </c>
      <c r="DX949" s="8">
        <v>43952</v>
      </c>
      <c r="DY949">
        <v>13</v>
      </c>
      <c r="DZ949">
        <v>114</v>
      </c>
      <c r="EA949">
        <v>1</v>
      </c>
    </row>
    <row r="950" spans="1:325" ht="20.25">
      <c r="DV950">
        <v>56</v>
      </c>
      <c r="DW950" t="s">
        <v>59</v>
      </c>
      <c r="DX950" s="8">
        <v>43953</v>
      </c>
      <c r="DY950">
        <v>14</v>
      </c>
      <c r="DZ950">
        <v>123</v>
      </c>
      <c r="EA950">
        <v>1</v>
      </c>
    </row>
    <row r="951" spans="1:325" ht="20.25">
      <c r="DV951">
        <v>56</v>
      </c>
      <c r="DW951" t="s">
        <v>59</v>
      </c>
      <c r="DX951" s="8">
        <v>43954</v>
      </c>
      <c r="DY951">
        <v>14</v>
      </c>
      <c r="DZ951">
        <v>123</v>
      </c>
      <c r="EA951">
        <v>1</v>
      </c>
    </row>
    <row r="952" spans="1:325" ht="20.25">
      <c r="DV952">
        <v>56</v>
      </c>
      <c r="DW952" t="s">
        <v>59</v>
      </c>
      <c r="DX952" s="8">
        <v>43955</v>
      </c>
      <c r="DY952">
        <v>14</v>
      </c>
      <c r="DZ952">
        <v>123</v>
      </c>
      <c r="EA952">
        <v>1</v>
      </c>
    </row>
    <row r="953" spans="1:325" ht="20.25">
      <c r="DV953">
        <v>56</v>
      </c>
      <c r="DW953" t="s">
        <v>59</v>
      </c>
      <c r="DX953" s="8">
        <v>43956</v>
      </c>
      <c r="DY953">
        <v>16</v>
      </c>
      <c r="DZ953">
        <v>141</v>
      </c>
      <c r="EA953">
        <v>1</v>
      </c>
    </row>
    <row r="954" spans="1:325" ht="20.25">
      <c r="DV954">
        <v>56</v>
      </c>
      <c r="DW954" t="s">
        <v>59</v>
      </c>
      <c r="DX954" s="8">
        <v>43957</v>
      </c>
      <c r="DY954">
        <v>16</v>
      </c>
      <c r="DZ954">
        <v>141</v>
      </c>
      <c r="EA954">
        <v>1</v>
      </c>
    </row>
    <row r="955" spans="1:325" ht="20.25">
      <c r="DV955">
        <v>56</v>
      </c>
      <c r="DW955" t="s">
        <v>59</v>
      </c>
      <c r="DX955" s="8">
        <v>43958</v>
      </c>
      <c r="DY955">
        <v>16</v>
      </c>
      <c r="DZ955">
        <v>141</v>
      </c>
      <c r="EA955">
        <v>1</v>
      </c>
    </row>
    <row r="956" spans="1:325" ht="20.25">
      <c r="DV956">
        <v>56</v>
      </c>
      <c r="DW956" t="s">
        <v>59</v>
      </c>
      <c r="DX956" s="8">
        <v>43959</v>
      </c>
      <c r="DY956">
        <v>16</v>
      </c>
      <c r="DZ956">
        <v>141</v>
      </c>
      <c r="EA956">
        <v>1</v>
      </c>
    </row>
    <row r="957" spans="1:325" ht="20.25">
      <c r="DV957">
        <v>56</v>
      </c>
      <c r="DW957" t="s">
        <v>59</v>
      </c>
      <c r="DX957" s="8">
        <v>43960</v>
      </c>
      <c r="DY957">
        <v>17</v>
      </c>
      <c r="DZ957">
        <v>149</v>
      </c>
      <c r="EA957">
        <v>1</v>
      </c>
    </row>
    <row r="958" spans="1:325" ht="20.25">
      <c r="DV958">
        <v>56</v>
      </c>
      <c r="DW958" t="s">
        <v>59</v>
      </c>
      <c r="DX958" s="8">
        <v>43961</v>
      </c>
      <c r="DY958">
        <v>17</v>
      </c>
      <c r="DZ958">
        <v>149</v>
      </c>
      <c r="EA958">
        <v>1</v>
      </c>
    </row>
    <row r="959" spans="1:325" ht="20.25">
      <c r="DV959">
        <v>56</v>
      </c>
      <c r="DW959" t="s">
        <v>59</v>
      </c>
      <c r="DX959" s="8">
        <v>43962</v>
      </c>
      <c r="DY959">
        <v>17</v>
      </c>
      <c r="DZ959">
        <v>149</v>
      </c>
      <c r="EA959">
        <v>1</v>
      </c>
    </row>
    <row r="960" spans="1:325" ht="20.25">
      <c r="DV960">
        <v>56</v>
      </c>
      <c r="DW960" t="s">
        <v>59</v>
      </c>
      <c r="DX960" s="8">
        <v>43963</v>
      </c>
      <c r="DY960">
        <v>17</v>
      </c>
      <c r="DZ960">
        <v>149</v>
      </c>
      <c r="EA960">
        <v>1</v>
      </c>
    </row>
    <row r="961" spans="1:325" ht="20.25">
      <c r="DV961">
        <v>56</v>
      </c>
      <c r="DW961" t="s">
        <v>59</v>
      </c>
      <c r="DX961" s="8">
        <v>43964</v>
      </c>
      <c r="DY961">
        <v>18</v>
      </c>
      <c r="DZ961">
        <v>158</v>
      </c>
      <c r="EA961">
        <v>1</v>
      </c>
    </row>
    <row r="962" spans="1:325" ht="20.25">
      <c r="DV962">
        <v>56</v>
      </c>
      <c r="DW962" t="s">
        <v>59</v>
      </c>
      <c r="DX962" s="8">
        <v>43965</v>
      </c>
      <c r="DY962">
        <v>18</v>
      </c>
      <c r="DZ962">
        <v>158</v>
      </c>
      <c r="EA962">
        <v>1</v>
      </c>
    </row>
    <row r="963" spans="1:325" ht="20.25">
      <c r="DV963">
        <v>56</v>
      </c>
      <c r="DW963" t="s">
        <v>59</v>
      </c>
      <c r="DX963" s="8">
        <v>43966</v>
      </c>
      <c r="DY963">
        <v>18</v>
      </c>
      <c r="DZ963">
        <v>158</v>
      </c>
      <c r="EA963">
        <v>1</v>
      </c>
    </row>
    <row r="964" spans="1:325" ht="20.25">
      <c r="DV964">
        <v>59</v>
      </c>
      <c r="DW964" t="s">
        <v>60</v>
      </c>
      <c r="DX964" s="8">
        <v>43914</v>
      </c>
      <c r="DY964">
        <v>0</v>
      </c>
      <c r="EA964">
        <v>0</v>
      </c>
    </row>
    <row r="965" spans="1:325" ht="20.25">
      <c r="DV965">
        <v>59</v>
      </c>
      <c r="DW965" t="s">
        <v>60</v>
      </c>
      <c r="DX965" s="8">
        <v>43915</v>
      </c>
      <c r="DY965">
        <v>1</v>
      </c>
      <c r="EA965">
        <v>0</v>
      </c>
    </row>
    <row r="966" spans="1:325" ht="20.25">
      <c r="DV966">
        <v>59</v>
      </c>
      <c r="DW966" t="s">
        <v>60</v>
      </c>
      <c r="DX966" s="8">
        <v>43916</v>
      </c>
      <c r="DY966">
        <v>1</v>
      </c>
      <c r="EA966">
        <v>0</v>
      </c>
    </row>
    <row r="967" spans="1:325" ht="20.25">
      <c r="DV967">
        <v>59</v>
      </c>
      <c r="DW967" t="s">
        <v>60</v>
      </c>
      <c r="DX967" s="8">
        <v>43917</v>
      </c>
      <c r="DY967">
        <v>1</v>
      </c>
      <c r="EA967">
        <v>0</v>
      </c>
    </row>
    <row r="968" spans="1:325" ht="20.25">
      <c r="DV968">
        <v>59</v>
      </c>
      <c r="DW968" t="s">
        <v>60</v>
      </c>
      <c r="DX968" s="8">
        <v>43918</v>
      </c>
      <c r="DY968">
        <v>2</v>
      </c>
      <c r="EA968">
        <v>0</v>
      </c>
    </row>
    <row r="969" spans="1:325" ht="20.25">
      <c r="DV969">
        <v>59</v>
      </c>
      <c r="DW969" t="s">
        <v>60</v>
      </c>
      <c r="DX969" s="8">
        <v>43919</v>
      </c>
      <c r="DY969">
        <v>2</v>
      </c>
      <c r="EA969">
        <v>0</v>
      </c>
    </row>
    <row r="970" spans="1:325" ht="20.25">
      <c r="DV970">
        <v>59</v>
      </c>
      <c r="DW970" t="s">
        <v>60</v>
      </c>
      <c r="DX970" s="8">
        <v>43920</v>
      </c>
      <c r="DY970">
        <v>2</v>
      </c>
      <c r="EA970">
        <v>0</v>
      </c>
    </row>
    <row r="971" spans="1:325" ht="20.25">
      <c r="DV971">
        <v>59</v>
      </c>
      <c r="DW971" t="s">
        <v>60</v>
      </c>
      <c r="DX971" s="8">
        <v>43921</v>
      </c>
      <c r="DY971">
        <v>2</v>
      </c>
      <c r="EA971">
        <v>0</v>
      </c>
    </row>
    <row r="972" spans="1:325" ht="20.25">
      <c r="DV972">
        <v>59</v>
      </c>
      <c r="DW972" t="s">
        <v>60</v>
      </c>
      <c r="DX972" s="8">
        <v>43922</v>
      </c>
      <c r="DY972">
        <v>2</v>
      </c>
      <c r="EA972">
        <v>0</v>
      </c>
    </row>
    <row r="973" spans="1:325" ht="20.25">
      <c r="DV973">
        <v>59</v>
      </c>
      <c r="DW973" t="s">
        <v>60</v>
      </c>
      <c r="DX973" s="8">
        <v>43923</v>
      </c>
      <c r="DY973">
        <v>2</v>
      </c>
      <c r="EA973">
        <v>0</v>
      </c>
    </row>
    <row r="974" spans="1:325" ht="20.25">
      <c r="DV974">
        <v>59</v>
      </c>
      <c r="DW974" t="s">
        <v>60</v>
      </c>
      <c r="DX974" s="8">
        <v>43924</v>
      </c>
      <c r="DY974">
        <v>3</v>
      </c>
      <c r="EA974">
        <v>0</v>
      </c>
    </row>
    <row r="975" spans="1:325" ht="20.25">
      <c r="DV975">
        <v>59</v>
      </c>
      <c r="DW975" t="s">
        <v>60</v>
      </c>
      <c r="DX975" s="8">
        <v>43925</v>
      </c>
      <c r="DY975">
        <v>5</v>
      </c>
      <c r="EA975">
        <v>0</v>
      </c>
    </row>
    <row r="976" spans="1:325" ht="20.25">
      <c r="DV976">
        <v>59</v>
      </c>
      <c r="DW976" t="s">
        <v>60</v>
      </c>
      <c r="DX976" s="8">
        <v>43926</v>
      </c>
      <c r="DY976">
        <v>5</v>
      </c>
      <c r="EA976">
        <v>0</v>
      </c>
    </row>
    <row r="977" spans="1:325" ht="20.25">
      <c r="DV977">
        <v>59</v>
      </c>
      <c r="DW977" t="s">
        <v>60</v>
      </c>
      <c r="DX977" s="8">
        <v>43927</v>
      </c>
      <c r="DY977">
        <v>6</v>
      </c>
      <c r="EA977">
        <v>0</v>
      </c>
    </row>
    <row r="978" spans="1:325" ht="20.25">
      <c r="DV978">
        <v>59</v>
      </c>
      <c r="DW978" t="s">
        <v>60</v>
      </c>
      <c r="DX978" s="8">
        <v>43928</v>
      </c>
      <c r="DY978">
        <v>8</v>
      </c>
      <c r="EA978">
        <v>0</v>
      </c>
    </row>
    <row r="979" spans="1:325" ht="20.25">
      <c r="DV979">
        <v>59</v>
      </c>
      <c r="DW979" t="s">
        <v>60</v>
      </c>
      <c r="DX979" s="8">
        <v>43929</v>
      </c>
      <c r="DY979">
        <v>11</v>
      </c>
      <c r="EA979">
        <v>0</v>
      </c>
    </row>
    <row r="980" spans="1:325" ht="20.25">
      <c r="DV980">
        <v>59</v>
      </c>
      <c r="DW980" t="s">
        <v>60</v>
      </c>
      <c r="DX980" s="8">
        <v>43930</v>
      </c>
      <c r="DY980">
        <v>13</v>
      </c>
      <c r="EA980">
        <v>0</v>
      </c>
    </row>
    <row r="981" spans="1:325" ht="20.25">
      <c r="DV981">
        <v>59</v>
      </c>
      <c r="DW981" t="s">
        <v>60</v>
      </c>
      <c r="DX981" s="8">
        <v>43931</v>
      </c>
      <c r="DY981">
        <v>13</v>
      </c>
      <c r="EA981">
        <v>0</v>
      </c>
    </row>
    <row r="982" spans="1:325" ht="20.25">
      <c r="DV982">
        <v>59</v>
      </c>
      <c r="DW982" t="s">
        <v>60</v>
      </c>
      <c r="DX982" s="8">
        <v>43932</v>
      </c>
      <c r="DY982">
        <v>17</v>
      </c>
      <c r="EA982">
        <v>0</v>
      </c>
    </row>
    <row r="983" spans="1:325" ht="20.25">
      <c r="DV983">
        <v>59</v>
      </c>
      <c r="DW983" t="s">
        <v>60</v>
      </c>
      <c r="DX983" s="8">
        <v>43933</v>
      </c>
      <c r="DY983">
        <v>17</v>
      </c>
      <c r="EA983">
        <v>0</v>
      </c>
    </row>
    <row r="984" spans="1:325" ht="20.25">
      <c r="DV984">
        <v>59</v>
      </c>
      <c r="DW984" t="s">
        <v>60</v>
      </c>
      <c r="DX984" s="8">
        <v>43934</v>
      </c>
      <c r="DY984">
        <v>21</v>
      </c>
      <c r="EA984">
        <v>0</v>
      </c>
    </row>
    <row r="985" spans="1:325" ht="20.25">
      <c r="DV985">
        <v>59</v>
      </c>
      <c r="DW985" t="s">
        <v>60</v>
      </c>
      <c r="DX985" s="8">
        <v>43935</v>
      </c>
      <c r="DY985">
        <v>21</v>
      </c>
      <c r="EA985">
        <v>0</v>
      </c>
    </row>
    <row r="986" spans="1:325" ht="20.25">
      <c r="DV986">
        <v>59</v>
      </c>
      <c r="DW986" t="s">
        <v>60</v>
      </c>
      <c r="DX986" s="8">
        <v>43936</v>
      </c>
      <c r="DY986">
        <v>20</v>
      </c>
      <c r="EA986">
        <v>0</v>
      </c>
    </row>
    <row r="987" spans="1:325" ht="20.25">
      <c r="DV987">
        <v>59</v>
      </c>
      <c r="DW987" t="s">
        <v>60</v>
      </c>
      <c r="DX987" s="8">
        <v>43937</v>
      </c>
      <c r="DY987">
        <v>21</v>
      </c>
      <c r="DZ987">
        <v>54</v>
      </c>
      <c r="EA987">
        <v>0</v>
      </c>
    </row>
    <row r="988" spans="1:325" ht="20.25">
      <c r="DV988">
        <v>59</v>
      </c>
      <c r="DW988" t="s">
        <v>60</v>
      </c>
      <c r="DX988" s="8">
        <v>43938</v>
      </c>
      <c r="DY988">
        <v>28</v>
      </c>
      <c r="DZ988">
        <v>72</v>
      </c>
      <c r="EA988">
        <v>0</v>
      </c>
    </row>
    <row r="989" spans="1:325" ht="20.25">
      <c r="DV989">
        <v>59</v>
      </c>
      <c r="DW989" t="s">
        <v>60</v>
      </c>
      <c r="DX989" s="8">
        <v>43939</v>
      </c>
      <c r="DY989">
        <v>29</v>
      </c>
      <c r="DZ989">
        <v>75</v>
      </c>
      <c r="EA989">
        <v>0</v>
      </c>
    </row>
    <row r="990" spans="1:325" ht="20.25">
      <c r="DV990">
        <v>59</v>
      </c>
      <c r="DW990" t="s">
        <v>60</v>
      </c>
      <c r="DX990" s="8">
        <v>43940</v>
      </c>
      <c r="DY990">
        <v>30</v>
      </c>
      <c r="DZ990">
        <v>78</v>
      </c>
      <c r="EA990">
        <v>0</v>
      </c>
    </row>
    <row r="991" spans="1:325" ht="20.25">
      <c r="DV991">
        <v>59</v>
      </c>
      <c r="DW991" t="s">
        <v>60</v>
      </c>
      <c r="DX991" s="8">
        <v>43941</v>
      </c>
      <c r="DY991">
        <v>36</v>
      </c>
      <c r="DZ991">
        <v>93</v>
      </c>
      <c r="EA991">
        <v>0</v>
      </c>
    </row>
    <row r="992" spans="1:325" ht="20.25">
      <c r="DV992">
        <v>59</v>
      </c>
      <c r="DW992" t="s">
        <v>60</v>
      </c>
      <c r="DX992" s="8">
        <v>43942</v>
      </c>
      <c r="DY992">
        <v>35</v>
      </c>
      <c r="DZ992">
        <v>90</v>
      </c>
      <c r="EA992">
        <v>0</v>
      </c>
    </row>
    <row r="993" spans="1:325" ht="20.25">
      <c r="DV993">
        <v>59</v>
      </c>
      <c r="DW993" t="s">
        <v>60</v>
      </c>
      <c r="DX993" s="8">
        <v>43943</v>
      </c>
      <c r="DY993">
        <v>36</v>
      </c>
      <c r="DZ993">
        <v>93</v>
      </c>
      <c r="EA993">
        <v>1</v>
      </c>
    </row>
    <row r="994" spans="1:325" ht="20.25">
      <c r="DV994">
        <v>59</v>
      </c>
      <c r="DW994" t="s">
        <v>60</v>
      </c>
      <c r="DX994" s="8">
        <v>43944</v>
      </c>
      <c r="DY994">
        <v>40</v>
      </c>
      <c r="DZ994">
        <v>103</v>
      </c>
      <c r="EA994">
        <v>1</v>
      </c>
    </row>
    <row r="995" spans="1:325" ht="20.25">
      <c r="DV995">
        <v>59</v>
      </c>
      <c r="DW995" t="s">
        <v>60</v>
      </c>
      <c r="DX995" s="8">
        <v>43945</v>
      </c>
      <c r="DY995">
        <v>46</v>
      </c>
      <c r="DZ995">
        <v>119</v>
      </c>
      <c r="EA995">
        <v>4</v>
      </c>
    </row>
    <row r="996" spans="1:325" ht="20.25">
      <c r="DV996">
        <v>59</v>
      </c>
      <c r="DW996" t="s">
        <v>60</v>
      </c>
      <c r="DX996" s="8">
        <v>43946</v>
      </c>
      <c r="DY996">
        <v>48</v>
      </c>
      <c r="DZ996">
        <v>124</v>
      </c>
      <c r="EA996">
        <v>7</v>
      </c>
    </row>
    <row r="997" spans="1:325" ht="20.25">
      <c r="DV997">
        <v>59</v>
      </c>
      <c r="DW997" t="s">
        <v>60</v>
      </c>
      <c r="DX997" s="8">
        <v>43947</v>
      </c>
      <c r="DY997">
        <v>63</v>
      </c>
      <c r="DZ997">
        <v>163</v>
      </c>
      <c r="EA997">
        <v>7</v>
      </c>
    </row>
    <row r="998" spans="1:325" ht="20.25">
      <c r="DV998">
        <v>59</v>
      </c>
      <c r="DW998" t="s">
        <v>60</v>
      </c>
      <c r="DX998" s="8">
        <v>43948</v>
      </c>
      <c r="DY998">
        <v>66</v>
      </c>
      <c r="DZ998">
        <v>171</v>
      </c>
      <c r="EA998">
        <v>8</v>
      </c>
    </row>
    <row r="999" spans="1:325" ht="20.25">
      <c r="DV999">
        <v>59</v>
      </c>
      <c r="DW999" t="s">
        <v>60</v>
      </c>
      <c r="DX999" s="8">
        <v>43949</v>
      </c>
      <c r="DY999">
        <v>65</v>
      </c>
      <c r="DZ999">
        <v>168</v>
      </c>
      <c r="EA999">
        <v>8</v>
      </c>
    </row>
    <row r="1000" spans="1:325" ht="20.25">
      <c r="DV1000">
        <v>59</v>
      </c>
      <c r="DW1000" t="s">
        <v>60</v>
      </c>
      <c r="DX1000" s="8">
        <v>43950</v>
      </c>
      <c r="DY1000">
        <v>66</v>
      </c>
      <c r="DZ1000">
        <v>171</v>
      </c>
      <c r="EA1000">
        <v>8</v>
      </c>
    </row>
    <row r="1001" spans="1:325" ht="20.25">
      <c r="DV1001">
        <v>59</v>
      </c>
      <c r="DW1001" t="s">
        <v>60</v>
      </c>
      <c r="DX1001" s="8">
        <v>43951</v>
      </c>
      <c r="DY1001">
        <v>66</v>
      </c>
      <c r="DZ1001">
        <v>171</v>
      </c>
      <c r="EA1001">
        <v>8</v>
      </c>
    </row>
    <row r="1002" spans="1:325" ht="20.25">
      <c r="DV1002">
        <v>59</v>
      </c>
      <c r="DW1002" t="s">
        <v>60</v>
      </c>
      <c r="DX1002" s="8">
        <v>43952</v>
      </c>
      <c r="DY1002">
        <v>80</v>
      </c>
      <c r="DZ1002">
        <v>207</v>
      </c>
      <c r="EA1002">
        <v>10</v>
      </c>
    </row>
    <row r="1003" spans="1:325" ht="20.25">
      <c r="DV1003">
        <v>59</v>
      </c>
      <c r="DW1003" t="s">
        <v>60</v>
      </c>
      <c r="DX1003" s="8">
        <v>43953</v>
      </c>
      <c r="DY1003">
        <v>86</v>
      </c>
      <c r="DZ1003">
        <v>222</v>
      </c>
      <c r="EA1003">
        <v>10</v>
      </c>
    </row>
    <row r="1004" spans="1:325" ht="20.25">
      <c r="DV1004">
        <v>59</v>
      </c>
      <c r="DW1004" t="s">
        <v>60</v>
      </c>
      <c r="DX1004" s="8">
        <v>43954</v>
      </c>
      <c r="DY1004">
        <v>86</v>
      </c>
      <c r="DZ1004">
        <v>222</v>
      </c>
      <c r="EA1004">
        <v>10</v>
      </c>
    </row>
    <row r="1005" spans="1:325" ht="20.25">
      <c r="DV1005">
        <v>59</v>
      </c>
      <c r="DW1005" t="s">
        <v>60</v>
      </c>
      <c r="DX1005" s="8">
        <v>43955</v>
      </c>
      <c r="DY1005">
        <v>87</v>
      </c>
      <c r="DZ1005">
        <v>225</v>
      </c>
      <c r="EA1005">
        <v>10</v>
      </c>
    </row>
    <row r="1006" spans="1:325" ht="20.25">
      <c r="DV1006">
        <v>59</v>
      </c>
      <c r="DW1006" t="s">
        <v>60</v>
      </c>
      <c r="DX1006" s="8">
        <v>43956</v>
      </c>
      <c r="DY1006">
        <v>88</v>
      </c>
      <c r="DZ1006">
        <v>227</v>
      </c>
      <c r="EA1006">
        <v>12</v>
      </c>
    </row>
    <row r="1007" spans="1:325" ht="20.25">
      <c r="DV1007">
        <v>59</v>
      </c>
      <c r="DW1007" t="s">
        <v>60</v>
      </c>
      <c r="DX1007" s="8">
        <v>43957</v>
      </c>
      <c r="DY1007">
        <v>90</v>
      </c>
      <c r="DZ1007">
        <v>233</v>
      </c>
      <c r="EA1007">
        <v>12</v>
      </c>
    </row>
    <row r="1008" spans="1:325" ht="20.25">
      <c r="DV1008">
        <v>59</v>
      </c>
      <c r="DW1008" t="s">
        <v>60</v>
      </c>
      <c r="DX1008" s="8">
        <v>43958</v>
      </c>
      <c r="DY1008">
        <v>91</v>
      </c>
      <c r="DZ1008">
        <v>235</v>
      </c>
      <c r="EA1008">
        <v>11</v>
      </c>
    </row>
    <row r="1009" spans="1:325" ht="20.25">
      <c r="DV1009">
        <v>59</v>
      </c>
      <c r="DW1009" t="s">
        <v>60</v>
      </c>
      <c r="DX1009" s="8">
        <v>43959</v>
      </c>
      <c r="DY1009">
        <v>92</v>
      </c>
      <c r="DZ1009">
        <v>238</v>
      </c>
      <c r="EA1009">
        <v>12</v>
      </c>
    </row>
    <row r="1010" spans="1:325" ht="20.25">
      <c r="DV1010">
        <v>59</v>
      </c>
      <c r="DW1010" t="s">
        <v>60</v>
      </c>
      <c r="DX1010" s="8">
        <v>43960</v>
      </c>
      <c r="DY1010">
        <v>97</v>
      </c>
      <c r="DZ1010">
        <v>251</v>
      </c>
      <c r="EA1010">
        <v>16</v>
      </c>
    </row>
    <row r="1011" spans="1:325" ht="20.25">
      <c r="DV1011">
        <v>59</v>
      </c>
      <c r="DW1011" t="s">
        <v>60</v>
      </c>
      <c r="DX1011" s="8">
        <v>43961</v>
      </c>
      <c r="DY1011">
        <v>97</v>
      </c>
      <c r="DZ1011">
        <v>251</v>
      </c>
      <c r="EA1011">
        <v>16</v>
      </c>
    </row>
    <row r="1012" spans="1:325" ht="20.25">
      <c r="DV1012">
        <v>59</v>
      </c>
      <c r="DW1012" t="s">
        <v>60</v>
      </c>
      <c r="DX1012" s="8">
        <v>43962</v>
      </c>
      <c r="DY1012">
        <v>97</v>
      </c>
      <c r="DZ1012">
        <v>251</v>
      </c>
      <c r="EA1012">
        <v>16</v>
      </c>
    </row>
    <row r="1013" spans="1:325" ht="20.25">
      <c r="DV1013">
        <v>59</v>
      </c>
      <c r="DW1013" t="s">
        <v>60</v>
      </c>
      <c r="DX1013" s="8">
        <v>43963</v>
      </c>
      <c r="DY1013">
        <v>97</v>
      </c>
      <c r="DZ1013">
        <v>251</v>
      </c>
      <c r="EA1013">
        <v>17</v>
      </c>
    </row>
    <row r="1014" spans="1:325" ht="20.25">
      <c r="DV1014">
        <v>59</v>
      </c>
      <c r="DW1014" t="s">
        <v>60</v>
      </c>
      <c r="DX1014" s="8">
        <v>43964</v>
      </c>
      <c r="DY1014">
        <v>97</v>
      </c>
      <c r="DZ1014">
        <v>251</v>
      </c>
      <c r="EA1014">
        <v>17</v>
      </c>
    </row>
    <row r="1015" spans="1:325" ht="20.25">
      <c r="DV1015">
        <v>59</v>
      </c>
      <c r="DW1015" t="s">
        <v>60</v>
      </c>
      <c r="DX1015" s="8">
        <v>43965</v>
      </c>
      <c r="DY1015">
        <v>100</v>
      </c>
      <c r="DZ1015">
        <v>258</v>
      </c>
      <c r="EA1015">
        <v>17</v>
      </c>
    </row>
    <row r="1016" spans="1:325" ht="20.25">
      <c r="DV1016">
        <v>59</v>
      </c>
      <c r="DW1016" t="s">
        <v>60</v>
      </c>
      <c r="DX1016" s="8">
        <v>43966</v>
      </c>
      <c r="DY1016">
        <v>101</v>
      </c>
      <c r="DZ1016">
        <v>261</v>
      </c>
      <c r="EA1016">
        <v>17</v>
      </c>
    </row>
    <row r="1017" spans="1:325" ht="20.25">
      <c r="DV1017">
        <v>64</v>
      </c>
      <c r="DW1017" t="s">
        <v>62</v>
      </c>
      <c r="DX1017" s="8">
        <v>43914</v>
      </c>
      <c r="DY1017">
        <v>14</v>
      </c>
      <c r="EA1017">
        <v>0</v>
      </c>
    </row>
    <row r="1018" spans="1:325" ht="20.25">
      <c r="DV1018">
        <v>64</v>
      </c>
      <c r="DW1018" t="s">
        <v>62</v>
      </c>
      <c r="DX1018" s="8">
        <v>43915</v>
      </c>
      <c r="DY1018">
        <v>20</v>
      </c>
      <c r="EA1018">
        <v>0</v>
      </c>
    </row>
    <row r="1019" spans="1:325" ht="20.25">
      <c r="DV1019">
        <v>64</v>
      </c>
      <c r="DW1019" t="s">
        <v>62</v>
      </c>
      <c r="DX1019" s="8">
        <v>43916</v>
      </c>
      <c r="DY1019">
        <v>21</v>
      </c>
      <c r="EA1019">
        <v>0</v>
      </c>
    </row>
    <row r="1020" spans="1:325" ht="20.25">
      <c r="DV1020">
        <v>64</v>
      </c>
      <c r="DW1020" t="s">
        <v>62</v>
      </c>
      <c r="DX1020" s="8">
        <v>43917</v>
      </c>
      <c r="DY1020">
        <v>21</v>
      </c>
      <c r="EA1020">
        <v>0</v>
      </c>
    </row>
    <row r="1021" spans="1:325" ht="20.25">
      <c r="DV1021">
        <v>64</v>
      </c>
      <c r="DW1021" t="s">
        <v>62</v>
      </c>
      <c r="DX1021" s="8">
        <v>43918</v>
      </c>
      <c r="DY1021">
        <v>28</v>
      </c>
      <c r="EA1021">
        <v>0</v>
      </c>
    </row>
    <row r="1022" spans="1:325" ht="20.25">
      <c r="DV1022">
        <v>64</v>
      </c>
      <c r="DW1022" t="s">
        <v>62</v>
      </c>
      <c r="DX1022" s="8">
        <v>43919</v>
      </c>
      <c r="DY1022">
        <v>39</v>
      </c>
      <c r="EA1022">
        <v>0</v>
      </c>
    </row>
    <row r="1023" spans="1:325" ht="20.25">
      <c r="DV1023">
        <v>64</v>
      </c>
      <c r="DW1023" t="s">
        <v>62</v>
      </c>
      <c r="DX1023" s="8">
        <v>43920</v>
      </c>
      <c r="DY1023">
        <v>49</v>
      </c>
      <c r="EA1023">
        <v>0</v>
      </c>
    </row>
    <row r="1024" spans="1:325" ht="20.25">
      <c r="DV1024">
        <v>64</v>
      </c>
      <c r="DW1024" t="s">
        <v>62</v>
      </c>
      <c r="DX1024" s="8">
        <v>43921</v>
      </c>
      <c r="DY1024">
        <v>65</v>
      </c>
      <c r="EA1024">
        <v>3</v>
      </c>
    </row>
    <row r="1025" spans="1:325" ht="20.25">
      <c r="DV1025">
        <v>64</v>
      </c>
      <c r="DW1025" t="s">
        <v>62</v>
      </c>
      <c r="DX1025" s="8">
        <v>43922</v>
      </c>
      <c r="DY1025">
        <v>74</v>
      </c>
      <c r="EA1025">
        <v>4</v>
      </c>
    </row>
    <row r="1026" spans="1:325" ht="20.25">
      <c r="DV1026">
        <v>64</v>
      </c>
      <c r="DW1026" t="s">
        <v>62</v>
      </c>
      <c r="DX1026" s="8">
        <v>43923</v>
      </c>
      <c r="DY1026">
        <v>90</v>
      </c>
      <c r="EA1026">
        <v>4</v>
      </c>
    </row>
    <row r="1027" spans="1:325" ht="20.25">
      <c r="DV1027">
        <v>64</v>
      </c>
      <c r="DW1027" t="s">
        <v>62</v>
      </c>
      <c r="DX1027" s="8">
        <v>43924</v>
      </c>
      <c r="DY1027">
        <v>125</v>
      </c>
      <c r="EA1027">
        <v>3</v>
      </c>
    </row>
    <row r="1028" spans="1:325" ht="20.25">
      <c r="DV1028">
        <v>64</v>
      </c>
      <c r="DW1028" t="s">
        <v>62</v>
      </c>
      <c r="DX1028" s="8">
        <v>43925</v>
      </c>
      <c r="DY1028">
        <v>125</v>
      </c>
      <c r="EA1028">
        <v>6</v>
      </c>
    </row>
    <row r="1029" spans="1:325" ht="20.25">
      <c r="DV1029">
        <v>64</v>
      </c>
      <c r="DW1029" t="s">
        <v>62</v>
      </c>
      <c r="DX1029" s="8">
        <v>43926</v>
      </c>
      <c r="DY1029">
        <v>125</v>
      </c>
      <c r="EA1029">
        <v>7</v>
      </c>
    </row>
    <row r="1030" spans="1:325" ht="20.25">
      <c r="DV1030">
        <v>64</v>
      </c>
      <c r="DW1030" t="s">
        <v>62</v>
      </c>
      <c r="DX1030" s="8">
        <v>43927</v>
      </c>
      <c r="DY1030">
        <v>147</v>
      </c>
      <c r="EA1030">
        <v>7</v>
      </c>
    </row>
    <row r="1031" spans="1:325" ht="20.25">
      <c r="DV1031">
        <v>64</v>
      </c>
      <c r="DW1031" t="s">
        <v>62</v>
      </c>
      <c r="DX1031" s="8">
        <v>43928</v>
      </c>
      <c r="DY1031">
        <v>165</v>
      </c>
      <c r="EA1031">
        <v>8</v>
      </c>
    </row>
    <row r="1032" spans="1:325" ht="20.25">
      <c r="DV1032">
        <v>64</v>
      </c>
      <c r="DW1032" t="s">
        <v>62</v>
      </c>
      <c r="DX1032" s="8">
        <v>43929</v>
      </c>
      <c r="DY1032">
        <v>227</v>
      </c>
      <c r="EA1032">
        <v>13</v>
      </c>
    </row>
    <row r="1033" spans="1:325" ht="20.25">
      <c r="DV1033">
        <v>64</v>
      </c>
      <c r="DW1033" t="s">
        <v>62</v>
      </c>
      <c r="DX1033" s="8">
        <v>43930</v>
      </c>
      <c r="DY1033">
        <v>270</v>
      </c>
      <c r="EA1033">
        <v>14</v>
      </c>
    </row>
    <row r="1034" spans="1:325" ht="20.25">
      <c r="DV1034">
        <v>64</v>
      </c>
      <c r="DW1034" t="s">
        <v>62</v>
      </c>
      <c r="DX1034" s="8">
        <v>43931</v>
      </c>
      <c r="DY1034">
        <v>300</v>
      </c>
      <c r="EA1034">
        <v>17</v>
      </c>
    </row>
    <row r="1035" spans="1:325" ht="20.25">
      <c r="DV1035">
        <v>64</v>
      </c>
      <c r="DW1035" t="s">
        <v>62</v>
      </c>
      <c r="DX1035" s="8">
        <v>43932</v>
      </c>
      <c r="DY1035">
        <v>357</v>
      </c>
      <c r="EA1035">
        <v>18</v>
      </c>
    </row>
    <row r="1036" spans="1:325" ht="20.25">
      <c r="DV1036">
        <v>64</v>
      </c>
      <c r="DW1036" t="s">
        <v>62</v>
      </c>
      <c r="DX1036" s="8">
        <v>43933</v>
      </c>
      <c r="DY1036">
        <v>366</v>
      </c>
      <c r="EA1036">
        <v>19</v>
      </c>
    </row>
    <row r="1037" spans="1:325" ht="20.25">
      <c r="DV1037">
        <v>64</v>
      </c>
      <c r="DW1037" t="s">
        <v>62</v>
      </c>
      <c r="DX1037" s="8">
        <v>43934</v>
      </c>
      <c r="DY1037">
        <v>432</v>
      </c>
      <c r="EA1037">
        <v>21</v>
      </c>
    </row>
    <row r="1038" spans="1:325" ht="20.25">
      <c r="DV1038">
        <v>64</v>
      </c>
      <c r="DW1038" t="s">
        <v>62</v>
      </c>
      <c r="DX1038" s="8">
        <v>43935</v>
      </c>
      <c r="DY1038">
        <v>458</v>
      </c>
      <c r="EA1038">
        <v>26</v>
      </c>
    </row>
    <row r="1039" spans="1:325" ht="20.25">
      <c r="DV1039">
        <v>64</v>
      </c>
      <c r="DW1039" t="s">
        <v>62</v>
      </c>
      <c r="DX1039" s="8">
        <v>43936</v>
      </c>
      <c r="DY1039">
        <v>492</v>
      </c>
      <c r="EA1039">
        <v>31</v>
      </c>
    </row>
    <row r="1040" spans="1:325" ht="20.25">
      <c r="DV1040">
        <v>64</v>
      </c>
      <c r="DW1040" t="s">
        <v>62</v>
      </c>
      <c r="DX1040" s="8">
        <v>43937</v>
      </c>
      <c r="DY1040">
        <v>537</v>
      </c>
      <c r="DZ1040">
        <v>438</v>
      </c>
      <c r="EA1040">
        <v>36</v>
      </c>
    </row>
    <row r="1041" spans="1:325" ht="20.25">
      <c r="DV1041">
        <v>64</v>
      </c>
      <c r="DW1041" t="s">
        <v>62</v>
      </c>
      <c r="DX1041" s="8">
        <v>43938</v>
      </c>
      <c r="DY1041">
        <v>567</v>
      </c>
      <c r="DZ1041">
        <v>463</v>
      </c>
      <c r="EA1041">
        <v>42</v>
      </c>
    </row>
    <row r="1042" spans="1:325" ht="20.25">
      <c r="DV1042">
        <v>64</v>
      </c>
      <c r="DW1042" t="s">
        <v>62</v>
      </c>
      <c r="DX1042" s="8">
        <v>43939</v>
      </c>
      <c r="DY1042">
        <v>591</v>
      </c>
      <c r="DZ1042">
        <v>482</v>
      </c>
      <c r="EA1042">
        <v>46</v>
      </c>
    </row>
    <row r="1043" spans="1:325" ht="20.25">
      <c r="DV1043">
        <v>64</v>
      </c>
      <c r="DW1043" t="s">
        <v>62</v>
      </c>
      <c r="DX1043" s="8">
        <v>43940</v>
      </c>
      <c r="DY1043">
        <v>616</v>
      </c>
      <c r="DZ1043">
        <v>503</v>
      </c>
      <c r="EA1043">
        <v>46</v>
      </c>
    </row>
    <row r="1044" spans="1:325" ht="20.25">
      <c r="DV1044">
        <v>64</v>
      </c>
      <c r="DW1044" t="s">
        <v>62</v>
      </c>
      <c r="DX1044" s="8">
        <v>43941</v>
      </c>
      <c r="DY1044">
        <v>704</v>
      </c>
      <c r="DZ1044">
        <v>574</v>
      </c>
      <c r="EA1044">
        <v>55</v>
      </c>
    </row>
    <row r="1045" spans="1:325" ht="20.25">
      <c r="DV1045">
        <v>64</v>
      </c>
      <c r="DW1045" t="s">
        <v>62</v>
      </c>
      <c r="DX1045" s="8">
        <v>43942</v>
      </c>
      <c r="DY1045">
        <v>724</v>
      </c>
      <c r="DZ1045">
        <v>591</v>
      </c>
      <c r="EA1045">
        <v>56</v>
      </c>
    </row>
    <row r="1046" spans="1:325" ht="20.25">
      <c r="DV1046">
        <v>64</v>
      </c>
      <c r="DW1046" t="s">
        <v>62</v>
      </c>
      <c r="DX1046" s="8">
        <v>43943</v>
      </c>
      <c r="DY1046">
        <v>751</v>
      </c>
      <c r="DZ1046">
        <v>613</v>
      </c>
      <c r="EA1046">
        <v>61</v>
      </c>
    </row>
    <row r="1047" spans="1:325" ht="20.25">
      <c r="DV1047">
        <v>64</v>
      </c>
      <c r="DW1047" t="s">
        <v>62</v>
      </c>
      <c r="DX1047" s="8">
        <v>43944</v>
      </c>
      <c r="DY1047">
        <v>783</v>
      </c>
      <c r="DZ1047">
        <v>639</v>
      </c>
      <c r="EA1047">
        <v>68</v>
      </c>
    </row>
    <row r="1048" spans="1:325" ht="20.25">
      <c r="DV1048">
        <v>64</v>
      </c>
      <c r="DW1048" t="s">
        <v>62</v>
      </c>
      <c r="DX1048" s="8">
        <v>43945</v>
      </c>
      <c r="DY1048">
        <v>821</v>
      </c>
      <c r="DZ1048">
        <v>670</v>
      </c>
      <c r="EA1048">
        <v>72</v>
      </c>
    </row>
    <row r="1049" spans="1:325" ht="20.25">
      <c r="DV1049">
        <v>64</v>
      </c>
      <c r="DW1049" t="s">
        <v>62</v>
      </c>
      <c r="DX1049" s="8">
        <v>43946</v>
      </c>
      <c r="DY1049">
        <v>848</v>
      </c>
      <c r="DZ1049">
        <v>692</v>
      </c>
      <c r="EA1049">
        <v>74</v>
      </c>
    </row>
    <row r="1050" spans="1:325" ht="20.25">
      <c r="DV1050">
        <v>64</v>
      </c>
      <c r="DW1050" t="s">
        <v>62</v>
      </c>
      <c r="DX1050" s="8">
        <v>43947</v>
      </c>
      <c r="DY1050">
        <v>898</v>
      </c>
      <c r="DZ1050">
        <v>733</v>
      </c>
      <c r="EA1050">
        <v>75</v>
      </c>
    </row>
    <row r="1051" spans="1:325" ht="20.25">
      <c r="DV1051">
        <v>64</v>
      </c>
      <c r="DW1051" t="s">
        <v>62</v>
      </c>
      <c r="DX1051" s="8">
        <v>43948</v>
      </c>
      <c r="DY1051">
        <v>924</v>
      </c>
      <c r="DZ1051">
        <v>754</v>
      </c>
      <c r="EA1051">
        <v>77</v>
      </c>
    </row>
    <row r="1052" spans="1:325" ht="20.25">
      <c r="DV1052">
        <v>64</v>
      </c>
      <c r="DW1052" t="s">
        <v>62</v>
      </c>
      <c r="DX1052" s="8">
        <v>43949</v>
      </c>
      <c r="DY1052">
        <v>943</v>
      </c>
      <c r="DZ1052">
        <v>769</v>
      </c>
      <c r="EA1052">
        <v>79</v>
      </c>
    </row>
    <row r="1053" spans="1:325" ht="20.25">
      <c r="DV1053">
        <v>64</v>
      </c>
      <c r="DW1053" t="s">
        <v>62</v>
      </c>
      <c r="DX1053" s="8">
        <v>43950</v>
      </c>
      <c r="DY1053">
        <v>991</v>
      </c>
      <c r="DZ1053">
        <v>808</v>
      </c>
      <c r="EA1053">
        <v>83</v>
      </c>
    </row>
    <row r="1054" spans="1:325" ht="20.25">
      <c r="DV1054">
        <v>64</v>
      </c>
      <c r="DW1054" t="s">
        <v>62</v>
      </c>
      <c r="DX1054" s="8">
        <v>43951</v>
      </c>
      <c r="DY1054">
        <v>1025</v>
      </c>
      <c r="DZ1054">
        <v>836</v>
      </c>
      <c r="EA1054">
        <v>86</v>
      </c>
    </row>
    <row r="1055" spans="1:325" ht="20.25">
      <c r="DV1055">
        <v>64</v>
      </c>
      <c r="DW1055" t="s">
        <v>62</v>
      </c>
      <c r="DX1055" s="8">
        <v>43952</v>
      </c>
      <c r="DY1055">
        <v>1105</v>
      </c>
      <c r="DZ1055">
        <v>901</v>
      </c>
      <c r="EA1055">
        <v>87</v>
      </c>
    </row>
    <row r="1056" spans="1:325" ht="20.25">
      <c r="DV1056">
        <v>64</v>
      </c>
      <c r="DW1056" t="s">
        <v>62</v>
      </c>
      <c r="DX1056" s="8">
        <v>43953</v>
      </c>
      <c r="DY1056">
        <v>1154</v>
      </c>
      <c r="DZ1056">
        <v>941</v>
      </c>
      <c r="EA1056">
        <v>90</v>
      </c>
    </row>
    <row r="1057" spans="1:325" ht="20.25">
      <c r="DV1057">
        <v>64</v>
      </c>
      <c r="DW1057" t="s">
        <v>62</v>
      </c>
      <c r="DX1057" s="8">
        <v>43954</v>
      </c>
      <c r="DY1057">
        <v>1167</v>
      </c>
      <c r="DZ1057">
        <v>952</v>
      </c>
      <c r="EA1057">
        <v>96</v>
      </c>
    </row>
    <row r="1058" spans="1:325" ht="20.25">
      <c r="DV1058">
        <v>64</v>
      </c>
      <c r="DW1058" t="s">
        <v>62</v>
      </c>
      <c r="DX1058" s="8">
        <v>43955</v>
      </c>
      <c r="DY1058">
        <v>1217</v>
      </c>
      <c r="DZ1058">
        <v>993</v>
      </c>
      <c r="EA1058">
        <v>102</v>
      </c>
    </row>
    <row r="1059" spans="1:325" ht="20.25">
      <c r="DV1059">
        <v>64</v>
      </c>
      <c r="DW1059" t="s">
        <v>62</v>
      </c>
      <c r="DX1059" s="8">
        <v>43956</v>
      </c>
      <c r="DY1059">
        <v>1257</v>
      </c>
      <c r="DZ1059">
        <v>1025</v>
      </c>
      <c r="EA1059">
        <v>107</v>
      </c>
    </row>
    <row r="1060" spans="1:325" ht="20.25">
      <c r="DV1060">
        <v>64</v>
      </c>
      <c r="DW1060" t="s">
        <v>62</v>
      </c>
      <c r="DX1060" s="8">
        <v>43957</v>
      </c>
      <c r="DY1060">
        <v>1338</v>
      </c>
      <c r="DZ1060">
        <v>1091</v>
      </c>
      <c r="EA1060">
        <v>107</v>
      </c>
    </row>
    <row r="1061" spans="1:325" ht="20.25">
      <c r="DV1061">
        <v>64</v>
      </c>
      <c r="DW1061" t="s">
        <v>62</v>
      </c>
      <c r="DX1061" s="8">
        <v>43958</v>
      </c>
      <c r="DY1061">
        <v>1384</v>
      </c>
      <c r="DZ1061">
        <v>1129</v>
      </c>
      <c r="EA1061">
        <v>111</v>
      </c>
    </row>
    <row r="1062" spans="1:325" ht="20.25">
      <c r="DV1062">
        <v>64</v>
      </c>
      <c r="DW1062" t="s">
        <v>62</v>
      </c>
      <c r="DX1062" s="8">
        <v>43959</v>
      </c>
      <c r="DY1062">
        <v>1446</v>
      </c>
      <c r="DZ1062">
        <v>1180</v>
      </c>
      <c r="EA1062">
        <v>113</v>
      </c>
    </row>
    <row r="1063" spans="1:325" ht="20.25">
      <c r="DV1063">
        <v>64</v>
      </c>
      <c r="DW1063" t="s">
        <v>62</v>
      </c>
      <c r="DX1063" s="8">
        <v>43960</v>
      </c>
      <c r="DY1063">
        <v>1505</v>
      </c>
      <c r="DZ1063">
        <v>1228</v>
      </c>
      <c r="EA1063">
        <v>115</v>
      </c>
    </row>
    <row r="1064" spans="1:325" ht="20.25">
      <c r="DV1064">
        <v>64</v>
      </c>
      <c r="DW1064" t="s">
        <v>62</v>
      </c>
      <c r="DX1064" s="8">
        <v>43961</v>
      </c>
      <c r="DY1064">
        <v>1529</v>
      </c>
      <c r="DZ1064">
        <v>1247</v>
      </c>
      <c r="EA1064">
        <v>119</v>
      </c>
    </row>
    <row r="1065" spans="1:325" ht="20.25">
      <c r="DV1065">
        <v>64</v>
      </c>
      <c r="DW1065" t="s">
        <v>62</v>
      </c>
      <c r="DX1065" s="8">
        <v>43962</v>
      </c>
      <c r="DY1065">
        <v>1571</v>
      </c>
      <c r="DZ1065">
        <v>1282</v>
      </c>
      <c r="EA1065">
        <v>118</v>
      </c>
    </row>
    <row r="1066" spans="1:325" ht="20.25">
      <c r="DV1066">
        <v>64</v>
      </c>
      <c r="DW1066" t="s">
        <v>62</v>
      </c>
      <c r="DX1066" s="8">
        <v>43963</v>
      </c>
      <c r="DY1066">
        <v>1618</v>
      </c>
      <c r="DZ1066">
        <v>1320</v>
      </c>
      <c r="EA1066">
        <v>123</v>
      </c>
    </row>
    <row r="1067" spans="1:325" ht="20.25">
      <c r="DV1067">
        <v>64</v>
      </c>
      <c r="DW1067" t="s">
        <v>62</v>
      </c>
      <c r="DX1067" s="8">
        <v>43964</v>
      </c>
      <c r="DY1067">
        <v>1651</v>
      </c>
      <c r="DZ1067">
        <v>1347</v>
      </c>
      <c r="EA1067">
        <v>126</v>
      </c>
    </row>
    <row r="1068" spans="1:325" ht="20.25">
      <c r="DV1068">
        <v>64</v>
      </c>
      <c r="DW1068" t="s">
        <v>62</v>
      </c>
      <c r="DX1068" s="8">
        <v>43965</v>
      </c>
      <c r="DY1068">
        <v>1705</v>
      </c>
      <c r="DZ1068">
        <v>1391</v>
      </c>
      <c r="EA1068">
        <v>128</v>
      </c>
    </row>
    <row r="1069" spans="1:325" ht="20.25">
      <c r="DV1069">
        <v>64</v>
      </c>
      <c r="DW1069" t="s">
        <v>62</v>
      </c>
      <c r="DX1069" s="8">
        <v>43966</v>
      </c>
      <c r="DY1069">
        <v>1733</v>
      </c>
      <c r="DZ1069">
        <v>1414</v>
      </c>
      <c r="EA1069">
        <v>129</v>
      </c>
    </row>
    <row r="1070" spans="1:325" ht="20.25">
      <c r="DV1070">
        <v>66</v>
      </c>
      <c r="DW1070" t="s">
        <v>44</v>
      </c>
      <c r="DX1070" s="8">
        <v>43914</v>
      </c>
      <c r="DY1070">
        <v>2</v>
      </c>
      <c r="EA1070">
        <v>0</v>
      </c>
    </row>
    <row r="1071" spans="1:325" ht="20.25">
      <c r="DV1071">
        <v>66</v>
      </c>
      <c r="DW1071" t="s">
        <v>44</v>
      </c>
      <c r="DX1071" s="8">
        <v>43915</v>
      </c>
      <c r="DY1071">
        <v>4</v>
      </c>
      <c r="EA1071">
        <v>0</v>
      </c>
    </row>
    <row r="1072" spans="1:325" ht="20.25">
      <c r="DV1072">
        <v>66</v>
      </c>
      <c r="DW1072" t="s">
        <v>44</v>
      </c>
      <c r="DX1072" s="8">
        <v>43916</v>
      </c>
      <c r="DY1072">
        <v>4</v>
      </c>
      <c r="EA1072">
        <v>0</v>
      </c>
    </row>
    <row r="1073" spans="1:325" ht="20.25">
      <c r="DV1073">
        <v>66</v>
      </c>
      <c r="DW1073" t="s">
        <v>44</v>
      </c>
      <c r="DX1073" s="8">
        <v>43917</v>
      </c>
      <c r="DY1073">
        <v>4</v>
      </c>
      <c r="EA1073">
        <v>0</v>
      </c>
    </row>
    <row r="1074" spans="1:325" ht="20.25">
      <c r="DV1074">
        <v>66</v>
      </c>
      <c r="DW1074" t="s">
        <v>44</v>
      </c>
      <c r="DX1074" s="8">
        <v>43918</v>
      </c>
      <c r="DY1074">
        <v>4</v>
      </c>
      <c r="EA1074">
        <v>0</v>
      </c>
    </row>
    <row r="1075" spans="1:325" ht="20.25">
      <c r="DV1075">
        <v>66</v>
      </c>
      <c r="DW1075" t="s">
        <v>44</v>
      </c>
      <c r="DX1075" s="8">
        <v>43919</v>
      </c>
      <c r="DY1075">
        <v>4</v>
      </c>
      <c r="EA1075">
        <v>0</v>
      </c>
    </row>
    <row r="1076" spans="1:325" ht="20.25">
      <c r="DV1076">
        <v>66</v>
      </c>
      <c r="DW1076" t="s">
        <v>44</v>
      </c>
      <c r="DX1076" s="8">
        <v>43920</v>
      </c>
      <c r="DY1076">
        <v>4</v>
      </c>
      <c r="EA1076">
        <v>0</v>
      </c>
    </row>
    <row r="1077" spans="1:325" ht="20.25">
      <c r="DV1077">
        <v>66</v>
      </c>
      <c r="DW1077" t="s">
        <v>44</v>
      </c>
      <c r="DX1077" s="8">
        <v>43921</v>
      </c>
      <c r="DY1077">
        <v>4</v>
      </c>
      <c r="EA1077">
        <v>0</v>
      </c>
    </row>
    <row r="1078" spans="1:325" ht="20.25">
      <c r="DV1078">
        <v>66</v>
      </c>
      <c r="DW1078" t="s">
        <v>44</v>
      </c>
      <c r="DX1078" s="8">
        <v>43922</v>
      </c>
      <c r="DY1078">
        <v>4</v>
      </c>
      <c r="EA1078">
        <v>0</v>
      </c>
    </row>
    <row r="1079" spans="1:325" ht="20.25">
      <c r="DV1079">
        <v>66</v>
      </c>
      <c r="DW1079" t="s">
        <v>44</v>
      </c>
      <c r="DX1079" s="8">
        <v>43923</v>
      </c>
      <c r="DY1079">
        <v>4</v>
      </c>
      <c r="EA1079">
        <v>0</v>
      </c>
    </row>
    <row r="1080" spans="1:325" ht="20.25">
      <c r="DV1080">
        <v>66</v>
      </c>
      <c r="DW1080" t="s">
        <v>44</v>
      </c>
      <c r="DX1080" s="8">
        <v>43924</v>
      </c>
      <c r="DY1080">
        <v>5</v>
      </c>
      <c r="EA1080">
        <v>0</v>
      </c>
    </row>
    <row r="1081" spans="1:325" ht="20.25">
      <c r="DV1081">
        <v>66</v>
      </c>
      <c r="DW1081" t="s">
        <v>44</v>
      </c>
      <c r="DX1081" s="8">
        <v>43925</v>
      </c>
      <c r="DY1081">
        <v>5</v>
      </c>
      <c r="EA1081">
        <v>0</v>
      </c>
    </row>
    <row r="1082" spans="1:325" ht="20.25">
      <c r="DV1082">
        <v>66</v>
      </c>
      <c r="DW1082" t="s">
        <v>44</v>
      </c>
      <c r="DX1082" s="8">
        <v>43926</v>
      </c>
      <c r="DY1082">
        <v>5</v>
      </c>
      <c r="EA1082">
        <v>0</v>
      </c>
    </row>
    <row r="1083" spans="1:325" ht="20.25">
      <c r="DV1083">
        <v>66</v>
      </c>
      <c r="DW1083" t="s">
        <v>44</v>
      </c>
      <c r="DX1083" s="8">
        <v>43927</v>
      </c>
      <c r="DY1083">
        <v>6</v>
      </c>
      <c r="EA1083">
        <v>0</v>
      </c>
    </row>
    <row r="1084" spans="1:325" ht="20.25">
      <c r="DV1084">
        <v>66</v>
      </c>
      <c r="DW1084" t="s">
        <v>44</v>
      </c>
      <c r="DX1084" s="8">
        <v>43928</v>
      </c>
      <c r="DY1084">
        <v>6</v>
      </c>
      <c r="EA1084">
        <v>0</v>
      </c>
    </row>
    <row r="1085" spans="1:325" ht="20.25">
      <c r="DV1085">
        <v>66</v>
      </c>
      <c r="DW1085" t="s">
        <v>44</v>
      </c>
      <c r="DX1085" s="8">
        <v>43929</v>
      </c>
      <c r="DY1085">
        <v>7</v>
      </c>
      <c r="EA1085">
        <v>0</v>
      </c>
    </row>
    <row r="1086" spans="1:325" ht="20.25">
      <c r="DV1086">
        <v>66</v>
      </c>
      <c r="DW1086" t="s">
        <v>44</v>
      </c>
      <c r="DX1086" s="8">
        <v>43930</v>
      </c>
      <c r="DY1086">
        <v>7</v>
      </c>
      <c r="EA1086">
        <v>0</v>
      </c>
    </row>
    <row r="1087" spans="1:325" ht="20.25">
      <c r="DV1087">
        <v>66</v>
      </c>
      <c r="DW1087" t="s">
        <v>44</v>
      </c>
      <c r="DX1087" s="8">
        <v>43931</v>
      </c>
      <c r="DY1087">
        <v>7</v>
      </c>
      <c r="EA1087">
        <v>0</v>
      </c>
    </row>
    <row r="1088" spans="1:325" ht="20.25">
      <c r="DV1088">
        <v>66</v>
      </c>
      <c r="DW1088" t="s">
        <v>44</v>
      </c>
      <c r="DX1088" s="8">
        <v>43932</v>
      </c>
      <c r="DY1088">
        <v>9</v>
      </c>
      <c r="EA1088">
        <v>0</v>
      </c>
    </row>
    <row r="1089" spans="1:325" ht="20.25">
      <c r="DV1089">
        <v>66</v>
      </c>
      <c r="DW1089" t="s">
        <v>44</v>
      </c>
      <c r="DX1089" s="8">
        <v>43933</v>
      </c>
      <c r="DY1089">
        <v>9</v>
      </c>
      <c r="EA1089">
        <v>0</v>
      </c>
    </row>
    <row r="1090" spans="1:325" ht="20.25">
      <c r="DV1090">
        <v>66</v>
      </c>
      <c r="DW1090" t="s">
        <v>44</v>
      </c>
      <c r="DX1090" s="8">
        <v>43934</v>
      </c>
      <c r="DY1090">
        <v>10</v>
      </c>
      <c r="EA1090">
        <v>0</v>
      </c>
    </row>
    <row r="1091" spans="1:325" ht="20.25">
      <c r="DV1091">
        <v>66</v>
      </c>
      <c r="DW1091" t="s">
        <v>44</v>
      </c>
      <c r="DX1091" s="8">
        <v>43935</v>
      </c>
      <c r="DY1091">
        <v>10</v>
      </c>
      <c r="EA1091">
        <v>2</v>
      </c>
    </row>
    <row r="1092" spans="1:325" ht="20.25">
      <c r="DV1092">
        <v>66</v>
      </c>
      <c r="DW1092" t="s">
        <v>44</v>
      </c>
      <c r="DX1092" s="8">
        <v>43936</v>
      </c>
      <c r="DY1092">
        <v>11</v>
      </c>
      <c r="EA1092">
        <v>2</v>
      </c>
    </row>
    <row r="1093" spans="1:325" ht="20.25">
      <c r="DV1093">
        <v>66</v>
      </c>
      <c r="DW1093" t="s">
        <v>44</v>
      </c>
      <c r="DX1093" s="8">
        <v>43937</v>
      </c>
      <c r="DY1093">
        <v>13</v>
      </c>
      <c r="DZ1093">
        <v>239</v>
      </c>
      <c r="EA1093">
        <v>2</v>
      </c>
    </row>
    <row r="1094" spans="1:325" ht="20.25">
      <c r="DV1094">
        <v>66</v>
      </c>
      <c r="DW1094" t="s">
        <v>44</v>
      </c>
      <c r="DX1094" s="8">
        <v>43938</v>
      </c>
      <c r="DY1094">
        <v>14</v>
      </c>
      <c r="DZ1094">
        <v>258</v>
      </c>
      <c r="EA1094">
        <v>2</v>
      </c>
    </row>
    <row r="1095" spans="1:325" ht="20.25">
      <c r="DV1095">
        <v>66</v>
      </c>
      <c r="DW1095" t="s">
        <v>44</v>
      </c>
      <c r="DX1095" s="8">
        <v>43939</v>
      </c>
      <c r="DY1095">
        <v>15</v>
      </c>
      <c r="DZ1095">
        <v>276</v>
      </c>
      <c r="EA1095">
        <v>2</v>
      </c>
    </row>
    <row r="1096" spans="1:325" ht="20.25">
      <c r="DV1096">
        <v>66</v>
      </c>
      <c r="DW1096" t="s">
        <v>44</v>
      </c>
      <c r="DX1096" s="8">
        <v>43940</v>
      </c>
      <c r="DY1096">
        <v>14</v>
      </c>
      <c r="DZ1096">
        <v>258</v>
      </c>
      <c r="EA1096">
        <v>2</v>
      </c>
    </row>
    <row r="1097" spans="1:325" ht="20.25">
      <c r="DV1097">
        <v>66</v>
      </c>
      <c r="DW1097" t="s">
        <v>44</v>
      </c>
      <c r="DX1097" s="8">
        <v>43941</v>
      </c>
      <c r="DY1097">
        <v>18</v>
      </c>
      <c r="DZ1097">
        <v>331</v>
      </c>
      <c r="EA1097">
        <v>2</v>
      </c>
    </row>
    <row r="1098" spans="1:325" ht="20.25">
      <c r="DV1098">
        <v>66</v>
      </c>
      <c r="DW1098" t="s">
        <v>44</v>
      </c>
      <c r="DX1098" s="8">
        <v>43942</v>
      </c>
      <c r="DY1098">
        <v>18</v>
      </c>
      <c r="DZ1098">
        <v>331</v>
      </c>
      <c r="EA1098">
        <v>2</v>
      </c>
    </row>
    <row r="1099" spans="1:325" ht="20.25">
      <c r="DV1099">
        <v>66</v>
      </c>
      <c r="DW1099" t="s">
        <v>44</v>
      </c>
      <c r="DX1099" s="8">
        <v>43943</v>
      </c>
      <c r="DY1099">
        <v>19</v>
      </c>
      <c r="DZ1099">
        <v>350</v>
      </c>
      <c r="EA1099">
        <v>2</v>
      </c>
    </row>
    <row r="1100" spans="1:325" ht="20.25">
      <c r="DV1100">
        <v>66</v>
      </c>
      <c r="DW1100" t="s">
        <v>44</v>
      </c>
      <c r="DX1100" s="8">
        <v>43944</v>
      </c>
      <c r="DY1100">
        <v>19</v>
      </c>
      <c r="DZ1100">
        <v>350</v>
      </c>
      <c r="EA1100">
        <v>2</v>
      </c>
    </row>
    <row r="1101" spans="1:325" ht="20.25">
      <c r="DV1101">
        <v>66</v>
      </c>
      <c r="DW1101" t="s">
        <v>44</v>
      </c>
      <c r="DX1101" s="8">
        <v>43945</v>
      </c>
      <c r="DY1101">
        <v>20</v>
      </c>
      <c r="DZ1101">
        <v>368</v>
      </c>
      <c r="EA1101">
        <v>2</v>
      </c>
    </row>
    <row r="1102" spans="1:325" ht="20.25">
      <c r="DV1102">
        <v>66</v>
      </c>
      <c r="DW1102" t="s">
        <v>44</v>
      </c>
      <c r="DX1102" s="8">
        <v>43946</v>
      </c>
      <c r="DY1102">
        <v>22</v>
      </c>
      <c r="DZ1102">
        <v>405</v>
      </c>
      <c r="EA1102">
        <v>2</v>
      </c>
    </row>
    <row r="1103" spans="1:325" ht="20.25">
      <c r="DV1103">
        <v>66</v>
      </c>
      <c r="DW1103" t="s">
        <v>44</v>
      </c>
      <c r="DX1103" s="8">
        <v>43947</v>
      </c>
      <c r="DY1103">
        <v>22</v>
      </c>
      <c r="DZ1103">
        <v>405</v>
      </c>
      <c r="EA1103">
        <v>2</v>
      </c>
    </row>
    <row r="1104" spans="1:325" ht="20.25">
      <c r="DV1104">
        <v>66</v>
      </c>
      <c r="DW1104" t="s">
        <v>44</v>
      </c>
      <c r="DX1104" s="8">
        <v>43948</v>
      </c>
      <c r="DY1104">
        <v>22</v>
      </c>
      <c r="DZ1104">
        <v>405</v>
      </c>
      <c r="EA1104">
        <v>2</v>
      </c>
    </row>
    <row r="1105" spans="1:325" ht="20.25">
      <c r="DV1105">
        <v>66</v>
      </c>
      <c r="DW1105" t="s">
        <v>44</v>
      </c>
      <c r="DX1105" s="8">
        <v>43949</v>
      </c>
      <c r="DY1105">
        <v>22</v>
      </c>
      <c r="DZ1105">
        <v>405</v>
      </c>
      <c r="EA1105">
        <v>2</v>
      </c>
    </row>
    <row r="1106" spans="1:325" ht="20.25">
      <c r="DV1106">
        <v>66</v>
      </c>
      <c r="DW1106" t="s">
        <v>44</v>
      </c>
      <c r="DX1106" s="8">
        <v>43950</v>
      </c>
      <c r="DY1106">
        <v>23</v>
      </c>
      <c r="DZ1106">
        <v>424</v>
      </c>
      <c r="EA1106">
        <v>2</v>
      </c>
    </row>
    <row r="1107" spans="1:325" ht="20.25">
      <c r="DV1107">
        <v>66</v>
      </c>
      <c r="DW1107" t="s">
        <v>44</v>
      </c>
      <c r="DX1107" s="8">
        <v>43951</v>
      </c>
      <c r="DY1107">
        <v>26</v>
      </c>
      <c r="DZ1107">
        <v>479</v>
      </c>
      <c r="EA1107">
        <v>2</v>
      </c>
    </row>
    <row r="1108" spans="1:325" ht="20.25">
      <c r="DV1108">
        <v>66</v>
      </c>
      <c r="DW1108" t="s">
        <v>44</v>
      </c>
      <c r="DX1108" s="8">
        <v>43952</v>
      </c>
      <c r="DY1108">
        <v>26</v>
      </c>
      <c r="DZ1108">
        <v>479</v>
      </c>
      <c r="EA1108">
        <v>2</v>
      </c>
    </row>
    <row r="1109" spans="1:325" ht="20.25">
      <c r="DV1109">
        <v>66</v>
      </c>
      <c r="DW1109" t="s">
        <v>44</v>
      </c>
      <c r="DX1109" s="8">
        <v>43953</v>
      </c>
      <c r="DY1109">
        <v>26</v>
      </c>
      <c r="DZ1109">
        <v>479</v>
      </c>
      <c r="EA1109">
        <v>2</v>
      </c>
    </row>
    <row r="1110" spans="1:325" ht="20.25">
      <c r="DV1110">
        <v>66</v>
      </c>
      <c r="DW1110" t="s">
        <v>44</v>
      </c>
      <c r="DX1110" s="8">
        <v>43954</v>
      </c>
      <c r="DY1110">
        <v>26</v>
      </c>
      <c r="DZ1110">
        <v>479</v>
      </c>
      <c r="EA1110">
        <v>2</v>
      </c>
    </row>
    <row r="1111" spans="1:325" ht="20.25">
      <c r="DV1111">
        <v>66</v>
      </c>
      <c r="DW1111" t="s">
        <v>44</v>
      </c>
      <c r="DX1111" s="8">
        <v>43955</v>
      </c>
      <c r="DY1111">
        <v>26</v>
      </c>
      <c r="DZ1111">
        <v>479</v>
      </c>
      <c r="EA1111">
        <v>2</v>
      </c>
    </row>
    <row r="1112" spans="1:325" ht="20.25">
      <c r="DV1112">
        <v>66</v>
      </c>
      <c r="DW1112" t="s">
        <v>44</v>
      </c>
      <c r="DX1112" s="8">
        <v>43956</v>
      </c>
      <c r="DY1112">
        <v>26</v>
      </c>
      <c r="DZ1112">
        <v>479</v>
      </c>
      <c r="EA1112">
        <v>2</v>
      </c>
    </row>
    <row r="1113" spans="1:325" ht="20.25">
      <c r="DV1113">
        <v>66</v>
      </c>
      <c r="DW1113" t="s">
        <v>44</v>
      </c>
      <c r="DX1113" s="8">
        <v>43957</v>
      </c>
      <c r="DY1113">
        <v>26</v>
      </c>
      <c r="DZ1113">
        <v>479</v>
      </c>
      <c r="EA1113">
        <v>2</v>
      </c>
    </row>
    <row r="1114" spans="1:325" ht="20.25">
      <c r="DV1114">
        <v>66</v>
      </c>
      <c r="DW1114" t="s">
        <v>44</v>
      </c>
      <c r="DX1114" s="8">
        <v>43958</v>
      </c>
      <c r="DY1114">
        <v>26</v>
      </c>
      <c r="DZ1114">
        <v>479</v>
      </c>
      <c r="EA1114">
        <v>2</v>
      </c>
    </row>
    <row r="1115" spans="1:325" ht="20.25">
      <c r="DV1115">
        <v>66</v>
      </c>
      <c r="DW1115" t="s">
        <v>44</v>
      </c>
      <c r="DX1115" s="8">
        <v>43959</v>
      </c>
      <c r="DY1115">
        <v>26</v>
      </c>
      <c r="DZ1115">
        <v>479</v>
      </c>
      <c r="EA1115">
        <v>2</v>
      </c>
    </row>
    <row r="1116" spans="1:325" ht="20.25">
      <c r="DV1116">
        <v>66</v>
      </c>
      <c r="DW1116" t="s">
        <v>44</v>
      </c>
      <c r="DX1116" s="8">
        <v>43960</v>
      </c>
      <c r="DY1116">
        <v>26</v>
      </c>
      <c r="DZ1116">
        <v>479</v>
      </c>
      <c r="EA1116">
        <v>2</v>
      </c>
    </row>
    <row r="1117" spans="1:325" ht="20.25">
      <c r="DV1117">
        <v>66</v>
      </c>
      <c r="DW1117" t="s">
        <v>44</v>
      </c>
      <c r="DX1117" s="8">
        <v>43961</v>
      </c>
      <c r="DY1117">
        <v>26</v>
      </c>
      <c r="DZ1117">
        <v>479</v>
      </c>
      <c r="EA1117">
        <v>2</v>
      </c>
    </row>
    <row r="1118" spans="1:325" ht="20.25">
      <c r="DV1118">
        <v>66</v>
      </c>
      <c r="DW1118" t="s">
        <v>44</v>
      </c>
      <c r="DX1118" s="8">
        <v>43962</v>
      </c>
      <c r="DY1118">
        <v>26</v>
      </c>
      <c r="DZ1118">
        <v>479</v>
      </c>
      <c r="EA1118">
        <v>2</v>
      </c>
    </row>
    <row r="1119" spans="1:325" ht="20.25">
      <c r="DV1119">
        <v>66</v>
      </c>
      <c r="DW1119" t="s">
        <v>44</v>
      </c>
      <c r="DX1119" s="8">
        <v>43963</v>
      </c>
      <c r="DY1119">
        <v>27</v>
      </c>
      <c r="DZ1119">
        <v>497</v>
      </c>
      <c r="EA1119">
        <v>2</v>
      </c>
    </row>
    <row r="1120" spans="1:325" ht="20.25">
      <c r="DV1120">
        <v>66</v>
      </c>
      <c r="DW1120" t="s">
        <v>44</v>
      </c>
      <c r="DX1120" s="8">
        <v>43964</v>
      </c>
      <c r="DY1120">
        <v>27</v>
      </c>
      <c r="DZ1120">
        <v>497</v>
      </c>
      <c r="EA1120">
        <v>2</v>
      </c>
    </row>
    <row r="1121" spans="1:325" ht="20.25">
      <c r="DV1121">
        <v>66</v>
      </c>
      <c r="DW1121" t="s">
        <v>44</v>
      </c>
      <c r="DX1121" s="8">
        <v>43965</v>
      </c>
      <c r="DY1121">
        <v>27</v>
      </c>
      <c r="DZ1121">
        <v>497</v>
      </c>
      <c r="EA1121">
        <v>2</v>
      </c>
    </row>
    <row r="1122" spans="1:325" ht="20.25">
      <c r="DV1122">
        <v>66</v>
      </c>
      <c r="DW1122" t="s">
        <v>44</v>
      </c>
      <c r="DX1122" s="8">
        <v>43966</v>
      </c>
      <c r="DY1122">
        <v>28</v>
      </c>
      <c r="DZ1122">
        <v>516</v>
      </c>
      <c r="EA1122">
        <v>2</v>
      </c>
    </row>
    <row r="1123" spans="1:325" ht="20.25">
      <c r="DV1123">
        <v>67</v>
      </c>
      <c r="DW1123" t="s">
        <v>63</v>
      </c>
      <c r="DX1123" s="8">
        <v>43914</v>
      </c>
      <c r="DY1123">
        <v>0</v>
      </c>
      <c r="EA1123">
        <v>0</v>
      </c>
    </row>
    <row r="1124" spans="1:325" ht="20.25">
      <c r="DV1124">
        <v>67</v>
      </c>
      <c r="DW1124" t="s">
        <v>63</v>
      </c>
      <c r="DX1124" s="8">
        <v>43915</v>
      </c>
      <c r="DY1124">
        <v>0</v>
      </c>
      <c r="EA1124">
        <v>0</v>
      </c>
    </row>
    <row r="1125" spans="1:325" ht="20.25">
      <c r="DV1125">
        <v>67</v>
      </c>
      <c r="DW1125" t="s">
        <v>63</v>
      </c>
      <c r="DX1125" s="8">
        <v>43916</v>
      </c>
      <c r="DY1125">
        <v>1</v>
      </c>
      <c r="EA1125">
        <v>0</v>
      </c>
    </row>
    <row r="1126" spans="1:325" ht="20.25">
      <c r="DV1126">
        <v>67</v>
      </c>
      <c r="DW1126" t="s">
        <v>63</v>
      </c>
      <c r="DX1126" s="8">
        <v>43917</v>
      </c>
      <c r="DY1126">
        <v>1</v>
      </c>
      <c r="EA1126">
        <v>0</v>
      </c>
    </row>
    <row r="1127" spans="1:325" ht="20.25">
      <c r="DV1127">
        <v>67</v>
      </c>
      <c r="DW1127" t="s">
        <v>63</v>
      </c>
      <c r="DX1127" s="8">
        <v>43918</v>
      </c>
      <c r="DY1127">
        <v>1</v>
      </c>
      <c r="EA1127">
        <v>0</v>
      </c>
    </row>
    <row r="1128" spans="1:325" ht="20.25">
      <c r="DV1128">
        <v>67</v>
      </c>
      <c r="DW1128" t="s">
        <v>63</v>
      </c>
      <c r="DX1128" s="8">
        <v>43919</v>
      </c>
      <c r="DY1128">
        <v>1</v>
      </c>
      <c r="EA1128">
        <v>0</v>
      </c>
    </row>
    <row r="1129" spans="1:325" ht="20.25">
      <c r="DV1129">
        <v>67</v>
      </c>
      <c r="DW1129" t="s">
        <v>63</v>
      </c>
      <c r="DX1129" s="8">
        <v>43920</v>
      </c>
      <c r="DY1129">
        <v>3</v>
      </c>
      <c r="EA1129">
        <v>0</v>
      </c>
    </row>
    <row r="1130" spans="1:325" ht="20.25">
      <c r="DV1130">
        <v>67</v>
      </c>
      <c r="DW1130" t="s">
        <v>63</v>
      </c>
      <c r="DX1130" s="8">
        <v>43921</v>
      </c>
      <c r="DY1130">
        <v>3</v>
      </c>
      <c r="EA1130">
        <v>0</v>
      </c>
    </row>
    <row r="1131" spans="1:325" ht="20.25">
      <c r="DV1131">
        <v>67</v>
      </c>
      <c r="DW1131" t="s">
        <v>63</v>
      </c>
      <c r="DX1131" s="8">
        <v>43922</v>
      </c>
      <c r="DY1131">
        <v>4</v>
      </c>
      <c r="EA1131">
        <v>0</v>
      </c>
    </row>
    <row r="1132" spans="1:325" ht="20.25">
      <c r="DV1132">
        <v>67</v>
      </c>
      <c r="DW1132" t="s">
        <v>63</v>
      </c>
      <c r="DX1132" s="8">
        <v>43923</v>
      </c>
      <c r="DY1132">
        <v>4</v>
      </c>
      <c r="EA1132">
        <v>0</v>
      </c>
    </row>
    <row r="1133" spans="1:325" ht="20.25">
      <c r="DV1133">
        <v>67</v>
      </c>
      <c r="DW1133" t="s">
        <v>63</v>
      </c>
      <c r="DX1133" s="8">
        <v>43924</v>
      </c>
      <c r="DY1133">
        <v>4</v>
      </c>
      <c r="EA1133">
        <v>0</v>
      </c>
    </row>
    <row r="1134" spans="1:325" ht="20.25">
      <c r="DV1134">
        <v>67</v>
      </c>
      <c r="DW1134" t="s">
        <v>63</v>
      </c>
      <c r="DX1134" s="8">
        <v>43925</v>
      </c>
      <c r="DY1134">
        <v>4</v>
      </c>
      <c r="EA1134">
        <v>0</v>
      </c>
    </row>
    <row r="1135" spans="1:325" ht="20.25">
      <c r="DV1135">
        <v>67</v>
      </c>
      <c r="DW1135" t="s">
        <v>63</v>
      </c>
      <c r="DX1135" s="8">
        <v>43926</v>
      </c>
      <c r="DY1135">
        <v>4</v>
      </c>
      <c r="EA1135">
        <v>0</v>
      </c>
    </row>
    <row r="1136" spans="1:325" ht="20.25">
      <c r="DV1136">
        <v>67</v>
      </c>
      <c r="DW1136" t="s">
        <v>63</v>
      </c>
      <c r="DX1136" s="8">
        <v>43927</v>
      </c>
      <c r="DY1136">
        <v>5</v>
      </c>
      <c r="EA1136">
        <v>0</v>
      </c>
    </row>
    <row r="1137" spans="1:325" ht="20.25">
      <c r="DV1137">
        <v>67</v>
      </c>
      <c r="DW1137" t="s">
        <v>63</v>
      </c>
      <c r="DX1137" s="8">
        <v>43928</v>
      </c>
      <c r="DY1137">
        <v>5</v>
      </c>
      <c r="EA1137">
        <v>0</v>
      </c>
    </row>
    <row r="1138" spans="1:325" ht="20.25">
      <c r="DV1138">
        <v>67</v>
      </c>
      <c r="DW1138" t="s">
        <v>63</v>
      </c>
      <c r="DX1138" s="8">
        <v>43929</v>
      </c>
      <c r="DY1138">
        <v>6</v>
      </c>
      <c r="EA1138">
        <v>0</v>
      </c>
    </row>
    <row r="1139" spans="1:325" ht="20.25">
      <c r="DV1139">
        <v>67</v>
      </c>
      <c r="DW1139" t="s">
        <v>63</v>
      </c>
      <c r="DX1139" s="8">
        <v>43930</v>
      </c>
      <c r="DY1139">
        <v>7</v>
      </c>
      <c r="EA1139">
        <v>0</v>
      </c>
    </row>
    <row r="1140" spans="1:325" ht="20.25">
      <c r="DV1140">
        <v>67</v>
      </c>
      <c r="DW1140" t="s">
        <v>63</v>
      </c>
      <c r="DX1140" s="8">
        <v>43931</v>
      </c>
      <c r="DY1140">
        <v>7</v>
      </c>
      <c r="EA1140">
        <v>0</v>
      </c>
    </row>
    <row r="1141" spans="1:325" ht="20.25">
      <c r="DV1141">
        <v>67</v>
      </c>
      <c r="DW1141" t="s">
        <v>63</v>
      </c>
      <c r="DX1141" s="8">
        <v>43932</v>
      </c>
      <c r="DY1141">
        <v>9</v>
      </c>
      <c r="EA1141">
        <v>0</v>
      </c>
    </row>
    <row r="1142" spans="1:325" ht="20.25">
      <c r="DV1142">
        <v>67</v>
      </c>
      <c r="DW1142" t="s">
        <v>63</v>
      </c>
      <c r="DX1142" s="8">
        <v>43933</v>
      </c>
      <c r="DY1142">
        <v>9</v>
      </c>
      <c r="EA1142">
        <v>0</v>
      </c>
    </row>
    <row r="1143" spans="1:325" ht="20.25">
      <c r="DV1143">
        <v>67</v>
      </c>
      <c r="DW1143" t="s">
        <v>63</v>
      </c>
      <c r="DX1143" s="8">
        <v>43934</v>
      </c>
      <c r="DY1143">
        <v>7</v>
      </c>
      <c r="EA1143">
        <v>0</v>
      </c>
    </row>
    <row r="1144" spans="1:325" ht="20.25">
      <c r="DV1144">
        <v>67</v>
      </c>
      <c r="DW1144" t="s">
        <v>63</v>
      </c>
      <c r="DX1144" s="8">
        <v>43935</v>
      </c>
      <c r="DY1144">
        <v>7</v>
      </c>
      <c r="EA1144">
        <v>0</v>
      </c>
    </row>
    <row r="1145" spans="1:325" ht="20.25">
      <c r="DV1145">
        <v>67</v>
      </c>
      <c r="DW1145" t="s">
        <v>63</v>
      </c>
      <c r="DX1145" s="8">
        <v>43936</v>
      </c>
      <c r="DY1145">
        <v>7</v>
      </c>
      <c r="EA1145">
        <v>0</v>
      </c>
    </row>
    <row r="1146" spans="1:325" ht="20.25">
      <c r="DV1146">
        <v>67</v>
      </c>
      <c r="DW1146" t="s">
        <v>63</v>
      </c>
      <c r="DX1146" s="8">
        <v>43937</v>
      </c>
      <c r="DY1146">
        <v>8</v>
      </c>
      <c r="DZ1146">
        <v>84</v>
      </c>
      <c r="EA1146">
        <v>0</v>
      </c>
    </row>
    <row r="1147" spans="1:325" ht="20.25">
      <c r="DV1147">
        <v>67</v>
      </c>
      <c r="DW1147" t="s">
        <v>63</v>
      </c>
      <c r="DX1147" s="8">
        <v>43938</v>
      </c>
      <c r="DY1147">
        <v>10</v>
      </c>
      <c r="DZ1147">
        <v>105</v>
      </c>
      <c r="EA1147">
        <v>0</v>
      </c>
    </row>
    <row r="1148" spans="1:325" ht="20.25">
      <c r="DV1148">
        <v>67</v>
      </c>
      <c r="DW1148" t="s">
        <v>63</v>
      </c>
      <c r="DX1148" s="8">
        <v>43939</v>
      </c>
      <c r="DY1148">
        <v>10</v>
      </c>
      <c r="DZ1148">
        <v>105</v>
      </c>
      <c r="EA1148">
        <v>0</v>
      </c>
    </row>
    <row r="1149" spans="1:325" ht="20.25">
      <c r="DV1149">
        <v>67</v>
      </c>
      <c r="DW1149" t="s">
        <v>63</v>
      </c>
      <c r="DX1149" s="8">
        <v>43940</v>
      </c>
      <c r="DY1149">
        <v>11</v>
      </c>
      <c r="DZ1149">
        <v>116</v>
      </c>
      <c r="EA1149">
        <v>0</v>
      </c>
    </row>
    <row r="1150" spans="1:325" ht="20.25">
      <c r="DV1150">
        <v>67</v>
      </c>
      <c r="DW1150" t="s">
        <v>63</v>
      </c>
      <c r="DX1150" s="8">
        <v>43941</v>
      </c>
      <c r="DY1150">
        <v>11</v>
      </c>
      <c r="DZ1150">
        <v>116</v>
      </c>
      <c r="EA1150">
        <v>0</v>
      </c>
    </row>
    <row r="1151" spans="1:325" ht="20.25">
      <c r="DV1151">
        <v>67</v>
      </c>
      <c r="DW1151" t="s">
        <v>63</v>
      </c>
      <c r="DX1151" s="8">
        <v>43942</v>
      </c>
      <c r="DY1151">
        <v>11</v>
      </c>
      <c r="DZ1151">
        <v>116</v>
      </c>
      <c r="EA1151">
        <v>0</v>
      </c>
    </row>
    <row r="1152" spans="1:325" ht="20.25">
      <c r="DV1152">
        <v>67</v>
      </c>
      <c r="DW1152" t="s">
        <v>63</v>
      </c>
      <c r="DX1152" s="8">
        <v>43943</v>
      </c>
      <c r="DY1152">
        <v>11</v>
      </c>
      <c r="DZ1152">
        <v>116</v>
      </c>
      <c r="EA1152">
        <v>0</v>
      </c>
    </row>
    <row r="1153" spans="1:325" ht="20.25">
      <c r="DV1153">
        <v>67</v>
      </c>
      <c r="DW1153" t="s">
        <v>63</v>
      </c>
      <c r="DX1153" s="8">
        <v>43944</v>
      </c>
      <c r="DY1153">
        <v>12</v>
      </c>
      <c r="DZ1153">
        <v>127</v>
      </c>
      <c r="EA1153">
        <v>0</v>
      </c>
    </row>
    <row r="1154" spans="1:325" ht="20.25">
      <c r="DV1154">
        <v>67</v>
      </c>
      <c r="DW1154" t="s">
        <v>63</v>
      </c>
      <c r="DX1154" s="8">
        <v>43945</v>
      </c>
      <c r="DY1154">
        <v>15</v>
      </c>
      <c r="DZ1154">
        <v>158</v>
      </c>
      <c r="EA1154">
        <v>1</v>
      </c>
    </row>
    <row r="1155" spans="1:325" ht="20.25">
      <c r="DV1155">
        <v>67</v>
      </c>
      <c r="DW1155" t="s">
        <v>63</v>
      </c>
      <c r="DX1155" s="8">
        <v>43946</v>
      </c>
      <c r="DY1155">
        <v>14</v>
      </c>
      <c r="DZ1155">
        <v>148</v>
      </c>
      <c r="EA1155">
        <v>1</v>
      </c>
    </row>
    <row r="1156" spans="1:325" ht="20.25">
      <c r="DV1156">
        <v>67</v>
      </c>
      <c r="DW1156" t="s">
        <v>63</v>
      </c>
      <c r="DX1156" s="8">
        <v>43947</v>
      </c>
      <c r="DY1156">
        <v>14</v>
      </c>
      <c r="DZ1156">
        <v>148</v>
      </c>
      <c r="EA1156">
        <v>1</v>
      </c>
    </row>
    <row r="1157" spans="1:325" ht="20.25">
      <c r="DV1157">
        <v>67</v>
      </c>
      <c r="DW1157" t="s">
        <v>63</v>
      </c>
      <c r="DX1157" s="8">
        <v>43948</v>
      </c>
      <c r="DY1157">
        <v>14</v>
      </c>
      <c r="DZ1157">
        <v>148</v>
      </c>
      <c r="EA1157">
        <v>1</v>
      </c>
    </row>
    <row r="1158" spans="1:325" ht="20.25">
      <c r="DV1158">
        <v>67</v>
      </c>
      <c r="DW1158" t="s">
        <v>63</v>
      </c>
      <c r="DX1158" s="8">
        <v>43949</v>
      </c>
      <c r="DY1158">
        <v>14</v>
      </c>
      <c r="DZ1158">
        <v>148</v>
      </c>
      <c r="EA1158">
        <v>1</v>
      </c>
    </row>
    <row r="1159" spans="1:325" ht="20.25">
      <c r="DV1159">
        <v>67</v>
      </c>
      <c r="DW1159" t="s">
        <v>63</v>
      </c>
      <c r="DX1159" s="8">
        <v>43950</v>
      </c>
      <c r="DY1159">
        <v>15</v>
      </c>
      <c r="DZ1159">
        <v>158</v>
      </c>
      <c r="EA1159">
        <v>2</v>
      </c>
    </row>
    <row r="1160" spans="1:325" ht="20.25">
      <c r="DV1160">
        <v>67</v>
      </c>
      <c r="DW1160" t="s">
        <v>63</v>
      </c>
      <c r="DX1160" s="8">
        <v>43951</v>
      </c>
      <c r="DY1160">
        <v>15</v>
      </c>
      <c r="DZ1160">
        <v>158</v>
      </c>
      <c r="EA1160">
        <v>2</v>
      </c>
    </row>
    <row r="1161" spans="1:325" ht="20.25">
      <c r="DV1161">
        <v>67</v>
      </c>
      <c r="DW1161" t="s">
        <v>63</v>
      </c>
      <c r="DX1161" s="8">
        <v>43952</v>
      </c>
      <c r="DY1161">
        <v>15</v>
      </c>
      <c r="DZ1161">
        <v>158</v>
      </c>
      <c r="EA1161">
        <v>2</v>
      </c>
    </row>
    <row r="1162" spans="1:325" ht="20.25">
      <c r="DV1162">
        <v>67</v>
      </c>
      <c r="DW1162" t="s">
        <v>63</v>
      </c>
      <c r="DX1162" s="8">
        <v>43953</v>
      </c>
      <c r="DY1162">
        <v>15</v>
      </c>
      <c r="DZ1162">
        <v>158</v>
      </c>
      <c r="EA1162">
        <v>2</v>
      </c>
    </row>
    <row r="1163" spans="1:325" ht="20.25">
      <c r="DV1163">
        <v>67</v>
      </c>
      <c r="DW1163" t="s">
        <v>63</v>
      </c>
      <c r="DX1163" s="8">
        <v>43954</v>
      </c>
      <c r="DY1163">
        <v>15</v>
      </c>
      <c r="DZ1163">
        <v>158</v>
      </c>
      <c r="EA1163">
        <v>2</v>
      </c>
    </row>
    <row r="1164" spans="1:325" ht="20.25">
      <c r="DV1164">
        <v>67</v>
      </c>
      <c r="DW1164" t="s">
        <v>63</v>
      </c>
      <c r="DX1164" s="8">
        <v>43955</v>
      </c>
      <c r="DY1164">
        <v>15</v>
      </c>
      <c r="DZ1164">
        <v>158</v>
      </c>
      <c r="EA1164">
        <v>2</v>
      </c>
    </row>
    <row r="1165" spans="1:325" ht="20.25">
      <c r="DV1165">
        <v>67</v>
      </c>
      <c r="DW1165" t="s">
        <v>63</v>
      </c>
      <c r="DX1165" s="8">
        <v>43956</v>
      </c>
      <c r="DY1165">
        <v>15</v>
      </c>
      <c r="DZ1165">
        <v>158</v>
      </c>
      <c r="EA1165">
        <v>2</v>
      </c>
    </row>
    <row r="1166" spans="1:325" ht="20.25">
      <c r="DV1166">
        <v>67</v>
      </c>
      <c r="DW1166" t="s">
        <v>63</v>
      </c>
      <c r="DX1166" s="8">
        <v>43957</v>
      </c>
      <c r="DY1166">
        <v>17</v>
      </c>
      <c r="DZ1166">
        <v>179</v>
      </c>
      <c r="EA1166">
        <v>2</v>
      </c>
    </row>
    <row r="1167" spans="1:325" ht="20.25">
      <c r="DV1167">
        <v>67</v>
      </c>
      <c r="DW1167" t="s">
        <v>63</v>
      </c>
      <c r="DX1167" s="8">
        <v>43958</v>
      </c>
      <c r="DY1167">
        <v>17</v>
      </c>
      <c r="DZ1167">
        <v>179</v>
      </c>
      <c r="EA1167">
        <v>2</v>
      </c>
    </row>
    <row r="1168" spans="1:325" ht="20.25">
      <c r="DV1168">
        <v>67</v>
      </c>
      <c r="DW1168" t="s">
        <v>63</v>
      </c>
      <c r="DX1168" s="8">
        <v>43959</v>
      </c>
      <c r="DY1168">
        <v>17</v>
      </c>
      <c r="DZ1168">
        <v>179</v>
      </c>
      <c r="EA1168">
        <v>2</v>
      </c>
    </row>
    <row r="1169" spans="1:325" ht="20.25">
      <c r="DV1169">
        <v>67</v>
      </c>
      <c r="DW1169" t="s">
        <v>63</v>
      </c>
      <c r="DX1169" s="8">
        <v>43960</v>
      </c>
      <c r="DY1169">
        <v>17</v>
      </c>
      <c r="DZ1169">
        <v>179</v>
      </c>
      <c r="EA1169">
        <v>2</v>
      </c>
    </row>
    <row r="1170" spans="1:325" ht="20.25">
      <c r="DV1170">
        <v>67</v>
      </c>
      <c r="DW1170" t="s">
        <v>63</v>
      </c>
      <c r="DX1170" s="8">
        <v>43961</v>
      </c>
      <c r="DY1170">
        <v>18</v>
      </c>
      <c r="DZ1170">
        <v>190</v>
      </c>
      <c r="EA1170">
        <v>2</v>
      </c>
    </row>
    <row r="1171" spans="1:325" ht="20.25">
      <c r="DV1171">
        <v>67</v>
      </c>
      <c r="DW1171" t="s">
        <v>63</v>
      </c>
      <c r="DX1171" s="8">
        <v>43962</v>
      </c>
      <c r="DY1171">
        <v>18</v>
      </c>
      <c r="DZ1171">
        <v>190</v>
      </c>
      <c r="EA1171">
        <v>2</v>
      </c>
    </row>
    <row r="1172" spans="1:325" ht="20.25">
      <c r="DV1172">
        <v>67</v>
      </c>
      <c r="DW1172" t="s">
        <v>63</v>
      </c>
      <c r="DX1172" s="8">
        <v>43963</v>
      </c>
      <c r="DY1172">
        <v>18</v>
      </c>
      <c r="DZ1172">
        <v>190</v>
      </c>
      <c r="EA1172">
        <v>2</v>
      </c>
    </row>
    <row r="1173" spans="1:325" ht="20.25">
      <c r="DV1173">
        <v>67</v>
      </c>
      <c r="DW1173" t="s">
        <v>63</v>
      </c>
      <c r="DX1173" s="8">
        <v>43964</v>
      </c>
      <c r="DY1173">
        <v>18</v>
      </c>
      <c r="DZ1173">
        <v>190</v>
      </c>
      <c r="EA1173">
        <v>2</v>
      </c>
    </row>
    <row r="1174" spans="1:325" ht="20.25">
      <c r="DV1174">
        <v>67</v>
      </c>
      <c r="DW1174" t="s">
        <v>63</v>
      </c>
      <c r="DX1174" s="8">
        <v>43965</v>
      </c>
      <c r="DY1174">
        <v>18</v>
      </c>
      <c r="DZ1174">
        <v>190</v>
      </c>
      <c r="EA1174">
        <v>2</v>
      </c>
    </row>
    <row r="1175" spans="1:325" ht="20.25">
      <c r="DV1175">
        <v>67</v>
      </c>
      <c r="DW1175" t="s">
        <v>63</v>
      </c>
      <c r="DX1175" s="8">
        <v>43966</v>
      </c>
      <c r="DY1175">
        <v>18</v>
      </c>
      <c r="DZ1175">
        <v>190</v>
      </c>
      <c r="EA1175">
        <v>2</v>
      </c>
    </row>
    <row r="1176" spans="1:325" ht="20.25">
      <c r="DV1176">
        <v>72</v>
      </c>
      <c r="DW1176" t="s">
        <v>65</v>
      </c>
      <c r="DX1176" s="8">
        <v>43914</v>
      </c>
      <c r="DY1176">
        <v>0</v>
      </c>
      <c r="EA1176">
        <v>0</v>
      </c>
    </row>
    <row r="1177" spans="1:325" ht="20.25">
      <c r="DV1177">
        <v>72</v>
      </c>
      <c r="DW1177" t="s">
        <v>65</v>
      </c>
      <c r="DX1177" s="8">
        <v>43915</v>
      </c>
      <c r="DY1177">
        <v>0</v>
      </c>
      <c r="EA1177">
        <v>0</v>
      </c>
    </row>
    <row r="1178" spans="1:325" ht="20.25">
      <c r="DV1178">
        <v>72</v>
      </c>
      <c r="DW1178" t="s">
        <v>65</v>
      </c>
      <c r="DX1178" s="8">
        <v>43916</v>
      </c>
      <c r="DY1178">
        <v>0</v>
      </c>
      <c r="EA1178">
        <v>0</v>
      </c>
    </row>
    <row r="1179" spans="1:325" ht="20.25">
      <c r="DV1179">
        <v>72</v>
      </c>
      <c r="DW1179" t="s">
        <v>65</v>
      </c>
      <c r="DX1179" s="8">
        <v>43917</v>
      </c>
      <c r="DY1179">
        <v>1</v>
      </c>
      <c r="EA1179">
        <v>0</v>
      </c>
    </row>
    <row r="1180" spans="1:325" ht="20.25">
      <c r="DV1180">
        <v>72</v>
      </c>
      <c r="DW1180" t="s">
        <v>65</v>
      </c>
      <c r="DX1180" s="8">
        <v>43918</v>
      </c>
      <c r="DY1180">
        <v>1</v>
      </c>
      <c r="EA1180">
        <v>0</v>
      </c>
    </row>
    <row r="1181" spans="1:325" ht="20.25">
      <c r="DV1181">
        <v>72</v>
      </c>
      <c r="DW1181" t="s">
        <v>65</v>
      </c>
      <c r="DX1181" s="8">
        <v>43919</v>
      </c>
      <c r="DY1181">
        <v>1</v>
      </c>
      <c r="EA1181">
        <v>0</v>
      </c>
    </row>
    <row r="1182" spans="1:325" ht="20.25">
      <c r="DV1182">
        <v>72</v>
      </c>
      <c r="DW1182" t="s">
        <v>65</v>
      </c>
      <c r="DX1182" s="8">
        <v>43920</v>
      </c>
      <c r="DY1182">
        <v>2</v>
      </c>
      <c r="EA1182">
        <v>0</v>
      </c>
    </row>
    <row r="1183" spans="1:325" ht="20.25">
      <c r="DV1183">
        <v>72</v>
      </c>
      <c r="DW1183" t="s">
        <v>65</v>
      </c>
      <c r="DX1183" s="8">
        <v>43921</v>
      </c>
      <c r="DY1183">
        <v>2</v>
      </c>
      <c r="EA1183">
        <v>0</v>
      </c>
    </row>
    <row r="1184" spans="1:325" ht="20.25">
      <c r="DV1184">
        <v>72</v>
      </c>
      <c r="DW1184" t="s">
        <v>65</v>
      </c>
      <c r="DX1184" s="8">
        <v>43922</v>
      </c>
      <c r="DY1184">
        <v>2</v>
      </c>
      <c r="EA1184">
        <v>0</v>
      </c>
    </row>
    <row r="1185" spans="1:325" ht="20.25">
      <c r="DV1185">
        <v>72</v>
      </c>
      <c r="DW1185" t="s">
        <v>65</v>
      </c>
      <c r="DX1185" s="8">
        <v>43923</v>
      </c>
      <c r="DY1185">
        <v>2</v>
      </c>
      <c r="EA1185">
        <v>0</v>
      </c>
    </row>
    <row r="1186" spans="1:325" ht="20.25">
      <c r="DV1186">
        <v>72</v>
      </c>
      <c r="DW1186" t="s">
        <v>65</v>
      </c>
      <c r="DX1186" s="8">
        <v>43924</v>
      </c>
      <c r="DY1186">
        <v>2</v>
      </c>
      <c r="EA1186">
        <v>0</v>
      </c>
    </row>
    <row r="1187" spans="1:325" ht="20.25">
      <c r="DV1187">
        <v>72</v>
      </c>
      <c r="DW1187" t="s">
        <v>65</v>
      </c>
      <c r="DX1187" s="8">
        <v>43925</v>
      </c>
      <c r="DY1187">
        <v>2</v>
      </c>
      <c r="EA1187">
        <v>0</v>
      </c>
    </row>
    <row r="1188" spans="1:325" ht="20.25">
      <c r="DV1188">
        <v>72</v>
      </c>
      <c r="DW1188" t="s">
        <v>65</v>
      </c>
      <c r="DX1188" s="8">
        <v>43926</v>
      </c>
      <c r="DY1188">
        <v>2</v>
      </c>
      <c r="EA1188">
        <v>0</v>
      </c>
    </row>
    <row r="1189" spans="1:325" ht="20.25">
      <c r="DV1189">
        <v>72</v>
      </c>
      <c r="DW1189" t="s">
        <v>65</v>
      </c>
      <c r="DX1189" s="8">
        <v>43927</v>
      </c>
      <c r="DY1189">
        <v>3</v>
      </c>
      <c r="EA1189">
        <v>0</v>
      </c>
    </row>
    <row r="1190" spans="1:325" ht="20.25">
      <c r="DV1190">
        <v>72</v>
      </c>
      <c r="DW1190" t="s">
        <v>65</v>
      </c>
      <c r="DX1190" s="8">
        <v>43928</v>
      </c>
      <c r="DY1190">
        <v>4</v>
      </c>
      <c r="EA1190">
        <v>0</v>
      </c>
    </row>
    <row r="1191" spans="1:325" ht="20.25">
      <c r="DV1191">
        <v>72</v>
      </c>
      <c r="DW1191" t="s">
        <v>65</v>
      </c>
      <c r="DX1191" s="8">
        <v>43929</v>
      </c>
      <c r="DY1191">
        <v>4</v>
      </c>
      <c r="EA1191">
        <v>0</v>
      </c>
    </row>
    <row r="1192" spans="1:325" ht="20.25">
      <c r="DV1192">
        <v>72</v>
      </c>
      <c r="DW1192" t="s">
        <v>65</v>
      </c>
      <c r="DX1192" s="8">
        <v>43930</v>
      </c>
      <c r="DY1192">
        <v>3</v>
      </c>
      <c r="EA1192">
        <v>1</v>
      </c>
    </row>
    <row r="1193" spans="1:325" ht="20.25">
      <c r="DV1193">
        <v>72</v>
      </c>
      <c r="DW1193" t="s">
        <v>65</v>
      </c>
      <c r="DX1193" s="8">
        <v>43931</v>
      </c>
      <c r="DY1193">
        <v>3</v>
      </c>
      <c r="EA1193">
        <v>1</v>
      </c>
    </row>
    <row r="1194" spans="1:325" ht="20.25">
      <c r="DV1194">
        <v>72</v>
      </c>
      <c r="DW1194" t="s">
        <v>65</v>
      </c>
      <c r="DX1194" s="8">
        <v>43932</v>
      </c>
      <c r="DY1194">
        <v>3</v>
      </c>
      <c r="EA1194">
        <v>1</v>
      </c>
    </row>
    <row r="1195" spans="1:325" ht="20.25">
      <c r="DV1195">
        <v>72</v>
      </c>
      <c r="DW1195" t="s">
        <v>65</v>
      </c>
      <c r="DX1195" s="8">
        <v>43933</v>
      </c>
      <c r="DY1195">
        <v>3</v>
      </c>
      <c r="EA1195">
        <v>1</v>
      </c>
    </row>
    <row r="1196" spans="1:325" ht="20.25">
      <c r="DV1196">
        <v>72</v>
      </c>
      <c r="DW1196" t="s">
        <v>65</v>
      </c>
      <c r="DX1196" s="8">
        <v>43934</v>
      </c>
      <c r="DY1196">
        <v>5</v>
      </c>
      <c r="EA1196">
        <v>1</v>
      </c>
    </row>
    <row r="1197" spans="1:325" ht="20.25">
      <c r="DV1197">
        <v>72</v>
      </c>
      <c r="DW1197" t="s">
        <v>65</v>
      </c>
      <c r="DX1197" s="8">
        <v>43935</v>
      </c>
      <c r="DY1197">
        <v>6</v>
      </c>
      <c r="EA1197">
        <v>1</v>
      </c>
    </row>
    <row r="1198" spans="1:325" ht="20.25">
      <c r="DV1198">
        <v>72</v>
      </c>
      <c r="DW1198" t="s">
        <v>65</v>
      </c>
      <c r="DX1198" s="8">
        <v>43936</v>
      </c>
      <c r="DY1198">
        <v>6</v>
      </c>
      <c r="EA1198">
        <v>1</v>
      </c>
    </row>
    <row r="1199" spans="1:325" ht="20.25">
      <c r="DV1199">
        <v>72</v>
      </c>
      <c r="DW1199" t="s">
        <v>65</v>
      </c>
      <c r="DX1199" s="8">
        <v>43937</v>
      </c>
      <c r="DY1199">
        <v>6</v>
      </c>
      <c r="DZ1199">
        <v>41</v>
      </c>
      <c r="EA1199">
        <v>1</v>
      </c>
    </row>
    <row r="1200" spans="1:325" ht="20.25">
      <c r="DV1200">
        <v>72</v>
      </c>
      <c r="DW1200" t="s">
        <v>65</v>
      </c>
      <c r="DX1200" s="8">
        <v>43938</v>
      </c>
      <c r="DY1200">
        <v>7</v>
      </c>
      <c r="DZ1200">
        <v>48</v>
      </c>
      <c r="EA1200">
        <v>1</v>
      </c>
    </row>
    <row r="1201" spans="1:325" ht="20.25">
      <c r="DV1201">
        <v>72</v>
      </c>
      <c r="DW1201" t="s">
        <v>65</v>
      </c>
      <c r="DX1201" s="8">
        <v>43939</v>
      </c>
      <c r="DY1201">
        <v>7</v>
      </c>
      <c r="DZ1201">
        <v>48</v>
      </c>
      <c r="EA1201">
        <v>1</v>
      </c>
    </row>
    <row r="1202" spans="1:325" ht="20.25">
      <c r="DV1202">
        <v>72</v>
      </c>
      <c r="DW1202" t="s">
        <v>65</v>
      </c>
      <c r="DX1202" s="8">
        <v>43940</v>
      </c>
      <c r="DY1202">
        <v>8</v>
      </c>
      <c r="DZ1202">
        <v>54</v>
      </c>
      <c r="EA1202">
        <v>1</v>
      </c>
    </row>
    <row r="1203" spans="1:325" ht="20.25">
      <c r="DV1203">
        <v>72</v>
      </c>
      <c r="DW1203" t="s">
        <v>65</v>
      </c>
      <c r="DX1203" s="8">
        <v>43941</v>
      </c>
      <c r="DY1203">
        <v>8</v>
      </c>
      <c r="DZ1203">
        <v>54</v>
      </c>
      <c r="EA1203">
        <v>1</v>
      </c>
    </row>
    <row r="1204" spans="1:325" ht="20.25">
      <c r="DV1204">
        <v>72</v>
      </c>
      <c r="DW1204" t="s">
        <v>65</v>
      </c>
      <c r="DX1204" s="8">
        <v>43942</v>
      </c>
      <c r="DY1204">
        <v>8</v>
      </c>
      <c r="DZ1204">
        <v>54</v>
      </c>
      <c r="EA1204">
        <v>1</v>
      </c>
    </row>
    <row r="1205" spans="1:325" ht="20.25">
      <c r="DV1205">
        <v>72</v>
      </c>
      <c r="DW1205" t="s">
        <v>65</v>
      </c>
      <c r="DX1205" s="8">
        <v>43943</v>
      </c>
      <c r="DY1205">
        <v>8</v>
      </c>
      <c r="DZ1205">
        <v>54</v>
      </c>
      <c r="EA1205">
        <v>1</v>
      </c>
    </row>
    <row r="1206" spans="1:325" ht="20.25">
      <c r="DV1206">
        <v>72</v>
      </c>
      <c r="DW1206" t="s">
        <v>65</v>
      </c>
      <c r="DX1206" s="8">
        <v>43944</v>
      </c>
      <c r="DY1206">
        <v>8</v>
      </c>
      <c r="DZ1206">
        <v>54</v>
      </c>
      <c r="EA1206">
        <v>1</v>
      </c>
    </row>
    <row r="1207" spans="1:325" ht="20.25">
      <c r="DV1207">
        <v>72</v>
      </c>
      <c r="DW1207" t="s">
        <v>65</v>
      </c>
      <c r="DX1207" s="8">
        <v>43945</v>
      </c>
      <c r="DY1207">
        <v>8</v>
      </c>
      <c r="DZ1207">
        <v>54</v>
      </c>
      <c r="EA1207">
        <v>1</v>
      </c>
    </row>
    <row r="1208" spans="1:325" ht="20.25">
      <c r="DV1208">
        <v>72</v>
      </c>
      <c r="DW1208" t="s">
        <v>65</v>
      </c>
      <c r="DX1208" s="8">
        <v>43946</v>
      </c>
      <c r="DY1208">
        <v>9</v>
      </c>
      <c r="DZ1208">
        <v>61</v>
      </c>
      <c r="EA1208">
        <v>1</v>
      </c>
    </row>
    <row r="1209" spans="1:325" ht="20.25">
      <c r="DV1209">
        <v>72</v>
      </c>
      <c r="DW1209" t="s">
        <v>65</v>
      </c>
      <c r="DX1209" s="8">
        <v>43947</v>
      </c>
      <c r="DY1209">
        <v>9</v>
      </c>
      <c r="DZ1209">
        <v>61</v>
      </c>
      <c r="EA1209">
        <v>1</v>
      </c>
    </row>
    <row r="1210" spans="1:325" ht="20.25">
      <c r="DV1210">
        <v>72</v>
      </c>
      <c r="DW1210" t="s">
        <v>65</v>
      </c>
      <c r="DX1210" s="8">
        <v>43948</v>
      </c>
      <c r="DY1210">
        <v>9</v>
      </c>
      <c r="DZ1210">
        <v>61</v>
      </c>
      <c r="EA1210">
        <v>1</v>
      </c>
    </row>
    <row r="1211" spans="1:325" ht="20.25">
      <c r="DV1211">
        <v>72</v>
      </c>
      <c r="DW1211" t="s">
        <v>65</v>
      </c>
      <c r="DX1211" s="8">
        <v>43949</v>
      </c>
      <c r="DY1211">
        <v>9</v>
      </c>
      <c r="DZ1211">
        <v>61</v>
      </c>
      <c r="EA1211">
        <v>1</v>
      </c>
    </row>
    <row r="1212" spans="1:325" ht="20.25">
      <c r="DV1212">
        <v>72</v>
      </c>
      <c r="DW1212" t="s">
        <v>65</v>
      </c>
      <c r="DX1212" s="8">
        <v>43950</v>
      </c>
      <c r="DY1212">
        <v>9</v>
      </c>
      <c r="DZ1212">
        <v>61</v>
      </c>
      <c r="EA1212">
        <v>1</v>
      </c>
    </row>
    <row r="1213" spans="1:325" ht="20.25">
      <c r="DV1213">
        <v>72</v>
      </c>
      <c r="DW1213" t="s">
        <v>65</v>
      </c>
      <c r="DX1213" s="8">
        <v>43951</v>
      </c>
      <c r="DY1213">
        <v>11</v>
      </c>
      <c r="DZ1213">
        <v>75</v>
      </c>
      <c r="EA1213">
        <v>1</v>
      </c>
    </row>
    <row r="1214" spans="1:325" ht="20.25">
      <c r="DV1214">
        <v>72</v>
      </c>
      <c r="DW1214" t="s">
        <v>65</v>
      </c>
      <c r="DX1214" s="8">
        <v>43952</v>
      </c>
      <c r="DY1214">
        <v>12</v>
      </c>
      <c r="DZ1214">
        <v>81</v>
      </c>
      <c r="EA1214">
        <v>1</v>
      </c>
    </row>
    <row r="1215" spans="1:325" ht="20.25">
      <c r="DV1215">
        <v>72</v>
      </c>
      <c r="DW1215" t="s">
        <v>65</v>
      </c>
      <c r="DX1215" s="8">
        <v>43953</v>
      </c>
      <c r="DY1215">
        <v>12</v>
      </c>
      <c r="DZ1215">
        <v>81</v>
      </c>
      <c r="EA1215">
        <v>1</v>
      </c>
    </row>
    <row r="1216" spans="1:325" ht="20.25">
      <c r="DV1216">
        <v>72</v>
      </c>
      <c r="DW1216" t="s">
        <v>65</v>
      </c>
      <c r="DX1216" s="8">
        <v>43954</v>
      </c>
      <c r="DY1216">
        <v>13</v>
      </c>
      <c r="DZ1216">
        <v>88</v>
      </c>
      <c r="EA1216">
        <v>1</v>
      </c>
    </row>
    <row r="1217" spans="1:325" ht="20.25">
      <c r="DV1217">
        <v>72</v>
      </c>
      <c r="DW1217" t="s">
        <v>65</v>
      </c>
      <c r="DX1217" s="8">
        <v>43955</v>
      </c>
      <c r="DY1217">
        <v>14</v>
      </c>
      <c r="DZ1217">
        <v>95</v>
      </c>
      <c r="EA1217">
        <v>1</v>
      </c>
    </row>
    <row r="1218" spans="1:325" ht="20.25">
      <c r="DV1218">
        <v>72</v>
      </c>
      <c r="DW1218" t="s">
        <v>65</v>
      </c>
      <c r="DX1218" s="8">
        <v>43956</v>
      </c>
      <c r="DY1218">
        <v>14</v>
      </c>
      <c r="DZ1218">
        <v>95</v>
      </c>
      <c r="EA1218">
        <v>1</v>
      </c>
    </row>
    <row r="1219" spans="1:325" ht="20.25">
      <c r="DV1219">
        <v>72</v>
      </c>
      <c r="DW1219" t="s">
        <v>65</v>
      </c>
      <c r="DX1219" s="8">
        <v>43957</v>
      </c>
      <c r="DY1219">
        <v>14</v>
      </c>
      <c r="DZ1219">
        <v>95</v>
      </c>
      <c r="EA1219">
        <v>1</v>
      </c>
    </row>
    <row r="1220" spans="1:325" ht="20.25">
      <c r="DV1220">
        <v>72</v>
      </c>
      <c r="DW1220" t="s">
        <v>65</v>
      </c>
      <c r="DX1220" s="8">
        <v>43958</v>
      </c>
      <c r="DY1220">
        <v>16</v>
      </c>
      <c r="DZ1220">
        <v>109</v>
      </c>
      <c r="EA1220">
        <v>1</v>
      </c>
    </row>
    <row r="1221" spans="1:325" ht="20.25">
      <c r="DV1221">
        <v>72</v>
      </c>
      <c r="DW1221" t="s">
        <v>65</v>
      </c>
      <c r="DX1221" s="8">
        <v>43959</v>
      </c>
      <c r="DY1221">
        <v>17</v>
      </c>
      <c r="DZ1221">
        <v>115</v>
      </c>
      <c r="EA1221">
        <v>1</v>
      </c>
    </row>
    <row r="1222" spans="1:325" ht="20.25">
      <c r="DV1222">
        <v>72</v>
      </c>
      <c r="DW1222" t="s">
        <v>65</v>
      </c>
      <c r="DX1222" s="8">
        <v>43960</v>
      </c>
      <c r="DY1222">
        <v>17</v>
      </c>
      <c r="DZ1222">
        <v>115</v>
      </c>
      <c r="EA1222">
        <v>1</v>
      </c>
    </row>
    <row r="1223" spans="1:325" ht="20.25">
      <c r="DV1223">
        <v>72</v>
      </c>
      <c r="DW1223" t="s">
        <v>65</v>
      </c>
      <c r="DX1223" s="8">
        <v>43961</v>
      </c>
      <c r="DY1223">
        <v>17</v>
      </c>
      <c r="DZ1223">
        <v>115</v>
      </c>
      <c r="EA1223">
        <v>1</v>
      </c>
    </row>
    <row r="1224" spans="1:325" ht="20.25">
      <c r="DV1224">
        <v>72</v>
      </c>
      <c r="DW1224" t="s">
        <v>65</v>
      </c>
      <c r="DX1224" s="8">
        <v>43962</v>
      </c>
      <c r="DY1224">
        <v>17</v>
      </c>
      <c r="DZ1224">
        <v>115</v>
      </c>
      <c r="EA1224">
        <v>1</v>
      </c>
    </row>
    <row r="1225" spans="1:325" ht="20.25">
      <c r="DV1225">
        <v>72</v>
      </c>
      <c r="DW1225" t="s">
        <v>65</v>
      </c>
      <c r="DX1225" s="8">
        <v>43963</v>
      </c>
      <c r="DY1225">
        <v>17</v>
      </c>
      <c r="DZ1225">
        <v>115</v>
      </c>
      <c r="EA1225">
        <v>1</v>
      </c>
    </row>
    <row r="1226" spans="1:325" ht="20.25">
      <c r="DV1226">
        <v>72</v>
      </c>
      <c r="DW1226" t="s">
        <v>65</v>
      </c>
      <c r="DX1226" s="8">
        <v>43964</v>
      </c>
      <c r="DY1226">
        <v>17</v>
      </c>
      <c r="DZ1226">
        <v>115</v>
      </c>
      <c r="EA1226">
        <v>1</v>
      </c>
    </row>
    <row r="1227" spans="1:325" ht="20.25">
      <c r="DV1227">
        <v>72</v>
      </c>
      <c r="DW1227" t="s">
        <v>65</v>
      </c>
      <c r="DX1227" s="8">
        <v>43965</v>
      </c>
      <c r="DY1227">
        <v>18</v>
      </c>
      <c r="DZ1227">
        <v>122</v>
      </c>
      <c r="EA1227">
        <v>1</v>
      </c>
    </row>
    <row r="1228" spans="1:325" ht="20.25">
      <c r="DV1228">
        <v>72</v>
      </c>
      <c r="DW1228" t="s">
        <v>65</v>
      </c>
      <c r="DX1228" s="8">
        <v>43966</v>
      </c>
      <c r="DY1228">
        <v>18</v>
      </c>
      <c r="DZ1228">
        <v>122</v>
      </c>
      <c r="EA1228">
        <v>1</v>
      </c>
    </row>
    <row r="1229" spans="1:325" ht="20.25">
      <c r="DV1229">
        <v>74</v>
      </c>
      <c r="DW1229" t="s">
        <v>47</v>
      </c>
      <c r="DX1229" s="8">
        <v>43914</v>
      </c>
      <c r="DY1229">
        <v>2</v>
      </c>
      <c r="EA1229">
        <v>0</v>
      </c>
    </row>
    <row r="1230" spans="1:325" ht="20.25">
      <c r="DV1230">
        <v>74</v>
      </c>
      <c r="DW1230" t="s">
        <v>47</v>
      </c>
      <c r="DX1230" s="8">
        <v>43915</v>
      </c>
      <c r="DY1230">
        <v>2</v>
      </c>
      <c r="EA1230">
        <v>0</v>
      </c>
    </row>
    <row r="1231" spans="1:325" ht="20.25">
      <c r="DV1231">
        <v>74</v>
      </c>
      <c r="DW1231" t="s">
        <v>47</v>
      </c>
      <c r="DX1231" s="8">
        <v>43916</v>
      </c>
      <c r="DY1231">
        <v>2</v>
      </c>
      <c r="EA1231">
        <v>0</v>
      </c>
    </row>
    <row r="1232" spans="1:325" ht="20.25">
      <c r="DV1232">
        <v>74</v>
      </c>
      <c r="DW1232" t="s">
        <v>47</v>
      </c>
      <c r="DX1232" s="8">
        <v>43917</v>
      </c>
      <c r="DY1232">
        <v>2</v>
      </c>
      <c r="EA1232">
        <v>0</v>
      </c>
    </row>
    <row r="1233" spans="1:325" ht="20.25">
      <c r="DV1233">
        <v>74</v>
      </c>
      <c r="DW1233" t="s">
        <v>47</v>
      </c>
      <c r="DX1233" s="8">
        <v>43918</v>
      </c>
      <c r="DY1233">
        <v>2</v>
      </c>
      <c r="EA1233">
        <v>0</v>
      </c>
    </row>
    <row r="1234" spans="1:325" ht="20.25">
      <c r="DV1234">
        <v>74</v>
      </c>
      <c r="DW1234" t="s">
        <v>47</v>
      </c>
      <c r="DX1234" s="8">
        <v>43919</v>
      </c>
      <c r="DY1234">
        <v>2</v>
      </c>
      <c r="EA1234">
        <v>0</v>
      </c>
    </row>
    <row r="1235" spans="1:325" ht="20.25">
      <c r="DV1235">
        <v>74</v>
      </c>
      <c r="DW1235" t="s">
        <v>47</v>
      </c>
      <c r="DX1235" s="8">
        <v>43920</v>
      </c>
      <c r="DY1235">
        <v>3</v>
      </c>
      <c r="EA1235">
        <v>0</v>
      </c>
    </row>
    <row r="1236" spans="1:325" ht="20.25">
      <c r="DV1236">
        <v>74</v>
      </c>
      <c r="DW1236" t="s">
        <v>47</v>
      </c>
      <c r="DX1236" s="8">
        <v>43921</v>
      </c>
      <c r="DY1236">
        <v>3</v>
      </c>
      <c r="EA1236">
        <v>0</v>
      </c>
    </row>
    <row r="1237" spans="1:325" ht="20.25">
      <c r="DV1237">
        <v>74</v>
      </c>
      <c r="DW1237" t="s">
        <v>47</v>
      </c>
      <c r="DX1237" s="8">
        <v>43922</v>
      </c>
      <c r="DY1237">
        <v>4</v>
      </c>
      <c r="EA1237">
        <v>0</v>
      </c>
    </row>
    <row r="1238" spans="1:325" ht="20.25">
      <c r="DV1238">
        <v>74</v>
      </c>
      <c r="DW1238" t="s">
        <v>47</v>
      </c>
      <c r="DX1238" s="8">
        <v>43923</v>
      </c>
      <c r="DY1238">
        <v>4</v>
      </c>
      <c r="EA1238">
        <v>0</v>
      </c>
    </row>
    <row r="1239" spans="1:325" ht="20.25">
      <c r="DV1239">
        <v>74</v>
      </c>
      <c r="DW1239" t="s">
        <v>47</v>
      </c>
      <c r="DX1239" s="8">
        <v>43924</v>
      </c>
      <c r="DY1239">
        <v>6</v>
      </c>
      <c r="EA1239">
        <v>0</v>
      </c>
    </row>
    <row r="1240" spans="1:325" ht="20.25">
      <c r="DV1240">
        <v>74</v>
      </c>
      <c r="DW1240" t="s">
        <v>47</v>
      </c>
      <c r="DX1240" s="8">
        <v>43925</v>
      </c>
      <c r="DY1240">
        <v>7</v>
      </c>
      <c r="EA1240">
        <v>0</v>
      </c>
    </row>
    <row r="1241" spans="1:325" ht="20.25">
      <c r="DV1241">
        <v>74</v>
      </c>
      <c r="DW1241" t="s">
        <v>47</v>
      </c>
      <c r="DX1241" s="8">
        <v>43926</v>
      </c>
      <c r="DY1241">
        <v>8</v>
      </c>
      <c r="EA1241">
        <v>0</v>
      </c>
    </row>
    <row r="1242" spans="1:325" ht="20.25">
      <c r="DV1242">
        <v>74</v>
      </c>
      <c r="DW1242" t="s">
        <v>47</v>
      </c>
      <c r="DX1242" s="8">
        <v>43927</v>
      </c>
      <c r="DY1242">
        <v>9</v>
      </c>
      <c r="EA1242">
        <v>0</v>
      </c>
    </row>
    <row r="1243" spans="1:325" ht="20.25">
      <c r="DV1243">
        <v>74</v>
      </c>
      <c r="DW1243" t="s">
        <v>47</v>
      </c>
      <c r="DX1243" s="8">
        <v>43928</v>
      </c>
      <c r="DY1243">
        <v>9</v>
      </c>
      <c r="EA1243">
        <v>0</v>
      </c>
    </row>
    <row r="1244" spans="1:325" ht="20.25">
      <c r="DV1244">
        <v>74</v>
      </c>
      <c r="DW1244" t="s">
        <v>47</v>
      </c>
      <c r="DX1244" s="8">
        <v>43929</v>
      </c>
      <c r="DY1244">
        <v>11</v>
      </c>
      <c r="EA1244">
        <v>1</v>
      </c>
    </row>
    <row r="1245" spans="1:325" ht="20.25">
      <c r="DV1245">
        <v>74</v>
      </c>
      <c r="DW1245" t="s">
        <v>47</v>
      </c>
      <c r="DX1245" s="8">
        <v>43930</v>
      </c>
      <c r="DY1245">
        <v>11</v>
      </c>
      <c r="EA1245">
        <v>1</v>
      </c>
    </row>
    <row r="1246" spans="1:325" ht="20.25">
      <c r="DV1246">
        <v>74</v>
      </c>
      <c r="DW1246" t="s">
        <v>47</v>
      </c>
      <c r="DX1246" s="8">
        <v>43931</v>
      </c>
      <c r="DY1246">
        <v>11</v>
      </c>
      <c r="EA1246">
        <v>1</v>
      </c>
    </row>
    <row r="1247" spans="1:325" ht="20.25">
      <c r="DV1247">
        <v>74</v>
      </c>
      <c r="DW1247" t="s">
        <v>47</v>
      </c>
      <c r="DX1247" s="8">
        <v>43932</v>
      </c>
      <c r="DY1247">
        <v>12</v>
      </c>
      <c r="EA1247">
        <v>1</v>
      </c>
    </row>
    <row r="1248" spans="1:325" ht="20.25">
      <c r="DV1248">
        <v>74</v>
      </c>
      <c r="DW1248" t="s">
        <v>47</v>
      </c>
      <c r="DX1248" s="8">
        <v>43933</v>
      </c>
      <c r="DY1248">
        <v>13</v>
      </c>
      <c r="EA1248">
        <v>1</v>
      </c>
    </row>
    <row r="1249" spans="1:325" ht="20.25">
      <c r="DV1249">
        <v>74</v>
      </c>
      <c r="DW1249" t="s">
        <v>47</v>
      </c>
      <c r="DX1249" s="8">
        <v>43934</v>
      </c>
      <c r="DY1249">
        <v>13</v>
      </c>
      <c r="EA1249">
        <v>1</v>
      </c>
    </row>
    <row r="1250" spans="1:325" ht="20.25">
      <c r="DV1250">
        <v>74</v>
      </c>
      <c r="DW1250" t="s">
        <v>47</v>
      </c>
      <c r="DX1250" s="8">
        <v>43935</v>
      </c>
      <c r="DY1250">
        <v>13</v>
      </c>
      <c r="EA1250">
        <v>2</v>
      </c>
    </row>
    <row r="1251" spans="1:325" ht="20.25">
      <c r="DV1251">
        <v>74</v>
      </c>
      <c r="DW1251" t="s">
        <v>47</v>
      </c>
      <c r="DX1251" s="8">
        <v>43936</v>
      </c>
      <c r="DY1251">
        <v>12</v>
      </c>
      <c r="EA1251">
        <v>2</v>
      </c>
    </row>
    <row r="1252" spans="1:325" ht="20.25">
      <c r="DV1252">
        <v>74</v>
      </c>
      <c r="DW1252" t="s">
        <v>47</v>
      </c>
      <c r="DX1252" s="8">
        <v>43937</v>
      </c>
      <c r="DY1252">
        <v>12</v>
      </c>
      <c r="DZ1252">
        <v>148</v>
      </c>
      <c r="EA1252">
        <v>2</v>
      </c>
    </row>
    <row r="1253" spans="1:325" ht="20.25">
      <c r="DV1253">
        <v>74</v>
      </c>
      <c r="DW1253" t="s">
        <v>47</v>
      </c>
      <c r="DX1253" s="8">
        <v>43938</v>
      </c>
      <c r="DY1253">
        <v>10</v>
      </c>
      <c r="DZ1253">
        <v>123</v>
      </c>
      <c r="EA1253">
        <v>2</v>
      </c>
    </row>
    <row r="1254" spans="1:325" ht="20.25">
      <c r="DV1254">
        <v>74</v>
      </c>
      <c r="DW1254" t="s">
        <v>47</v>
      </c>
      <c r="DX1254" s="8">
        <v>43939</v>
      </c>
      <c r="DY1254">
        <v>11</v>
      </c>
      <c r="DZ1254">
        <v>135</v>
      </c>
      <c r="EA1254">
        <v>2</v>
      </c>
    </row>
    <row r="1255" spans="1:325" ht="20.25">
      <c r="DV1255">
        <v>74</v>
      </c>
      <c r="DW1255" t="s">
        <v>47</v>
      </c>
      <c r="DX1255" s="8">
        <v>43940</v>
      </c>
      <c r="DY1255">
        <v>12</v>
      </c>
      <c r="DZ1255">
        <v>148</v>
      </c>
      <c r="EA1255">
        <v>2</v>
      </c>
    </row>
    <row r="1256" spans="1:325" ht="20.25">
      <c r="DV1256">
        <v>74</v>
      </c>
      <c r="DW1256" t="s">
        <v>47</v>
      </c>
      <c r="DX1256" s="8">
        <v>43941</v>
      </c>
      <c r="DY1256">
        <v>14</v>
      </c>
      <c r="DZ1256">
        <v>172</v>
      </c>
      <c r="EA1256">
        <v>2</v>
      </c>
    </row>
    <row r="1257" spans="1:325" ht="20.25">
      <c r="DV1257">
        <v>74</v>
      </c>
      <c r="DW1257" t="s">
        <v>47</v>
      </c>
      <c r="DX1257" s="8">
        <v>43942</v>
      </c>
      <c r="DY1257">
        <v>14</v>
      </c>
      <c r="DZ1257">
        <v>172</v>
      </c>
      <c r="EA1257">
        <v>2</v>
      </c>
    </row>
    <row r="1258" spans="1:325" ht="20.25">
      <c r="DV1258">
        <v>74</v>
      </c>
      <c r="DW1258" t="s">
        <v>47</v>
      </c>
      <c r="DX1258" s="8">
        <v>43943</v>
      </c>
      <c r="DY1258">
        <v>14</v>
      </c>
      <c r="DZ1258">
        <v>172</v>
      </c>
      <c r="EA1258">
        <v>2</v>
      </c>
    </row>
    <row r="1259" spans="1:325" ht="20.25">
      <c r="DV1259">
        <v>74</v>
      </c>
      <c r="DW1259" t="s">
        <v>47</v>
      </c>
      <c r="DX1259" s="8">
        <v>43944</v>
      </c>
      <c r="DY1259">
        <v>15</v>
      </c>
      <c r="DZ1259">
        <v>185</v>
      </c>
      <c r="EA1259">
        <v>2</v>
      </c>
    </row>
    <row r="1260" spans="1:325" ht="20.25">
      <c r="DV1260">
        <v>74</v>
      </c>
      <c r="DW1260" t="s">
        <v>47</v>
      </c>
      <c r="DX1260" s="8">
        <v>43945</v>
      </c>
      <c r="DY1260">
        <v>19</v>
      </c>
      <c r="DZ1260">
        <v>234</v>
      </c>
      <c r="EA1260">
        <v>2</v>
      </c>
    </row>
    <row r="1261" spans="1:325" ht="20.25">
      <c r="DV1261">
        <v>74</v>
      </c>
      <c r="DW1261" t="s">
        <v>47</v>
      </c>
      <c r="DX1261" s="8">
        <v>43946</v>
      </c>
      <c r="DY1261">
        <v>20</v>
      </c>
      <c r="DZ1261">
        <v>246</v>
      </c>
      <c r="EA1261">
        <v>2</v>
      </c>
    </row>
    <row r="1262" spans="1:325" ht="20.25">
      <c r="DV1262">
        <v>74</v>
      </c>
      <c r="DW1262" t="s">
        <v>47</v>
      </c>
      <c r="DX1262" s="8">
        <v>43947</v>
      </c>
      <c r="DY1262">
        <v>20</v>
      </c>
      <c r="DZ1262">
        <v>246</v>
      </c>
      <c r="EA1262">
        <v>2</v>
      </c>
    </row>
    <row r="1263" spans="1:325" ht="20.25">
      <c r="DV1263">
        <v>74</v>
      </c>
      <c r="DW1263" t="s">
        <v>47</v>
      </c>
      <c r="DX1263" s="8">
        <v>43948</v>
      </c>
      <c r="DY1263">
        <v>21</v>
      </c>
      <c r="DZ1263">
        <v>258</v>
      </c>
      <c r="EA1263">
        <v>2</v>
      </c>
    </row>
    <row r="1264" spans="1:325" ht="20.25">
      <c r="DV1264">
        <v>74</v>
      </c>
      <c r="DW1264" t="s">
        <v>47</v>
      </c>
      <c r="DX1264" s="8">
        <v>43949</v>
      </c>
      <c r="DY1264">
        <v>24</v>
      </c>
      <c r="DZ1264">
        <v>295</v>
      </c>
      <c r="EA1264">
        <v>2</v>
      </c>
    </row>
    <row r="1265" spans="1:325" ht="20.25">
      <c r="DV1265">
        <v>74</v>
      </c>
      <c r="DW1265" t="s">
        <v>47</v>
      </c>
      <c r="DX1265" s="8">
        <v>43950</v>
      </c>
      <c r="DY1265">
        <v>24</v>
      </c>
      <c r="DZ1265">
        <v>295</v>
      </c>
      <c r="EA1265">
        <v>2</v>
      </c>
    </row>
    <row r="1266" spans="1:325" ht="20.25">
      <c r="DV1266">
        <v>74</v>
      </c>
      <c r="DW1266" t="s">
        <v>47</v>
      </c>
      <c r="DX1266" s="8">
        <v>43951</v>
      </c>
      <c r="DY1266">
        <v>26</v>
      </c>
      <c r="DZ1266">
        <v>320</v>
      </c>
      <c r="EA1266">
        <v>2</v>
      </c>
    </row>
    <row r="1267" spans="1:325" ht="20.25">
      <c r="DV1267">
        <v>74</v>
      </c>
      <c r="DW1267" t="s">
        <v>47</v>
      </c>
      <c r="DX1267" s="8">
        <v>43952</v>
      </c>
      <c r="DY1267">
        <v>29</v>
      </c>
      <c r="DZ1267">
        <v>357</v>
      </c>
      <c r="EA1267">
        <v>2</v>
      </c>
    </row>
    <row r="1268" spans="1:325" ht="20.25">
      <c r="DV1268">
        <v>74</v>
      </c>
      <c r="DW1268" t="s">
        <v>47</v>
      </c>
      <c r="DX1268" s="8">
        <v>43953</v>
      </c>
      <c r="DY1268">
        <v>29</v>
      </c>
      <c r="DZ1268">
        <v>357</v>
      </c>
      <c r="EA1268">
        <v>2</v>
      </c>
    </row>
    <row r="1269" spans="1:325" ht="20.25">
      <c r="DV1269">
        <v>74</v>
      </c>
      <c r="DW1269" t="s">
        <v>47</v>
      </c>
      <c r="DX1269" s="8">
        <v>43954</v>
      </c>
      <c r="DY1269">
        <v>29</v>
      </c>
      <c r="DZ1269">
        <v>357</v>
      </c>
      <c r="EA1269">
        <v>3</v>
      </c>
    </row>
    <row r="1270" spans="1:325" ht="20.25">
      <c r="DV1270">
        <v>74</v>
      </c>
      <c r="DW1270" t="s">
        <v>47</v>
      </c>
      <c r="DX1270" s="8">
        <v>43955</v>
      </c>
      <c r="DY1270">
        <v>29</v>
      </c>
      <c r="DZ1270">
        <v>357</v>
      </c>
      <c r="EA1270">
        <v>3</v>
      </c>
    </row>
    <row r="1271" spans="1:325" ht="20.25">
      <c r="DV1271">
        <v>74</v>
      </c>
      <c r="DW1271" t="s">
        <v>47</v>
      </c>
      <c r="DX1271" s="8">
        <v>43956</v>
      </c>
      <c r="DY1271">
        <v>30</v>
      </c>
      <c r="DZ1271">
        <v>369</v>
      </c>
      <c r="EA1271">
        <v>3</v>
      </c>
    </row>
    <row r="1272" spans="1:325" ht="20.25">
      <c r="DV1272">
        <v>74</v>
      </c>
      <c r="DW1272" t="s">
        <v>47</v>
      </c>
      <c r="DX1272" s="8">
        <v>43957</v>
      </c>
      <c r="DY1272">
        <v>30</v>
      </c>
      <c r="DZ1272">
        <v>369</v>
      </c>
      <c r="EA1272">
        <v>3</v>
      </c>
    </row>
    <row r="1273" spans="1:325" ht="20.25">
      <c r="DV1273">
        <v>74</v>
      </c>
      <c r="DW1273" t="s">
        <v>47</v>
      </c>
      <c r="DX1273" s="8">
        <v>43958</v>
      </c>
      <c r="DY1273">
        <v>30</v>
      </c>
      <c r="DZ1273">
        <v>369</v>
      </c>
      <c r="EA1273">
        <v>3</v>
      </c>
    </row>
    <row r="1274" spans="1:325" ht="20.25">
      <c r="DV1274">
        <v>74</v>
      </c>
      <c r="DW1274" t="s">
        <v>47</v>
      </c>
      <c r="DX1274" s="8">
        <v>43959</v>
      </c>
      <c r="DY1274">
        <v>31</v>
      </c>
      <c r="DZ1274">
        <v>381</v>
      </c>
      <c r="EA1274">
        <v>3</v>
      </c>
    </row>
    <row r="1275" spans="1:325" ht="20.25">
      <c r="DV1275">
        <v>74</v>
      </c>
      <c r="DW1275" t="s">
        <v>47</v>
      </c>
      <c r="DX1275" s="8">
        <v>43960</v>
      </c>
      <c r="DY1275">
        <v>32</v>
      </c>
      <c r="DZ1275">
        <v>394</v>
      </c>
      <c r="EA1275">
        <v>3</v>
      </c>
    </row>
    <row r="1276" spans="1:325" ht="20.25">
      <c r="DV1276">
        <v>74</v>
      </c>
      <c r="DW1276" t="s">
        <v>47</v>
      </c>
      <c r="DX1276" s="8">
        <v>43961</v>
      </c>
      <c r="DY1276">
        <v>32</v>
      </c>
      <c r="DZ1276">
        <v>394</v>
      </c>
      <c r="EA1276">
        <v>3</v>
      </c>
    </row>
    <row r="1277" spans="1:325" ht="20.25">
      <c r="DV1277">
        <v>74</v>
      </c>
      <c r="DW1277" t="s">
        <v>47</v>
      </c>
      <c r="DX1277" s="8">
        <v>43962</v>
      </c>
      <c r="DY1277">
        <v>32</v>
      </c>
      <c r="DZ1277">
        <v>394</v>
      </c>
      <c r="EA1277">
        <v>3</v>
      </c>
    </row>
    <row r="1278" spans="1:325" ht="20.25">
      <c r="DV1278">
        <v>74</v>
      </c>
      <c r="DW1278" t="s">
        <v>47</v>
      </c>
      <c r="DX1278" s="8">
        <v>43963</v>
      </c>
      <c r="DY1278">
        <v>34</v>
      </c>
      <c r="DZ1278">
        <v>418</v>
      </c>
      <c r="EA1278">
        <v>3</v>
      </c>
    </row>
    <row r="1279" spans="1:325" ht="20.25">
      <c r="DV1279">
        <v>74</v>
      </c>
      <c r="DW1279" t="s">
        <v>47</v>
      </c>
      <c r="DX1279" s="8">
        <v>43964</v>
      </c>
      <c r="DY1279">
        <v>33</v>
      </c>
      <c r="DZ1279">
        <v>406</v>
      </c>
      <c r="EA1279">
        <v>4</v>
      </c>
    </row>
    <row r="1280" spans="1:325" ht="20.25">
      <c r="DV1280">
        <v>74</v>
      </c>
      <c r="DW1280" t="s">
        <v>47</v>
      </c>
      <c r="DX1280" s="8">
        <v>43965</v>
      </c>
      <c r="DY1280">
        <v>34</v>
      </c>
      <c r="DZ1280">
        <v>418</v>
      </c>
      <c r="EA1280">
        <v>3</v>
      </c>
    </row>
    <row r="1281" spans="1:325" ht="20.25">
      <c r="DV1281">
        <v>74</v>
      </c>
      <c r="DW1281" t="s">
        <v>47</v>
      </c>
      <c r="DX1281" s="8">
        <v>43966</v>
      </c>
      <c r="DY1281">
        <v>35</v>
      </c>
      <c r="DZ1281">
        <v>431</v>
      </c>
      <c r="EA1281">
        <v>3</v>
      </c>
    </row>
    <row r="1282" spans="1:325" ht="20.25">
      <c r="DV1282">
        <v>77</v>
      </c>
      <c r="DW1282" t="s">
        <v>67</v>
      </c>
      <c r="DX1282" s="8">
        <v>43914</v>
      </c>
      <c r="DY1282">
        <v>5</v>
      </c>
      <c r="EA1282">
        <v>0</v>
      </c>
    </row>
    <row r="1283" spans="1:325" ht="20.25">
      <c r="DV1283">
        <v>77</v>
      </c>
      <c r="DW1283" t="s">
        <v>67</v>
      </c>
      <c r="DX1283" s="8">
        <v>43915</v>
      </c>
      <c r="DY1283">
        <v>6</v>
      </c>
      <c r="EA1283">
        <v>0</v>
      </c>
    </row>
    <row r="1284" spans="1:325" ht="20.25">
      <c r="DV1284">
        <v>77</v>
      </c>
      <c r="DW1284" t="s">
        <v>67</v>
      </c>
      <c r="DX1284" s="8">
        <v>43916</v>
      </c>
      <c r="DY1284">
        <v>8</v>
      </c>
      <c r="EA1284">
        <v>0</v>
      </c>
    </row>
    <row r="1285" spans="1:325" ht="20.25">
      <c r="DV1285">
        <v>77</v>
      </c>
      <c r="DW1285" t="s">
        <v>67</v>
      </c>
      <c r="DX1285" s="8">
        <v>43917</v>
      </c>
      <c r="DY1285">
        <v>12</v>
      </c>
      <c r="EA1285">
        <v>0</v>
      </c>
    </row>
    <row r="1286" spans="1:325" ht="20.25">
      <c r="DV1286">
        <v>77</v>
      </c>
      <c r="DW1286" t="s">
        <v>67</v>
      </c>
      <c r="DX1286" s="8">
        <v>43918</v>
      </c>
      <c r="DY1286">
        <v>12</v>
      </c>
      <c r="EA1286">
        <v>0</v>
      </c>
    </row>
    <row r="1287" spans="1:325" ht="20.25">
      <c r="DV1287">
        <v>77</v>
      </c>
      <c r="DW1287" t="s">
        <v>67</v>
      </c>
      <c r="DX1287" s="8">
        <v>43919</v>
      </c>
      <c r="DY1287">
        <v>16</v>
      </c>
      <c r="EA1287">
        <v>0</v>
      </c>
    </row>
    <row r="1288" spans="1:325" ht="20.25">
      <c r="DV1288">
        <v>77</v>
      </c>
      <c r="DW1288" t="s">
        <v>67</v>
      </c>
      <c r="DX1288" s="8">
        <v>43920</v>
      </c>
      <c r="DY1288">
        <v>19</v>
      </c>
      <c r="EA1288">
        <v>1</v>
      </c>
    </row>
    <row r="1289" spans="1:325" ht="20.25">
      <c r="DV1289">
        <v>77</v>
      </c>
      <c r="DW1289" t="s">
        <v>67</v>
      </c>
      <c r="DX1289" s="8">
        <v>43921</v>
      </c>
      <c r="DY1289">
        <v>23</v>
      </c>
      <c r="EA1289">
        <v>1</v>
      </c>
    </row>
    <row r="1290" spans="1:325" ht="20.25">
      <c r="DV1290">
        <v>77</v>
      </c>
      <c r="DW1290" t="s">
        <v>67</v>
      </c>
      <c r="DX1290" s="8">
        <v>43922</v>
      </c>
      <c r="DY1290">
        <v>28</v>
      </c>
      <c r="EA1290">
        <v>1</v>
      </c>
    </row>
    <row r="1291" spans="1:325" ht="20.25">
      <c r="DV1291">
        <v>77</v>
      </c>
      <c r="DW1291" t="s">
        <v>67</v>
      </c>
      <c r="DX1291" s="8">
        <v>43923</v>
      </c>
      <c r="DY1291">
        <v>36</v>
      </c>
      <c r="EA1291">
        <v>1</v>
      </c>
    </row>
    <row r="1292" spans="1:325" ht="20.25">
      <c r="DV1292">
        <v>77</v>
      </c>
      <c r="DW1292" t="s">
        <v>67</v>
      </c>
      <c r="DX1292" s="8">
        <v>43924</v>
      </c>
      <c r="DY1292">
        <v>51</v>
      </c>
      <c r="EA1292">
        <v>1</v>
      </c>
    </row>
    <row r="1293" spans="1:325" ht="20.25">
      <c r="DV1293">
        <v>77</v>
      </c>
      <c r="DW1293" t="s">
        <v>67</v>
      </c>
      <c r="DX1293" s="8">
        <v>43925</v>
      </c>
      <c r="DY1293">
        <v>61</v>
      </c>
      <c r="EA1293">
        <v>3</v>
      </c>
    </row>
    <row r="1294" spans="1:325" ht="20.25">
      <c r="DV1294">
        <v>77</v>
      </c>
      <c r="DW1294" t="s">
        <v>67</v>
      </c>
      <c r="DX1294" s="8">
        <v>43926</v>
      </c>
      <c r="DY1294">
        <v>62</v>
      </c>
      <c r="EA1294">
        <v>3</v>
      </c>
    </row>
    <row r="1295" spans="1:325" ht="20.25">
      <c r="DV1295">
        <v>77</v>
      </c>
      <c r="DW1295" t="s">
        <v>67</v>
      </c>
      <c r="DX1295" s="8">
        <v>43927</v>
      </c>
      <c r="DY1295">
        <v>80</v>
      </c>
      <c r="EA1295">
        <v>3</v>
      </c>
    </row>
    <row r="1296" spans="1:325" ht="20.25">
      <c r="DV1296">
        <v>77</v>
      </c>
      <c r="DW1296" t="s">
        <v>67</v>
      </c>
      <c r="DX1296" s="8">
        <v>43928</v>
      </c>
      <c r="DY1296">
        <v>87</v>
      </c>
      <c r="EA1296">
        <v>5</v>
      </c>
    </row>
    <row r="1297" spans="1:325" ht="20.25">
      <c r="DV1297">
        <v>77</v>
      </c>
      <c r="DW1297" t="s">
        <v>67</v>
      </c>
      <c r="DX1297" s="8">
        <v>43929</v>
      </c>
      <c r="DY1297">
        <v>103</v>
      </c>
      <c r="EA1297">
        <v>8</v>
      </c>
    </row>
    <row r="1298" spans="1:325" ht="20.25">
      <c r="DV1298">
        <v>77</v>
      </c>
      <c r="DW1298" t="s">
        <v>67</v>
      </c>
      <c r="DX1298" s="8">
        <v>43930</v>
      </c>
      <c r="DY1298">
        <v>110</v>
      </c>
      <c r="EA1298">
        <v>8</v>
      </c>
    </row>
    <row r="1299" spans="1:325" ht="20.25">
      <c r="DV1299">
        <v>77</v>
      </c>
      <c r="DW1299" t="s">
        <v>67</v>
      </c>
      <c r="DX1299" s="8">
        <v>43931</v>
      </c>
      <c r="DY1299">
        <v>120</v>
      </c>
      <c r="EA1299">
        <v>8</v>
      </c>
    </row>
    <row r="1300" spans="1:325" ht="20.25">
      <c r="DV1300">
        <v>77</v>
      </c>
      <c r="DW1300" t="s">
        <v>67</v>
      </c>
      <c r="DX1300" s="8">
        <v>43932</v>
      </c>
      <c r="DY1300">
        <v>134</v>
      </c>
      <c r="EA1300">
        <v>8</v>
      </c>
    </row>
    <row r="1301" spans="1:325" ht="20.25">
      <c r="DV1301">
        <v>77</v>
      </c>
      <c r="DW1301" t="s">
        <v>67</v>
      </c>
      <c r="DX1301" s="8">
        <v>43933</v>
      </c>
      <c r="DY1301">
        <v>136</v>
      </c>
      <c r="EA1301">
        <v>9</v>
      </c>
    </row>
    <row r="1302" spans="1:325" ht="20.25">
      <c r="DV1302">
        <v>77</v>
      </c>
      <c r="DW1302" t="s">
        <v>67</v>
      </c>
      <c r="DX1302" s="8">
        <v>43934</v>
      </c>
      <c r="DY1302">
        <v>152</v>
      </c>
      <c r="EA1302">
        <v>9</v>
      </c>
    </row>
    <row r="1303" spans="1:325" ht="20.25">
      <c r="DV1303">
        <v>77</v>
      </c>
      <c r="DW1303" t="s">
        <v>67</v>
      </c>
      <c r="DX1303" s="8">
        <v>43935</v>
      </c>
      <c r="DY1303">
        <v>159</v>
      </c>
      <c r="EA1303">
        <v>8</v>
      </c>
    </row>
    <row r="1304" spans="1:325" ht="20.25">
      <c r="DV1304">
        <v>77</v>
      </c>
      <c r="DW1304" t="s">
        <v>67</v>
      </c>
      <c r="DX1304" s="8">
        <v>43936</v>
      </c>
      <c r="DY1304">
        <v>167</v>
      </c>
      <c r="EA1304">
        <v>14</v>
      </c>
    </row>
    <row r="1305" spans="1:325" ht="20.25">
      <c r="DV1305">
        <v>77</v>
      </c>
      <c r="DW1305" t="s">
        <v>67</v>
      </c>
      <c r="DX1305" s="8">
        <v>43937</v>
      </c>
      <c r="DY1305">
        <v>194</v>
      </c>
      <c r="DZ1305">
        <v>336</v>
      </c>
      <c r="EA1305">
        <v>18</v>
      </c>
    </row>
    <row r="1306" spans="1:325" ht="20.25">
      <c r="DV1306">
        <v>77</v>
      </c>
      <c r="DW1306" t="s">
        <v>67</v>
      </c>
      <c r="DX1306" s="8">
        <v>43938</v>
      </c>
      <c r="DY1306">
        <v>204</v>
      </c>
      <c r="DZ1306">
        <v>354</v>
      </c>
      <c r="EA1306">
        <v>19</v>
      </c>
    </row>
    <row r="1307" spans="1:325" ht="20.25">
      <c r="DV1307">
        <v>77</v>
      </c>
      <c r="DW1307" t="s">
        <v>67</v>
      </c>
      <c r="DX1307" s="8">
        <v>43939</v>
      </c>
      <c r="DY1307">
        <v>214</v>
      </c>
      <c r="DZ1307">
        <v>371</v>
      </c>
      <c r="EA1307">
        <v>20</v>
      </c>
    </row>
    <row r="1308" spans="1:325" ht="20.25">
      <c r="DV1308">
        <v>77</v>
      </c>
      <c r="DW1308" t="s">
        <v>67</v>
      </c>
      <c r="DX1308" s="8">
        <v>43940</v>
      </c>
      <c r="DY1308">
        <v>228</v>
      </c>
      <c r="DZ1308">
        <v>395</v>
      </c>
      <c r="EA1308">
        <v>21</v>
      </c>
    </row>
    <row r="1309" spans="1:325" ht="20.25">
      <c r="DV1309">
        <v>77</v>
      </c>
      <c r="DW1309" t="s">
        <v>67</v>
      </c>
      <c r="DX1309" s="8">
        <v>43941</v>
      </c>
      <c r="DY1309">
        <v>249</v>
      </c>
      <c r="DZ1309">
        <v>432</v>
      </c>
      <c r="EA1309">
        <v>25</v>
      </c>
    </row>
    <row r="1310" spans="1:325" ht="20.25">
      <c r="DV1310">
        <v>77</v>
      </c>
      <c r="DW1310" t="s">
        <v>67</v>
      </c>
      <c r="DX1310" s="8">
        <v>43942</v>
      </c>
      <c r="DY1310">
        <v>254</v>
      </c>
      <c r="DZ1310">
        <v>440</v>
      </c>
      <c r="EA1310">
        <v>26</v>
      </c>
    </row>
    <row r="1311" spans="1:325" ht="20.25">
      <c r="DV1311">
        <v>77</v>
      </c>
      <c r="DW1311" t="s">
        <v>67</v>
      </c>
      <c r="DX1311" s="8">
        <v>43943</v>
      </c>
      <c r="DY1311">
        <v>262</v>
      </c>
      <c r="DZ1311">
        <v>454</v>
      </c>
      <c r="EA1311">
        <v>27</v>
      </c>
    </row>
    <row r="1312" spans="1:325" ht="20.25">
      <c r="DV1312">
        <v>77</v>
      </c>
      <c r="DW1312" t="s">
        <v>67</v>
      </c>
      <c r="DX1312" s="8">
        <v>43944</v>
      </c>
      <c r="DY1312">
        <v>278</v>
      </c>
      <c r="DZ1312">
        <v>482</v>
      </c>
      <c r="EA1312">
        <v>28</v>
      </c>
    </row>
    <row r="1313" spans="1:325" ht="20.25">
      <c r="DV1313">
        <v>77</v>
      </c>
      <c r="DW1313" t="s">
        <v>67</v>
      </c>
      <c r="DX1313" s="8">
        <v>43945</v>
      </c>
      <c r="DY1313">
        <v>290</v>
      </c>
      <c r="DZ1313">
        <v>503</v>
      </c>
      <c r="EA1313">
        <v>29</v>
      </c>
    </row>
    <row r="1314" spans="1:325" ht="20.25">
      <c r="DV1314">
        <v>77</v>
      </c>
      <c r="DW1314" t="s">
        <v>67</v>
      </c>
      <c r="DX1314" s="8">
        <v>43946</v>
      </c>
      <c r="DY1314">
        <v>299</v>
      </c>
      <c r="DZ1314">
        <v>518</v>
      </c>
      <c r="EA1314">
        <v>32</v>
      </c>
    </row>
    <row r="1315" spans="1:325" ht="20.25">
      <c r="DV1315">
        <v>77</v>
      </c>
      <c r="DW1315" t="s">
        <v>67</v>
      </c>
      <c r="DX1315" s="8">
        <v>43947</v>
      </c>
      <c r="DY1315">
        <v>313</v>
      </c>
      <c r="DZ1315">
        <v>542</v>
      </c>
      <c r="EA1315">
        <v>34</v>
      </c>
    </row>
    <row r="1316" spans="1:325" ht="20.25">
      <c r="DV1316">
        <v>77</v>
      </c>
      <c r="DW1316" t="s">
        <v>67</v>
      </c>
      <c r="DX1316" s="8">
        <v>43948</v>
      </c>
      <c r="DY1316">
        <v>316</v>
      </c>
      <c r="DZ1316">
        <v>548</v>
      </c>
      <c r="EA1316">
        <v>36</v>
      </c>
    </row>
    <row r="1317" spans="1:325" ht="20.25">
      <c r="DV1317">
        <v>77</v>
      </c>
      <c r="DW1317" t="s">
        <v>67</v>
      </c>
      <c r="DX1317" s="8">
        <v>43949</v>
      </c>
      <c r="DY1317">
        <v>322</v>
      </c>
      <c r="DZ1317">
        <v>558</v>
      </c>
      <c r="EA1317">
        <v>37</v>
      </c>
    </row>
    <row r="1318" spans="1:325" ht="20.25">
      <c r="DV1318">
        <v>77</v>
      </c>
      <c r="DW1318" t="s">
        <v>67</v>
      </c>
      <c r="DX1318" s="8">
        <v>43950</v>
      </c>
      <c r="DY1318">
        <v>326</v>
      </c>
      <c r="DZ1318">
        <v>565</v>
      </c>
      <c r="EA1318">
        <v>39</v>
      </c>
    </row>
    <row r="1319" spans="1:325" ht="20.25">
      <c r="DV1319">
        <v>77</v>
      </c>
      <c r="DW1319" t="s">
        <v>67</v>
      </c>
      <c r="DX1319" s="8">
        <v>43951</v>
      </c>
      <c r="DY1319">
        <v>334</v>
      </c>
      <c r="DZ1319">
        <v>579</v>
      </c>
      <c r="EA1319">
        <v>38</v>
      </c>
    </row>
    <row r="1320" spans="1:325" ht="20.25">
      <c r="DV1320">
        <v>77</v>
      </c>
      <c r="DW1320" t="s">
        <v>67</v>
      </c>
      <c r="DX1320" s="8">
        <v>43952</v>
      </c>
      <c r="DY1320">
        <v>345</v>
      </c>
      <c r="DZ1320">
        <v>598</v>
      </c>
      <c r="EA1320">
        <v>42</v>
      </c>
    </row>
    <row r="1321" spans="1:325" ht="20.25">
      <c r="DV1321">
        <v>77</v>
      </c>
      <c r="DW1321" t="s">
        <v>67</v>
      </c>
      <c r="DX1321" s="8">
        <v>43953</v>
      </c>
      <c r="DY1321">
        <v>355</v>
      </c>
      <c r="DZ1321">
        <v>615</v>
      </c>
      <c r="EA1321">
        <v>44</v>
      </c>
    </row>
    <row r="1322" spans="1:325" ht="20.25">
      <c r="DV1322">
        <v>77</v>
      </c>
      <c r="DW1322" t="s">
        <v>67</v>
      </c>
      <c r="DX1322" s="8">
        <v>43954</v>
      </c>
      <c r="DY1322">
        <v>360</v>
      </c>
      <c r="DZ1322">
        <v>624</v>
      </c>
      <c r="EA1322">
        <v>44</v>
      </c>
    </row>
    <row r="1323" spans="1:325" ht="20.25">
      <c r="DV1323">
        <v>77</v>
      </c>
      <c r="DW1323" t="s">
        <v>67</v>
      </c>
      <c r="DX1323" s="8">
        <v>43955</v>
      </c>
      <c r="DY1323">
        <v>366</v>
      </c>
      <c r="DZ1323">
        <v>634</v>
      </c>
      <c r="EA1323">
        <v>44</v>
      </c>
    </row>
    <row r="1324" spans="1:325" ht="20.25">
      <c r="DV1324">
        <v>77</v>
      </c>
      <c r="DW1324" t="s">
        <v>67</v>
      </c>
      <c r="DX1324" s="8">
        <v>43956</v>
      </c>
      <c r="DY1324">
        <v>387</v>
      </c>
      <c r="DZ1324">
        <v>671</v>
      </c>
      <c r="EA1324">
        <v>46</v>
      </c>
    </row>
    <row r="1325" spans="1:325" ht="20.25">
      <c r="DV1325">
        <v>77</v>
      </c>
      <c r="DW1325" t="s">
        <v>67</v>
      </c>
      <c r="DX1325" s="8">
        <v>43957</v>
      </c>
      <c r="DY1325">
        <v>403</v>
      </c>
      <c r="DZ1325">
        <v>698</v>
      </c>
      <c r="EA1325">
        <v>49</v>
      </c>
    </row>
    <row r="1326" spans="1:325" ht="20.25">
      <c r="DV1326">
        <v>77</v>
      </c>
      <c r="DW1326" t="s">
        <v>67</v>
      </c>
      <c r="DX1326" s="8">
        <v>43958</v>
      </c>
      <c r="DY1326">
        <v>421</v>
      </c>
      <c r="DZ1326">
        <v>730</v>
      </c>
      <c r="EA1326">
        <v>49</v>
      </c>
    </row>
    <row r="1327" spans="1:325" ht="20.25">
      <c r="DV1327">
        <v>77</v>
      </c>
      <c r="DW1327" t="s">
        <v>67</v>
      </c>
      <c r="DX1327" s="8">
        <v>43959</v>
      </c>
      <c r="DY1327">
        <v>425</v>
      </c>
      <c r="DZ1327">
        <v>737</v>
      </c>
      <c r="EA1327">
        <v>48</v>
      </c>
    </row>
    <row r="1328" spans="1:325" ht="20.25">
      <c r="DV1328">
        <v>77</v>
      </c>
      <c r="DW1328" t="s">
        <v>67</v>
      </c>
      <c r="DX1328" s="8">
        <v>43960</v>
      </c>
      <c r="DY1328">
        <v>431</v>
      </c>
      <c r="DZ1328">
        <v>747</v>
      </c>
      <c r="EA1328">
        <v>49</v>
      </c>
    </row>
    <row r="1329" spans="1:325" ht="20.25">
      <c r="DV1329">
        <v>77</v>
      </c>
      <c r="DW1329" t="s">
        <v>67</v>
      </c>
      <c r="DX1329" s="8">
        <v>43961</v>
      </c>
      <c r="DY1329">
        <v>433</v>
      </c>
      <c r="DZ1329">
        <v>750</v>
      </c>
      <c r="EA1329">
        <v>50</v>
      </c>
    </row>
    <row r="1330" spans="1:325" ht="20.25">
      <c r="DV1330">
        <v>77</v>
      </c>
      <c r="DW1330" t="s">
        <v>67</v>
      </c>
      <c r="DX1330" s="8">
        <v>43962</v>
      </c>
      <c r="DY1330">
        <v>449</v>
      </c>
      <c r="DZ1330">
        <v>778</v>
      </c>
      <c r="EA1330">
        <v>51</v>
      </c>
    </row>
    <row r="1331" spans="1:325" ht="20.25">
      <c r="DV1331">
        <v>77</v>
      </c>
      <c r="DW1331" t="s">
        <v>67</v>
      </c>
      <c r="DX1331" s="8">
        <v>43963</v>
      </c>
      <c r="DY1331">
        <v>455</v>
      </c>
      <c r="DZ1331">
        <v>789</v>
      </c>
      <c r="EA1331">
        <v>53</v>
      </c>
    </row>
    <row r="1332" spans="1:325" ht="20.25">
      <c r="DV1332">
        <v>77</v>
      </c>
      <c r="DW1332" t="s">
        <v>67</v>
      </c>
      <c r="DX1332" s="8">
        <v>43964</v>
      </c>
      <c r="DY1332">
        <v>488</v>
      </c>
      <c r="DZ1332">
        <v>846</v>
      </c>
      <c r="EA1332">
        <v>54</v>
      </c>
    </row>
    <row r="1333" spans="1:325" ht="20.25">
      <c r="DV1333">
        <v>77</v>
      </c>
      <c r="DW1333" t="s">
        <v>67</v>
      </c>
      <c r="DX1333" s="8">
        <v>43965</v>
      </c>
      <c r="DY1333">
        <v>514</v>
      </c>
      <c r="DZ1333">
        <v>891</v>
      </c>
      <c r="EA1333">
        <v>58</v>
      </c>
    </row>
    <row r="1334" spans="1:325" ht="20.25">
      <c r="DV1334">
        <v>77</v>
      </c>
      <c r="DW1334" t="s">
        <v>67</v>
      </c>
      <c r="DX1334" s="8">
        <v>43966</v>
      </c>
      <c r="DY1334">
        <v>523</v>
      </c>
      <c r="DZ1334">
        <v>906</v>
      </c>
      <c r="EA1334">
        <v>59</v>
      </c>
    </row>
    <row r="1335" spans="1:325" ht="20.25">
      <c r="DV1335">
        <v>79</v>
      </c>
      <c r="DW1335" t="s">
        <v>68</v>
      </c>
      <c r="DX1335" s="8">
        <v>43914</v>
      </c>
      <c r="DY1335">
        <v>0</v>
      </c>
      <c r="EA1335">
        <v>0</v>
      </c>
    </row>
    <row r="1336" spans="1:325" ht="20.25">
      <c r="DV1336">
        <v>79</v>
      </c>
      <c r="DW1336" t="s">
        <v>68</v>
      </c>
      <c r="DX1336" s="8">
        <v>43915</v>
      </c>
      <c r="DY1336">
        <v>0</v>
      </c>
      <c r="EA1336">
        <v>0</v>
      </c>
    </row>
    <row r="1337" spans="1:325" ht="20.25">
      <c r="DV1337">
        <v>79</v>
      </c>
      <c r="DW1337" t="s">
        <v>68</v>
      </c>
      <c r="DX1337" s="8">
        <v>43916</v>
      </c>
      <c r="DY1337">
        <v>0</v>
      </c>
      <c r="EA1337">
        <v>0</v>
      </c>
    </row>
    <row r="1338" spans="1:325" ht="20.25">
      <c r="DV1338">
        <v>79</v>
      </c>
      <c r="DW1338" t="s">
        <v>68</v>
      </c>
      <c r="DX1338" s="8">
        <v>43917</v>
      </c>
      <c r="DY1338">
        <v>2</v>
      </c>
      <c r="EA1338">
        <v>0</v>
      </c>
    </row>
    <row r="1339" spans="1:325" ht="20.25">
      <c r="DV1339">
        <v>79</v>
      </c>
      <c r="DW1339" t="s">
        <v>68</v>
      </c>
      <c r="DX1339" s="8">
        <v>43918</v>
      </c>
      <c r="DY1339">
        <v>2</v>
      </c>
      <c r="EA1339">
        <v>0</v>
      </c>
    </row>
    <row r="1340" spans="1:325" ht="20.25">
      <c r="DV1340">
        <v>79</v>
      </c>
      <c r="DW1340" t="s">
        <v>68</v>
      </c>
      <c r="DX1340" s="8">
        <v>43919</v>
      </c>
      <c r="DY1340">
        <v>2</v>
      </c>
      <c r="EA1340">
        <v>0</v>
      </c>
    </row>
    <row r="1341" spans="1:325" ht="20.25">
      <c r="DV1341">
        <v>79</v>
      </c>
      <c r="DW1341" t="s">
        <v>68</v>
      </c>
      <c r="DX1341" s="8">
        <v>43920</v>
      </c>
      <c r="DY1341">
        <v>2</v>
      </c>
      <c r="EA1341">
        <v>0</v>
      </c>
    </row>
    <row r="1342" spans="1:325" ht="20.25">
      <c r="DV1342">
        <v>79</v>
      </c>
      <c r="DW1342" t="s">
        <v>68</v>
      </c>
      <c r="DX1342" s="8">
        <v>43921</v>
      </c>
      <c r="DY1342">
        <v>2</v>
      </c>
      <c r="EA1342">
        <v>0</v>
      </c>
    </row>
    <row r="1343" spans="1:325" ht="20.25">
      <c r="DV1343">
        <v>79</v>
      </c>
      <c r="DW1343" t="s">
        <v>68</v>
      </c>
      <c r="DX1343" s="8">
        <v>43922</v>
      </c>
      <c r="DY1343">
        <v>3</v>
      </c>
      <c r="EA1343">
        <v>0</v>
      </c>
    </row>
    <row r="1344" spans="1:325" ht="20.25">
      <c r="DV1344">
        <v>79</v>
      </c>
      <c r="DW1344" t="s">
        <v>68</v>
      </c>
      <c r="DX1344" s="8">
        <v>43923</v>
      </c>
      <c r="DY1344">
        <v>3</v>
      </c>
      <c r="EA1344">
        <v>0</v>
      </c>
    </row>
    <row r="1345" spans="1:325" ht="20.25">
      <c r="DV1345">
        <v>79</v>
      </c>
      <c r="DW1345" t="s">
        <v>68</v>
      </c>
      <c r="DX1345" s="8">
        <v>43924</v>
      </c>
      <c r="DY1345">
        <v>3</v>
      </c>
      <c r="EA1345">
        <v>0</v>
      </c>
    </row>
    <row r="1346" spans="1:325" ht="20.25">
      <c r="DV1346">
        <v>79</v>
      </c>
      <c r="DW1346" t="s">
        <v>68</v>
      </c>
      <c r="DX1346" s="8">
        <v>43925</v>
      </c>
      <c r="DY1346">
        <v>5</v>
      </c>
      <c r="EA1346">
        <v>0</v>
      </c>
    </row>
    <row r="1347" spans="1:325" ht="20.25">
      <c r="DV1347">
        <v>79</v>
      </c>
      <c r="DW1347" t="s">
        <v>68</v>
      </c>
      <c r="DX1347" s="8">
        <v>43926</v>
      </c>
      <c r="DY1347">
        <v>5</v>
      </c>
      <c r="EA1347">
        <v>0</v>
      </c>
    </row>
    <row r="1348" spans="1:325" ht="20.25">
      <c r="DV1348">
        <v>79</v>
      </c>
      <c r="DW1348" t="s">
        <v>68</v>
      </c>
      <c r="DX1348" s="8">
        <v>43927</v>
      </c>
      <c r="DY1348">
        <v>5</v>
      </c>
      <c r="EA1348">
        <v>0</v>
      </c>
    </row>
    <row r="1349" spans="1:325" ht="20.25">
      <c r="DV1349">
        <v>79</v>
      </c>
      <c r="DW1349" t="s">
        <v>68</v>
      </c>
      <c r="DX1349" s="8">
        <v>43928</v>
      </c>
      <c r="DY1349">
        <v>5</v>
      </c>
      <c r="EA1349">
        <v>0</v>
      </c>
    </row>
    <row r="1350" spans="1:325" ht="20.25">
      <c r="DV1350">
        <v>79</v>
      </c>
      <c r="DW1350" t="s">
        <v>68</v>
      </c>
      <c r="DX1350" s="8">
        <v>43929</v>
      </c>
      <c r="DY1350">
        <v>7</v>
      </c>
      <c r="EA1350">
        <v>0</v>
      </c>
    </row>
    <row r="1351" spans="1:325" ht="20.25">
      <c r="DV1351">
        <v>79</v>
      </c>
      <c r="DW1351" t="s">
        <v>68</v>
      </c>
      <c r="DX1351" s="8">
        <v>43930</v>
      </c>
      <c r="DY1351">
        <v>8</v>
      </c>
      <c r="EA1351">
        <v>0</v>
      </c>
    </row>
    <row r="1352" spans="1:325" ht="20.25">
      <c r="DV1352">
        <v>79</v>
      </c>
      <c r="DW1352" t="s">
        <v>68</v>
      </c>
      <c r="DX1352" s="8">
        <v>43931</v>
      </c>
      <c r="DY1352">
        <v>9</v>
      </c>
      <c r="EA1352">
        <v>0</v>
      </c>
    </row>
    <row r="1353" spans="1:325" ht="20.25">
      <c r="DV1353">
        <v>79</v>
      </c>
      <c r="DW1353" t="s">
        <v>68</v>
      </c>
      <c r="DX1353" s="8">
        <v>43932</v>
      </c>
      <c r="DY1353">
        <v>9</v>
      </c>
      <c r="EA1353">
        <v>0</v>
      </c>
    </row>
    <row r="1354" spans="1:325" ht="20.25">
      <c r="DV1354">
        <v>79</v>
      </c>
      <c r="DW1354" t="s">
        <v>68</v>
      </c>
      <c r="DX1354" s="8">
        <v>43933</v>
      </c>
      <c r="DY1354">
        <v>10</v>
      </c>
      <c r="EA1354">
        <v>0</v>
      </c>
    </row>
    <row r="1355" spans="1:325" ht="20.25">
      <c r="DV1355">
        <v>79</v>
      </c>
      <c r="DW1355" t="s">
        <v>68</v>
      </c>
      <c r="DX1355" s="8">
        <v>43934</v>
      </c>
      <c r="DY1355">
        <v>13</v>
      </c>
      <c r="EA1355">
        <v>0</v>
      </c>
    </row>
    <row r="1356" spans="1:325" ht="20.25">
      <c r="DV1356">
        <v>79</v>
      </c>
      <c r="DW1356" t="s">
        <v>68</v>
      </c>
      <c r="DX1356" s="8">
        <v>43935</v>
      </c>
      <c r="DY1356">
        <v>14</v>
      </c>
      <c r="EA1356">
        <v>0</v>
      </c>
    </row>
    <row r="1357" spans="1:325" ht="20.25">
      <c r="DV1357">
        <v>79</v>
      </c>
      <c r="DW1357" t="s">
        <v>68</v>
      </c>
      <c r="DX1357" s="8">
        <v>43936</v>
      </c>
      <c r="DY1357">
        <v>15</v>
      </c>
      <c r="EA1357">
        <v>0</v>
      </c>
    </row>
    <row r="1358" spans="1:325" ht="20.25">
      <c r="DV1358">
        <v>79</v>
      </c>
      <c r="DW1358" t="s">
        <v>68</v>
      </c>
      <c r="DX1358" s="8">
        <v>43937</v>
      </c>
      <c r="DY1358">
        <v>15</v>
      </c>
      <c r="DZ1358">
        <v>236</v>
      </c>
      <c r="EA1358">
        <v>0</v>
      </c>
    </row>
    <row r="1359" spans="1:325" ht="20.25">
      <c r="DV1359">
        <v>79</v>
      </c>
      <c r="DW1359" t="s">
        <v>68</v>
      </c>
      <c r="DX1359" s="8">
        <v>43938</v>
      </c>
      <c r="DY1359">
        <v>16</v>
      </c>
      <c r="DZ1359">
        <v>252</v>
      </c>
      <c r="EA1359">
        <v>0</v>
      </c>
    </row>
    <row r="1360" spans="1:325" ht="20.25">
      <c r="DV1360">
        <v>79</v>
      </c>
      <c r="DW1360" t="s">
        <v>68</v>
      </c>
      <c r="DX1360" s="8">
        <v>43939</v>
      </c>
      <c r="DY1360">
        <v>17</v>
      </c>
      <c r="DZ1360">
        <v>267</v>
      </c>
      <c r="EA1360">
        <v>0</v>
      </c>
    </row>
    <row r="1361" spans="1:325" ht="20.25">
      <c r="DV1361">
        <v>79</v>
      </c>
      <c r="DW1361" t="s">
        <v>68</v>
      </c>
      <c r="DX1361" s="8">
        <v>43940</v>
      </c>
      <c r="DY1361">
        <v>19</v>
      </c>
      <c r="DZ1361">
        <v>299</v>
      </c>
      <c r="EA1361">
        <v>0</v>
      </c>
    </row>
    <row r="1362" spans="1:325" ht="20.25">
      <c r="DV1362">
        <v>79</v>
      </c>
      <c r="DW1362" t="s">
        <v>68</v>
      </c>
      <c r="DX1362" s="8">
        <v>43941</v>
      </c>
      <c r="DY1362">
        <v>22</v>
      </c>
      <c r="DZ1362">
        <v>346</v>
      </c>
      <c r="EA1362">
        <v>0</v>
      </c>
    </row>
    <row r="1363" spans="1:325" ht="20.25">
      <c r="DV1363">
        <v>79</v>
      </c>
      <c r="DW1363" t="s">
        <v>68</v>
      </c>
      <c r="DX1363" s="8">
        <v>43942</v>
      </c>
      <c r="DY1363">
        <v>22</v>
      </c>
      <c r="DZ1363">
        <v>346</v>
      </c>
      <c r="EA1363">
        <v>0</v>
      </c>
    </row>
    <row r="1364" spans="1:325" ht="20.25">
      <c r="DV1364">
        <v>79</v>
      </c>
      <c r="DW1364" t="s">
        <v>68</v>
      </c>
      <c r="DX1364" s="8">
        <v>43943</v>
      </c>
      <c r="DY1364">
        <v>26</v>
      </c>
      <c r="DZ1364">
        <v>409</v>
      </c>
      <c r="EA1364">
        <v>0</v>
      </c>
    </row>
    <row r="1365" spans="1:325" ht="20.25">
      <c r="DV1365">
        <v>79</v>
      </c>
      <c r="DW1365" t="s">
        <v>68</v>
      </c>
      <c r="DX1365" s="8">
        <v>43944</v>
      </c>
      <c r="DY1365">
        <v>29</v>
      </c>
      <c r="DZ1365">
        <v>456</v>
      </c>
      <c r="EA1365">
        <v>0</v>
      </c>
    </row>
    <row r="1366" spans="1:325" ht="20.25">
      <c r="DV1366">
        <v>79</v>
      </c>
      <c r="DW1366" t="s">
        <v>68</v>
      </c>
      <c r="DX1366" s="8">
        <v>43945</v>
      </c>
      <c r="DY1366">
        <v>32</v>
      </c>
      <c r="DZ1366">
        <v>503</v>
      </c>
      <c r="EA1366">
        <v>0</v>
      </c>
    </row>
    <row r="1367" spans="1:325" ht="20.25">
      <c r="DV1367">
        <v>79</v>
      </c>
      <c r="DW1367" t="s">
        <v>68</v>
      </c>
      <c r="DX1367" s="8">
        <v>43946</v>
      </c>
      <c r="DY1367">
        <v>32</v>
      </c>
      <c r="DZ1367">
        <v>503</v>
      </c>
      <c r="EA1367">
        <v>0</v>
      </c>
    </row>
    <row r="1368" spans="1:325" ht="20.25">
      <c r="DV1368">
        <v>79</v>
      </c>
      <c r="DW1368" t="s">
        <v>68</v>
      </c>
      <c r="DX1368" s="8">
        <v>43947</v>
      </c>
      <c r="DY1368">
        <v>36</v>
      </c>
      <c r="DZ1368">
        <v>566</v>
      </c>
      <c r="EA1368">
        <v>0</v>
      </c>
    </row>
    <row r="1369" spans="1:325" ht="20.25">
      <c r="DV1369">
        <v>79</v>
      </c>
      <c r="DW1369" t="s">
        <v>68</v>
      </c>
      <c r="DX1369" s="8">
        <v>43948</v>
      </c>
      <c r="DY1369">
        <v>37</v>
      </c>
      <c r="DZ1369">
        <v>582</v>
      </c>
      <c r="EA1369">
        <v>0</v>
      </c>
    </row>
    <row r="1370" spans="1:325" ht="20.25">
      <c r="DV1370">
        <v>79</v>
      </c>
      <c r="DW1370" t="s">
        <v>68</v>
      </c>
      <c r="DX1370" s="8">
        <v>43949</v>
      </c>
      <c r="DY1370">
        <v>37</v>
      </c>
      <c r="DZ1370">
        <v>582</v>
      </c>
      <c r="EA1370">
        <v>0</v>
      </c>
    </row>
    <row r="1371" spans="1:325" ht="20.25">
      <c r="DV1371">
        <v>79</v>
      </c>
      <c r="DW1371" t="s">
        <v>68</v>
      </c>
      <c r="DX1371" s="8">
        <v>43950</v>
      </c>
      <c r="DY1371">
        <v>40</v>
      </c>
      <c r="DZ1371">
        <v>629</v>
      </c>
      <c r="EA1371">
        <v>1</v>
      </c>
    </row>
    <row r="1372" spans="1:325" ht="20.25">
      <c r="DV1372">
        <v>79</v>
      </c>
      <c r="DW1372" t="s">
        <v>68</v>
      </c>
      <c r="DX1372" s="8">
        <v>43951</v>
      </c>
      <c r="DY1372">
        <v>40</v>
      </c>
      <c r="DZ1372">
        <v>629</v>
      </c>
      <c r="EA1372">
        <v>1</v>
      </c>
    </row>
    <row r="1373" spans="1:325" ht="20.25">
      <c r="DV1373">
        <v>79</v>
      </c>
      <c r="DW1373" t="s">
        <v>68</v>
      </c>
      <c r="DX1373" s="8">
        <v>43952</v>
      </c>
      <c r="DY1373">
        <v>40</v>
      </c>
      <c r="DZ1373">
        <v>629</v>
      </c>
      <c r="EA1373">
        <v>1</v>
      </c>
    </row>
    <row r="1374" spans="1:325" ht="20.25">
      <c r="DV1374">
        <v>79</v>
      </c>
      <c r="DW1374" t="s">
        <v>68</v>
      </c>
      <c r="DX1374" s="8">
        <v>43953</v>
      </c>
      <c r="DY1374">
        <v>40</v>
      </c>
      <c r="DZ1374">
        <v>629</v>
      </c>
      <c r="EA1374">
        <v>1</v>
      </c>
    </row>
    <row r="1375" spans="1:325" ht="20.25">
      <c r="DV1375">
        <v>79</v>
      </c>
      <c r="DW1375" t="s">
        <v>68</v>
      </c>
      <c r="DX1375" s="8">
        <v>43954</v>
      </c>
      <c r="DY1375">
        <v>40</v>
      </c>
      <c r="DZ1375">
        <v>629</v>
      </c>
      <c r="EA1375">
        <v>1</v>
      </c>
    </row>
    <row r="1376" spans="1:325" ht="20.25">
      <c r="DV1376">
        <v>79</v>
      </c>
      <c r="DW1376" t="s">
        <v>68</v>
      </c>
      <c r="DX1376" s="8">
        <v>43955</v>
      </c>
      <c r="DY1376">
        <v>41</v>
      </c>
      <c r="DZ1376">
        <v>645</v>
      </c>
      <c r="EA1376">
        <v>1</v>
      </c>
    </row>
    <row r="1377" spans="1:325" ht="20.25">
      <c r="DV1377">
        <v>79</v>
      </c>
      <c r="DW1377" t="s">
        <v>68</v>
      </c>
      <c r="DX1377" s="8">
        <v>43956</v>
      </c>
      <c r="DY1377">
        <v>42</v>
      </c>
      <c r="DZ1377">
        <v>661</v>
      </c>
      <c r="EA1377">
        <v>2</v>
      </c>
    </row>
    <row r="1378" spans="1:325" ht="20.25">
      <c r="DV1378">
        <v>79</v>
      </c>
      <c r="DW1378" t="s">
        <v>68</v>
      </c>
      <c r="DX1378" s="8">
        <v>43957</v>
      </c>
      <c r="DY1378">
        <v>42</v>
      </c>
      <c r="DZ1378">
        <v>661</v>
      </c>
      <c r="EA1378">
        <v>2</v>
      </c>
    </row>
    <row r="1379" spans="1:325" ht="20.25">
      <c r="DV1379">
        <v>79</v>
      </c>
      <c r="DW1379" t="s">
        <v>68</v>
      </c>
      <c r="DX1379" s="8">
        <v>43958</v>
      </c>
      <c r="DY1379">
        <v>42</v>
      </c>
      <c r="DZ1379">
        <v>661</v>
      </c>
      <c r="EA1379">
        <v>2</v>
      </c>
    </row>
    <row r="1380" spans="1:325" ht="20.25">
      <c r="DV1380">
        <v>79</v>
      </c>
      <c r="DW1380" t="s">
        <v>68</v>
      </c>
      <c r="DX1380" s="8">
        <v>43959</v>
      </c>
      <c r="DY1380">
        <v>43</v>
      </c>
      <c r="DZ1380">
        <v>676</v>
      </c>
      <c r="EA1380">
        <v>2</v>
      </c>
    </row>
    <row r="1381" spans="1:325" ht="20.25">
      <c r="DV1381">
        <v>79</v>
      </c>
      <c r="DW1381" t="s">
        <v>68</v>
      </c>
      <c r="DX1381" s="8">
        <v>43960</v>
      </c>
      <c r="DY1381">
        <v>43</v>
      </c>
      <c r="DZ1381">
        <v>676</v>
      </c>
      <c r="EA1381">
        <v>2</v>
      </c>
    </row>
    <row r="1382" spans="1:325" ht="20.25">
      <c r="DV1382">
        <v>79</v>
      </c>
      <c r="DW1382" t="s">
        <v>68</v>
      </c>
      <c r="DX1382" s="8">
        <v>43961</v>
      </c>
      <c r="DY1382">
        <v>43</v>
      </c>
      <c r="DZ1382">
        <v>676</v>
      </c>
      <c r="EA1382">
        <v>2</v>
      </c>
    </row>
    <row r="1383" spans="1:325" ht="20.25">
      <c r="DV1383">
        <v>79</v>
      </c>
      <c r="DW1383" t="s">
        <v>68</v>
      </c>
      <c r="DX1383" s="8">
        <v>43962</v>
      </c>
      <c r="DY1383">
        <v>43</v>
      </c>
      <c r="DZ1383">
        <v>676</v>
      </c>
      <c r="EA1383">
        <v>2</v>
      </c>
    </row>
    <row r="1384" spans="1:325" ht="20.25">
      <c r="DV1384">
        <v>79</v>
      </c>
      <c r="DW1384" t="s">
        <v>68</v>
      </c>
      <c r="DX1384" s="8">
        <v>43963</v>
      </c>
      <c r="DY1384">
        <v>45</v>
      </c>
      <c r="DZ1384">
        <v>708</v>
      </c>
      <c r="EA1384">
        <v>2</v>
      </c>
    </row>
    <row r="1385" spans="1:325" ht="20.25">
      <c r="DV1385">
        <v>79</v>
      </c>
      <c r="DW1385" t="s">
        <v>68</v>
      </c>
      <c r="DX1385" s="8">
        <v>43964</v>
      </c>
      <c r="DY1385">
        <v>46</v>
      </c>
      <c r="DZ1385">
        <v>723</v>
      </c>
      <c r="EA1385">
        <v>2</v>
      </c>
    </row>
    <row r="1386" spans="1:325" ht="20.25">
      <c r="DV1386">
        <v>79</v>
      </c>
      <c r="DW1386" t="s">
        <v>68</v>
      </c>
      <c r="DX1386" s="8">
        <v>43965</v>
      </c>
      <c r="DY1386">
        <v>47</v>
      </c>
      <c r="DZ1386">
        <v>739</v>
      </c>
      <c r="EA1386">
        <v>2</v>
      </c>
    </row>
    <row r="1387" spans="1:325" ht="20.25">
      <c r="DV1387">
        <v>79</v>
      </c>
      <c r="DW1387" t="s">
        <v>68</v>
      </c>
      <c r="DX1387" s="8">
        <v>43966</v>
      </c>
      <c r="DY1387">
        <v>48</v>
      </c>
      <c r="DZ1387">
        <v>755</v>
      </c>
      <c r="EA1387">
        <v>2</v>
      </c>
    </row>
    <row r="1388" spans="1:325" ht="20.25">
      <c r="DV1388">
        <v>80</v>
      </c>
      <c r="DW1388" t="s">
        <v>69</v>
      </c>
      <c r="DX1388" s="8">
        <v>43914</v>
      </c>
      <c r="DY1388">
        <v>3</v>
      </c>
      <c r="EA1388">
        <v>0</v>
      </c>
    </row>
    <row r="1389" spans="1:325" ht="20.25">
      <c r="DV1389">
        <v>80</v>
      </c>
      <c r="DW1389" t="s">
        <v>69</v>
      </c>
      <c r="DX1389" s="8">
        <v>43915</v>
      </c>
      <c r="DY1389">
        <v>7</v>
      </c>
      <c r="EA1389">
        <v>0</v>
      </c>
    </row>
    <row r="1390" spans="1:325" ht="20.25">
      <c r="DV1390">
        <v>80</v>
      </c>
      <c r="DW1390" t="s">
        <v>69</v>
      </c>
      <c r="DX1390" s="8">
        <v>43916</v>
      </c>
      <c r="DY1390">
        <v>8</v>
      </c>
      <c r="EA1390">
        <v>0</v>
      </c>
    </row>
    <row r="1391" spans="1:325" ht="20.25">
      <c r="DV1391">
        <v>80</v>
      </c>
      <c r="DW1391" t="s">
        <v>69</v>
      </c>
      <c r="DX1391" s="8">
        <v>43917</v>
      </c>
      <c r="DY1391">
        <v>9</v>
      </c>
      <c r="EA1391">
        <v>0</v>
      </c>
    </row>
    <row r="1392" spans="1:325" ht="20.25">
      <c r="DV1392">
        <v>80</v>
      </c>
      <c r="DW1392" t="s">
        <v>69</v>
      </c>
      <c r="DX1392" s="8">
        <v>43918</v>
      </c>
      <c r="DY1392">
        <v>14</v>
      </c>
      <c r="EA1392">
        <v>0</v>
      </c>
    </row>
    <row r="1393" spans="1:325" ht="20.25">
      <c r="DV1393">
        <v>80</v>
      </c>
      <c r="DW1393" t="s">
        <v>69</v>
      </c>
      <c r="DX1393" s="8">
        <v>43919</v>
      </c>
      <c r="DY1393">
        <v>16</v>
      </c>
      <c r="EA1393">
        <v>0</v>
      </c>
    </row>
    <row r="1394" spans="1:325" ht="20.25">
      <c r="DV1394">
        <v>80</v>
      </c>
      <c r="DW1394" t="s">
        <v>69</v>
      </c>
      <c r="DX1394" s="8">
        <v>43920</v>
      </c>
      <c r="DY1394">
        <v>21</v>
      </c>
      <c r="EA1394">
        <v>0</v>
      </c>
    </row>
    <row r="1395" spans="1:325" ht="20.25">
      <c r="DV1395">
        <v>80</v>
      </c>
      <c r="DW1395" t="s">
        <v>69</v>
      </c>
      <c r="DX1395" s="8">
        <v>43921</v>
      </c>
      <c r="DY1395">
        <v>24</v>
      </c>
      <c r="EA1395">
        <v>1</v>
      </c>
    </row>
    <row r="1396" spans="1:325" ht="20.25">
      <c r="DV1396">
        <v>80</v>
      </c>
      <c r="DW1396" t="s">
        <v>69</v>
      </c>
      <c r="DX1396" s="8">
        <v>43922</v>
      </c>
      <c r="DY1396">
        <v>31</v>
      </c>
      <c r="EA1396">
        <v>1</v>
      </c>
    </row>
    <row r="1397" spans="1:325" ht="20.25">
      <c r="DV1397">
        <v>80</v>
      </c>
      <c r="DW1397" t="s">
        <v>69</v>
      </c>
      <c r="DX1397" s="8">
        <v>43923</v>
      </c>
      <c r="DY1397">
        <v>31</v>
      </c>
      <c r="EA1397">
        <v>1</v>
      </c>
    </row>
    <row r="1398" spans="1:325" ht="20.25">
      <c r="DV1398">
        <v>80</v>
      </c>
      <c r="DW1398" t="s">
        <v>69</v>
      </c>
      <c r="DX1398" s="8">
        <v>43924</v>
      </c>
      <c r="DY1398">
        <v>40</v>
      </c>
      <c r="EA1398">
        <v>1</v>
      </c>
    </row>
    <row r="1399" spans="1:325" ht="20.25">
      <c r="DV1399">
        <v>80</v>
      </c>
      <c r="DW1399" t="s">
        <v>69</v>
      </c>
      <c r="DX1399" s="8">
        <v>43925</v>
      </c>
      <c r="DY1399">
        <v>46</v>
      </c>
      <c r="EA1399">
        <v>2</v>
      </c>
    </row>
    <row r="1400" spans="1:325" ht="20.25">
      <c r="DV1400">
        <v>80</v>
      </c>
      <c r="DW1400" t="s">
        <v>69</v>
      </c>
      <c r="DX1400" s="8">
        <v>43926</v>
      </c>
      <c r="DY1400">
        <v>47</v>
      </c>
      <c r="EA1400">
        <v>2</v>
      </c>
    </row>
    <row r="1401" spans="1:325" ht="20.25">
      <c r="DV1401">
        <v>80</v>
      </c>
      <c r="DW1401" t="s">
        <v>69</v>
      </c>
      <c r="DX1401" s="8">
        <v>43927</v>
      </c>
      <c r="DY1401">
        <v>64</v>
      </c>
      <c r="EA1401">
        <v>2</v>
      </c>
    </row>
    <row r="1402" spans="1:325" ht="20.25">
      <c r="DV1402">
        <v>80</v>
      </c>
      <c r="DW1402" t="s">
        <v>69</v>
      </c>
      <c r="DX1402" s="8">
        <v>43928</v>
      </c>
      <c r="DY1402">
        <v>68</v>
      </c>
      <c r="EA1402">
        <v>3</v>
      </c>
    </row>
    <row r="1403" spans="1:325" ht="20.25">
      <c r="DV1403">
        <v>80</v>
      </c>
      <c r="DW1403" t="s">
        <v>69</v>
      </c>
      <c r="DX1403" s="8">
        <v>43929</v>
      </c>
      <c r="DY1403">
        <v>79</v>
      </c>
      <c r="EA1403">
        <v>4</v>
      </c>
    </row>
    <row r="1404" spans="1:325" ht="20.25">
      <c r="DV1404">
        <v>80</v>
      </c>
      <c r="DW1404" t="s">
        <v>69</v>
      </c>
      <c r="DX1404" s="8">
        <v>43930</v>
      </c>
      <c r="DY1404">
        <v>84</v>
      </c>
      <c r="EA1404">
        <v>4</v>
      </c>
    </row>
    <row r="1405" spans="1:325" ht="20.25">
      <c r="DV1405">
        <v>80</v>
      </c>
      <c r="DW1405" t="s">
        <v>69</v>
      </c>
      <c r="DX1405" s="8">
        <v>43931</v>
      </c>
      <c r="DY1405">
        <v>101</v>
      </c>
      <c r="EA1405">
        <v>4</v>
      </c>
    </row>
    <row r="1406" spans="1:325" ht="20.25">
      <c r="DV1406">
        <v>80</v>
      </c>
      <c r="DW1406" t="s">
        <v>69</v>
      </c>
      <c r="DX1406" s="8">
        <v>43932</v>
      </c>
      <c r="DY1406">
        <v>110</v>
      </c>
      <c r="EA1406">
        <v>7</v>
      </c>
    </row>
    <row r="1407" spans="1:325" ht="20.25">
      <c r="DV1407">
        <v>80</v>
      </c>
      <c r="DW1407" t="s">
        <v>69</v>
      </c>
      <c r="DX1407" s="8">
        <v>43933</v>
      </c>
      <c r="DY1407">
        <v>113</v>
      </c>
      <c r="EA1407">
        <v>8</v>
      </c>
    </row>
    <row r="1408" spans="1:325" ht="20.25">
      <c r="DV1408">
        <v>80</v>
      </c>
      <c r="DW1408" t="s">
        <v>69</v>
      </c>
      <c r="DX1408" s="8">
        <v>43934</v>
      </c>
      <c r="DY1408">
        <v>145</v>
      </c>
      <c r="EA1408">
        <v>9</v>
      </c>
    </row>
    <row r="1409" spans="1:325" ht="20.25">
      <c r="DV1409">
        <v>80</v>
      </c>
      <c r="DW1409" t="s">
        <v>69</v>
      </c>
      <c r="DX1409" s="8">
        <v>43935</v>
      </c>
      <c r="DY1409">
        <v>152</v>
      </c>
      <c r="EA1409">
        <v>9</v>
      </c>
    </row>
    <row r="1410" spans="1:325" ht="20.25">
      <c r="DV1410">
        <v>80</v>
      </c>
      <c r="DW1410" t="s">
        <v>69</v>
      </c>
      <c r="DX1410" s="8">
        <v>43936</v>
      </c>
      <c r="DY1410">
        <v>158</v>
      </c>
      <c r="EA1410">
        <v>12</v>
      </c>
    </row>
    <row r="1411" spans="1:325" ht="20.25">
      <c r="DV1411">
        <v>80</v>
      </c>
      <c r="DW1411" t="s">
        <v>69</v>
      </c>
      <c r="DX1411" s="8">
        <v>43937</v>
      </c>
      <c r="DY1411">
        <v>169</v>
      </c>
      <c r="DZ1411">
        <v>284</v>
      </c>
      <c r="EA1411">
        <v>12</v>
      </c>
    </row>
    <row r="1412" spans="1:325" ht="20.25">
      <c r="DV1412">
        <v>80</v>
      </c>
      <c r="DW1412" t="s">
        <v>69</v>
      </c>
      <c r="DX1412" s="8">
        <v>43938</v>
      </c>
      <c r="DY1412">
        <v>175</v>
      </c>
      <c r="DZ1412">
        <v>294</v>
      </c>
      <c r="EA1412">
        <v>15</v>
      </c>
    </row>
    <row r="1413" spans="1:325" ht="20.25">
      <c r="DV1413">
        <v>80</v>
      </c>
      <c r="DW1413" t="s">
        <v>69</v>
      </c>
      <c r="DX1413" s="8">
        <v>43939</v>
      </c>
      <c r="DY1413">
        <v>186</v>
      </c>
      <c r="DZ1413">
        <v>312</v>
      </c>
      <c r="EA1413">
        <v>16</v>
      </c>
    </row>
    <row r="1414" spans="1:325" ht="20.25">
      <c r="DV1414">
        <v>80</v>
      </c>
      <c r="DW1414" t="s">
        <v>69</v>
      </c>
      <c r="DX1414" s="8">
        <v>43940</v>
      </c>
      <c r="DY1414">
        <v>191</v>
      </c>
      <c r="DZ1414">
        <v>321</v>
      </c>
      <c r="EA1414">
        <v>17</v>
      </c>
    </row>
    <row r="1415" spans="1:325" ht="20.25">
      <c r="DV1415">
        <v>80</v>
      </c>
      <c r="DW1415" t="s">
        <v>69</v>
      </c>
      <c r="DX1415" s="8">
        <v>43941</v>
      </c>
      <c r="DY1415">
        <v>205</v>
      </c>
      <c r="DZ1415">
        <v>344</v>
      </c>
      <c r="EA1415">
        <v>21</v>
      </c>
    </row>
    <row r="1416" spans="1:325" ht="20.25">
      <c r="DV1416">
        <v>80</v>
      </c>
      <c r="DW1416" t="s">
        <v>69</v>
      </c>
      <c r="DX1416" s="8">
        <v>43942</v>
      </c>
      <c r="DY1416">
        <v>215</v>
      </c>
      <c r="DZ1416">
        <v>361</v>
      </c>
      <c r="EA1416">
        <v>22</v>
      </c>
    </row>
    <row r="1417" spans="1:325" ht="20.25">
      <c r="DV1417">
        <v>80</v>
      </c>
      <c r="DW1417" t="s">
        <v>69</v>
      </c>
      <c r="DX1417" s="8">
        <v>43943</v>
      </c>
      <c r="DY1417">
        <v>229</v>
      </c>
      <c r="DZ1417">
        <v>385</v>
      </c>
      <c r="EA1417">
        <v>26</v>
      </c>
    </row>
    <row r="1418" spans="1:325" ht="20.25">
      <c r="DV1418">
        <v>80</v>
      </c>
      <c r="DW1418" t="s">
        <v>69</v>
      </c>
      <c r="DX1418" s="8">
        <v>43944</v>
      </c>
      <c r="DY1418">
        <v>241</v>
      </c>
      <c r="DZ1418">
        <v>405</v>
      </c>
      <c r="EA1418">
        <v>26</v>
      </c>
    </row>
    <row r="1419" spans="1:325" ht="20.25">
      <c r="DV1419">
        <v>80</v>
      </c>
      <c r="DW1419" t="s">
        <v>69</v>
      </c>
      <c r="DX1419" s="8">
        <v>43945</v>
      </c>
      <c r="DY1419">
        <v>263</v>
      </c>
      <c r="DZ1419">
        <v>442</v>
      </c>
      <c r="EA1419">
        <v>28</v>
      </c>
    </row>
    <row r="1420" spans="1:325" ht="20.25">
      <c r="DV1420">
        <v>80</v>
      </c>
      <c r="DW1420" t="s">
        <v>69</v>
      </c>
      <c r="DX1420" s="8">
        <v>43946</v>
      </c>
      <c r="DY1420">
        <v>278</v>
      </c>
      <c r="DZ1420">
        <v>467</v>
      </c>
      <c r="EA1420">
        <v>28</v>
      </c>
    </row>
    <row r="1421" spans="1:325" ht="20.25">
      <c r="DV1421">
        <v>80</v>
      </c>
      <c r="DW1421" t="s">
        <v>69</v>
      </c>
      <c r="DX1421" s="8">
        <v>43947</v>
      </c>
      <c r="DY1421">
        <v>301</v>
      </c>
      <c r="DZ1421">
        <v>506</v>
      </c>
      <c r="EA1421">
        <v>28</v>
      </c>
    </row>
    <row r="1422" spans="1:325" ht="20.25">
      <c r="DV1422">
        <v>80</v>
      </c>
      <c r="DW1422" t="s">
        <v>69</v>
      </c>
      <c r="DX1422" s="8">
        <v>43948</v>
      </c>
      <c r="DY1422">
        <v>320</v>
      </c>
      <c r="DZ1422">
        <v>537</v>
      </c>
      <c r="EA1422">
        <v>30</v>
      </c>
    </row>
    <row r="1423" spans="1:325" ht="20.25">
      <c r="DV1423">
        <v>80</v>
      </c>
      <c r="DW1423" t="s">
        <v>69</v>
      </c>
      <c r="DX1423" s="8">
        <v>43949</v>
      </c>
      <c r="DY1423">
        <v>326</v>
      </c>
      <c r="DZ1423">
        <v>548</v>
      </c>
      <c r="EA1423">
        <v>32</v>
      </c>
    </row>
    <row r="1424" spans="1:325" ht="20.25">
      <c r="DV1424">
        <v>80</v>
      </c>
      <c r="DW1424" t="s">
        <v>69</v>
      </c>
      <c r="DX1424" s="8">
        <v>43950</v>
      </c>
      <c r="DY1424">
        <v>337</v>
      </c>
      <c r="DZ1424">
        <v>566</v>
      </c>
      <c r="EA1424">
        <v>30</v>
      </c>
    </row>
    <row r="1425" spans="1:325" ht="20.25">
      <c r="DV1425">
        <v>80</v>
      </c>
      <c r="DW1425" t="s">
        <v>69</v>
      </c>
      <c r="DX1425" s="8">
        <v>43951</v>
      </c>
      <c r="DY1425">
        <v>358</v>
      </c>
      <c r="DZ1425">
        <v>601</v>
      </c>
      <c r="EA1425">
        <v>30</v>
      </c>
    </row>
    <row r="1426" spans="1:325" ht="20.25">
      <c r="DV1426">
        <v>80</v>
      </c>
      <c r="DW1426" t="s">
        <v>69</v>
      </c>
      <c r="DX1426" s="8">
        <v>43952</v>
      </c>
      <c r="DY1426">
        <v>385</v>
      </c>
      <c r="DZ1426">
        <v>647</v>
      </c>
      <c r="EA1426">
        <v>31</v>
      </c>
    </row>
    <row r="1427" spans="1:325" ht="20.25">
      <c r="DV1427">
        <v>80</v>
      </c>
      <c r="DW1427" t="s">
        <v>69</v>
      </c>
      <c r="DX1427" s="8">
        <v>43953</v>
      </c>
      <c r="DY1427">
        <v>401</v>
      </c>
      <c r="DZ1427">
        <v>673</v>
      </c>
      <c r="EA1427">
        <v>33</v>
      </c>
    </row>
    <row r="1428" spans="1:325" ht="20.25">
      <c r="DV1428">
        <v>80</v>
      </c>
      <c r="DW1428" t="s">
        <v>69</v>
      </c>
      <c r="DX1428" s="8">
        <v>43954</v>
      </c>
      <c r="DY1428">
        <v>408</v>
      </c>
      <c r="DZ1428">
        <v>685</v>
      </c>
      <c r="EA1428">
        <v>36</v>
      </c>
    </row>
    <row r="1429" spans="1:325" ht="20.25">
      <c r="DV1429">
        <v>80</v>
      </c>
      <c r="DW1429" t="s">
        <v>69</v>
      </c>
      <c r="DX1429" s="8">
        <v>43955</v>
      </c>
      <c r="DY1429">
        <v>431</v>
      </c>
      <c r="DZ1429">
        <v>724</v>
      </c>
      <c r="EA1429">
        <v>38</v>
      </c>
    </row>
    <row r="1430" spans="1:325" ht="20.25">
      <c r="DV1430">
        <v>80</v>
      </c>
      <c r="DW1430" t="s">
        <v>69</v>
      </c>
      <c r="DX1430" s="8">
        <v>43956</v>
      </c>
      <c r="DY1430">
        <v>438</v>
      </c>
      <c r="DZ1430">
        <v>736</v>
      </c>
      <c r="EA1430">
        <v>40</v>
      </c>
    </row>
    <row r="1431" spans="1:325" ht="20.25">
      <c r="DV1431">
        <v>80</v>
      </c>
      <c r="DW1431" t="s">
        <v>69</v>
      </c>
      <c r="DX1431" s="8">
        <v>43957</v>
      </c>
      <c r="DY1431">
        <v>452</v>
      </c>
      <c r="DZ1431">
        <v>759</v>
      </c>
      <c r="EA1431">
        <v>40</v>
      </c>
    </row>
    <row r="1432" spans="1:325" ht="20.25">
      <c r="DV1432">
        <v>80</v>
      </c>
      <c r="DW1432" t="s">
        <v>69</v>
      </c>
      <c r="DX1432" s="8">
        <v>43958</v>
      </c>
      <c r="DY1432">
        <v>472</v>
      </c>
      <c r="DZ1432">
        <v>793</v>
      </c>
      <c r="EA1432">
        <v>42</v>
      </c>
    </row>
    <row r="1433" spans="1:325" ht="20.25">
      <c r="DV1433">
        <v>80</v>
      </c>
      <c r="DW1433" t="s">
        <v>69</v>
      </c>
      <c r="DX1433" s="8">
        <v>43959</v>
      </c>
      <c r="DY1433">
        <v>523</v>
      </c>
      <c r="DZ1433">
        <v>878</v>
      </c>
      <c r="EA1433">
        <v>43</v>
      </c>
    </row>
    <row r="1434" spans="1:325" ht="20.25">
      <c r="DV1434">
        <v>80</v>
      </c>
      <c r="DW1434" t="s">
        <v>69</v>
      </c>
      <c r="DX1434" s="8">
        <v>43960</v>
      </c>
      <c r="DY1434">
        <v>559</v>
      </c>
      <c r="DZ1434">
        <v>939</v>
      </c>
      <c r="EA1434">
        <v>45</v>
      </c>
    </row>
    <row r="1435" spans="1:325" ht="20.25">
      <c r="DV1435">
        <v>80</v>
      </c>
      <c r="DW1435" t="s">
        <v>69</v>
      </c>
      <c r="DX1435" s="8">
        <v>43961</v>
      </c>
      <c r="DY1435">
        <v>562</v>
      </c>
      <c r="DZ1435">
        <v>944</v>
      </c>
      <c r="EA1435">
        <v>46</v>
      </c>
    </row>
    <row r="1436" spans="1:325" ht="20.25">
      <c r="DV1436">
        <v>80</v>
      </c>
      <c r="DW1436" t="s">
        <v>69</v>
      </c>
      <c r="DX1436" s="8">
        <v>43962</v>
      </c>
      <c r="DY1436">
        <v>580</v>
      </c>
      <c r="DZ1436">
        <v>974</v>
      </c>
      <c r="EA1436">
        <v>46</v>
      </c>
    </row>
    <row r="1437" spans="1:325" ht="20.25">
      <c r="DV1437">
        <v>80</v>
      </c>
      <c r="DW1437" t="s">
        <v>69</v>
      </c>
      <c r="DX1437" s="8">
        <v>43963</v>
      </c>
      <c r="DY1437">
        <v>603</v>
      </c>
      <c r="DZ1437">
        <v>1013</v>
      </c>
      <c r="EA1437">
        <v>48</v>
      </c>
    </row>
    <row r="1438" spans="1:325" ht="20.25">
      <c r="DV1438">
        <v>80</v>
      </c>
      <c r="DW1438" t="s">
        <v>69</v>
      </c>
      <c r="DX1438" s="8">
        <v>43964</v>
      </c>
      <c r="DY1438">
        <v>613</v>
      </c>
      <c r="DZ1438">
        <v>1030</v>
      </c>
      <c r="EA1438">
        <v>51</v>
      </c>
    </row>
    <row r="1439" spans="1:325" ht="20.25">
      <c r="DV1439">
        <v>80</v>
      </c>
      <c r="DW1439" t="s">
        <v>69</v>
      </c>
      <c r="DX1439" s="8">
        <v>43965</v>
      </c>
      <c r="DY1439">
        <v>635</v>
      </c>
      <c r="DZ1439">
        <v>1067</v>
      </c>
      <c r="EA1439">
        <v>53</v>
      </c>
    </row>
    <row r="1440" spans="1:325" ht="20.25">
      <c r="DV1440">
        <v>80</v>
      </c>
      <c r="DW1440" t="s">
        <v>69</v>
      </c>
      <c r="DX1440" s="8">
        <v>43966</v>
      </c>
      <c r="DY1440">
        <v>644</v>
      </c>
      <c r="DZ1440">
        <v>1082</v>
      </c>
      <c r="EA1440">
        <v>54</v>
      </c>
    </row>
    <row r="1441" spans="1:325" ht="20.25">
      <c r="DV1441">
        <v>83</v>
      </c>
      <c r="DW1441" t="s">
        <v>70</v>
      </c>
      <c r="DX1441" s="8">
        <v>43914</v>
      </c>
      <c r="DY1441">
        <v>1</v>
      </c>
      <c r="EA1441">
        <v>0</v>
      </c>
    </row>
    <row r="1442" spans="1:325" ht="20.25">
      <c r="DV1442">
        <v>83</v>
      </c>
      <c r="DW1442" t="s">
        <v>70</v>
      </c>
      <c r="DX1442" s="8">
        <v>43915</v>
      </c>
      <c r="DY1442">
        <v>2</v>
      </c>
      <c r="EA1442">
        <v>0</v>
      </c>
    </row>
    <row r="1443" spans="1:325" ht="20.25">
      <c r="DV1443">
        <v>83</v>
      </c>
      <c r="DW1443" t="s">
        <v>70</v>
      </c>
      <c r="DX1443" s="8">
        <v>43916</v>
      </c>
      <c r="DY1443">
        <v>3</v>
      </c>
      <c r="EA1443">
        <v>0</v>
      </c>
    </row>
    <row r="1444" spans="1:325" ht="20.25">
      <c r="DV1444">
        <v>83</v>
      </c>
      <c r="DW1444" t="s">
        <v>70</v>
      </c>
      <c r="DX1444" s="8">
        <v>43917</v>
      </c>
      <c r="DY1444">
        <v>6</v>
      </c>
      <c r="EA1444">
        <v>0</v>
      </c>
    </row>
    <row r="1445" spans="1:325" ht="20.25">
      <c r="DV1445">
        <v>83</v>
      </c>
      <c r="DW1445" t="s">
        <v>70</v>
      </c>
      <c r="DX1445" s="8">
        <v>43918</v>
      </c>
      <c r="DY1445">
        <v>6</v>
      </c>
      <c r="EA1445">
        <v>0</v>
      </c>
    </row>
    <row r="1446" spans="1:325" ht="20.25">
      <c r="DV1446">
        <v>83</v>
      </c>
      <c r="DW1446" t="s">
        <v>70</v>
      </c>
      <c r="DX1446" s="8">
        <v>43919</v>
      </c>
      <c r="DY1446">
        <v>12</v>
      </c>
      <c r="EA1446">
        <v>0</v>
      </c>
    </row>
    <row r="1447" spans="1:325" ht="20.25">
      <c r="DV1447">
        <v>83</v>
      </c>
      <c r="DW1447" t="s">
        <v>70</v>
      </c>
      <c r="DX1447" s="8">
        <v>43920</v>
      </c>
      <c r="DY1447">
        <v>18</v>
      </c>
      <c r="EA1447">
        <v>0</v>
      </c>
    </row>
    <row r="1448" spans="1:325" ht="20.25">
      <c r="DV1448">
        <v>83</v>
      </c>
      <c r="DW1448" t="s">
        <v>70</v>
      </c>
      <c r="DX1448" s="8">
        <v>43921</v>
      </c>
      <c r="DY1448">
        <v>19</v>
      </c>
      <c r="EA1448">
        <v>0</v>
      </c>
    </row>
    <row r="1449" spans="1:325" ht="20.25">
      <c r="DV1449">
        <v>83</v>
      </c>
      <c r="DW1449" t="s">
        <v>70</v>
      </c>
      <c r="DX1449" s="8">
        <v>43922</v>
      </c>
      <c r="DY1449">
        <v>24</v>
      </c>
      <c r="EA1449">
        <v>0</v>
      </c>
    </row>
    <row r="1450" spans="1:325" ht="20.25">
      <c r="DV1450">
        <v>83</v>
      </c>
      <c r="DW1450" t="s">
        <v>70</v>
      </c>
      <c r="DX1450" s="8">
        <v>43923</v>
      </c>
      <c r="DY1450">
        <v>29</v>
      </c>
      <c r="EA1450">
        <v>0</v>
      </c>
    </row>
    <row r="1451" spans="1:325" ht="20.25">
      <c r="DV1451">
        <v>83</v>
      </c>
      <c r="DW1451" t="s">
        <v>70</v>
      </c>
      <c r="DX1451" s="8">
        <v>43924</v>
      </c>
      <c r="DY1451">
        <v>35</v>
      </c>
      <c r="EA1451">
        <v>0</v>
      </c>
    </row>
    <row r="1452" spans="1:325" ht="20.25">
      <c r="DV1452">
        <v>83</v>
      </c>
      <c r="DW1452" t="s">
        <v>70</v>
      </c>
      <c r="DX1452" s="8">
        <v>43925</v>
      </c>
      <c r="DY1452">
        <v>42</v>
      </c>
      <c r="EA1452">
        <v>0</v>
      </c>
    </row>
    <row r="1453" spans="1:325" ht="20.25">
      <c r="DV1453">
        <v>83</v>
      </c>
      <c r="DW1453" t="s">
        <v>70</v>
      </c>
      <c r="DX1453" s="8">
        <v>43926</v>
      </c>
      <c r="DY1453">
        <v>42</v>
      </c>
      <c r="EA1453">
        <v>0</v>
      </c>
    </row>
    <row r="1454" spans="1:325" ht="20.25">
      <c r="DV1454">
        <v>83</v>
      </c>
      <c r="DW1454" t="s">
        <v>70</v>
      </c>
      <c r="DX1454" s="8">
        <v>43927</v>
      </c>
      <c r="DY1454">
        <v>52</v>
      </c>
      <c r="EA1454">
        <v>0</v>
      </c>
    </row>
    <row r="1455" spans="1:325" ht="20.25">
      <c r="DV1455">
        <v>83</v>
      </c>
      <c r="DW1455" t="s">
        <v>70</v>
      </c>
      <c r="DX1455" s="8">
        <v>43928</v>
      </c>
      <c r="DY1455">
        <v>56</v>
      </c>
      <c r="EA1455">
        <v>0</v>
      </c>
    </row>
    <row r="1456" spans="1:325" ht="20.25">
      <c r="DV1456">
        <v>83</v>
      </c>
      <c r="DW1456" t="s">
        <v>70</v>
      </c>
      <c r="DX1456" s="8">
        <v>43929</v>
      </c>
      <c r="DY1456">
        <v>64</v>
      </c>
      <c r="EA1456">
        <v>1</v>
      </c>
    </row>
    <row r="1457" spans="1:325" ht="20.25">
      <c r="DV1457">
        <v>83</v>
      </c>
      <c r="DW1457" t="s">
        <v>70</v>
      </c>
      <c r="DX1457" s="8">
        <v>43930</v>
      </c>
      <c r="DY1457">
        <v>77</v>
      </c>
      <c r="EA1457">
        <v>4</v>
      </c>
    </row>
    <row r="1458" spans="1:325" ht="20.25">
      <c r="DV1458">
        <v>83</v>
      </c>
      <c r="DW1458" t="s">
        <v>70</v>
      </c>
      <c r="DX1458" s="8">
        <v>43931</v>
      </c>
      <c r="DY1458">
        <v>94</v>
      </c>
      <c r="EA1458">
        <v>5</v>
      </c>
    </row>
    <row r="1459" spans="1:325" ht="20.25">
      <c r="DV1459">
        <v>83</v>
      </c>
      <c r="DW1459" t="s">
        <v>70</v>
      </c>
      <c r="DX1459" s="8">
        <v>43932</v>
      </c>
      <c r="DY1459">
        <v>117</v>
      </c>
      <c r="EA1459">
        <v>6</v>
      </c>
    </row>
    <row r="1460" spans="1:325" ht="20.25">
      <c r="DV1460">
        <v>83</v>
      </c>
      <c r="DW1460" t="s">
        <v>70</v>
      </c>
      <c r="DX1460" s="8">
        <v>43933</v>
      </c>
      <c r="DY1460">
        <v>120</v>
      </c>
      <c r="EA1460">
        <v>6</v>
      </c>
    </row>
    <row r="1461" spans="1:325" ht="20.25">
      <c r="DV1461">
        <v>83</v>
      </c>
      <c r="DW1461" t="s">
        <v>70</v>
      </c>
      <c r="DX1461" s="8">
        <v>43934</v>
      </c>
      <c r="DY1461">
        <v>142</v>
      </c>
      <c r="EA1461">
        <v>6</v>
      </c>
    </row>
    <row r="1462" spans="1:325" ht="20.25">
      <c r="DV1462">
        <v>83</v>
      </c>
      <c r="DW1462" t="s">
        <v>70</v>
      </c>
      <c r="DX1462" s="8">
        <v>43935</v>
      </c>
      <c r="DY1462">
        <v>151</v>
      </c>
      <c r="EA1462">
        <v>7</v>
      </c>
    </row>
    <row r="1463" spans="1:325" ht="20.25">
      <c r="DV1463">
        <v>83</v>
      </c>
      <c r="DW1463" t="s">
        <v>70</v>
      </c>
      <c r="DX1463" s="8">
        <v>43936</v>
      </c>
      <c r="DY1463">
        <v>163</v>
      </c>
      <c r="EA1463">
        <v>11</v>
      </c>
    </row>
    <row r="1464" spans="1:325" ht="20.25">
      <c r="DV1464">
        <v>83</v>
      </c>
      <c r="DW1464" t="s">
        <v>70</v>
      </c>
      <c r="DX1464" s="8">
        <v>43937</v>
      </c>
      <c r="DY1464">
        <v>168</v>
      </c>
      <c r="DZ1464">
        <v>364</v>
      </c>
      <c r="EA1464">
        <v>11</v>
      </c>
    </row>
    <row r="1465" spans="1:325" ht="20.25">
      <c r="DV1465">
        <v>83</v>
      </c>
      <c r="DW1465" t="s">
        <v>70</v>
      </c>
      <c r="DX1465" s="8">
        <v>43938</v>
      </c>
      <c r="DY1465">
        <v>186</v>
      </c>
      <c r="DZ1465">
        <v>403</v>
      </c>
      <c r="EA1465">
        <v>12</v>
      </c>
    </row>
    <row r="1466" spans="1:325" ht="20.25">
      <c r="DV1466">
        <v>83</v>
      </c>
      <c r="DW1466" t="s">
        <v>70</v>
      </c>
      <c r="DX1466" s="8">
        <v>43939</v>
      </c>
      <c r="DY1466">
        <v>200</v>
      </c>
      <c r="DZ1466">
        <v>433</v>
      </c>
      <c r="EA1466">
        <v>14</v>
      </c>
    </row>
    <row r="1467" spans="1:325" ht="20.25">
      <c r="DV1467">
        <v>83</v>
      </c>
      <c r="DW1467" t="s">
        <v>70</v>
      </c>
      <c r="DX1467" s="8">
        <v>43940</v>
      </c>
      <c r="DY1467">
        <v>207</v>
      </c>
      <c r="DZ1467">
        <v>449</v>
      </c>
      <c r="EA1467">
        <v>16</v>
      </c>
    </row>
    <row r="1468" spans="1:325" ht="20.25">
      <c r="DV1468">
        <v>83</v>
      </c>
      <c r="DW1468" t="s">
        <v>70</v>
      </c>
      <c r="DX1468" s="8">
        <v>43941</v>
      </c>
      <c r="DY1468">
        <v>218</v>
      </c>
      <c r="DZ1468">
        <v>472</v>
      </c>
      <c r="EA1468">
        <v>20</v>
      </c>
    </row>
    <row r="1469" spans="1:325" ht="20.25">
      <c r="DV1469">
        <v>83</v>
      </c>
      <c r="DW1469" t="s">
        <v>70</v>
      </c>
      <c r="DX1469" s="8">
        <v>43942</v>
      </c>
      <c r="DY1469">
        <v>242</v>
      </c>
      <c r="DZ1469">
        <v>524</v>
      </c>
      <c r="EA1469">
        <v>21</v>
      </c>
    </row>
    <row r="1470" spans="1:325" ht="20.25">
      <c r="DV1470">
        <v>83</v>
      </c>
      <c r="DW1470" t="s">
        <v>70</v>
      </c>
      <c r="DX1470" s="8">
        <v>43943</v>
      </c>
      <c r="DY1470">
        <v>245</v>
      </c>
      <c r="DZ1470">
        <v>531</v>
      </c>
      <c r="EA1470">
        <v>25</v>
      </c>
    </row>
    <row r="1471" spans="1:325" ht="20.25">
      <c r="DV1471">
        <v>83</v>
      </c>
      <c r="DW1471" t="s">
        <v>70</v>
      </c>
      <c r="DX1471" s="8">
        <v>43944</v>
      </c>
      <c r="DY1471">
        <v>255</v>
      </c>
      <c r="DZ1471">
        <v>553</v>
      </c>
      <c r="EA1471">
        <v>27</v>
      </c>
    </row>
    <row r="1472" spans="1:325" ht="20.25">
      <c r="DV1472">
        <v>83</v>
      </c>
      <c r="DW1472" t="s">
        <v>70</v>
      </c>
      <c r="DX1472" s="8">
        <v>43945</v>
      </c>
      <c r="DY1472">
        <v>266</v>
      </c>
      <c r="DZ1472">
        <v>576</v>
      </c>
      <c r="EA1472">
        <v>31</v>
      </c>
    </row>
    <row r="1473" spans="1:325" ht="20.25">
      <c r="DV1473">
        <v>83</v>
      </c>
      <c r="DW1473" t="s">
        <v>70</v>
      </c>
      <c r="DX1473" s="8">
        <v>43946</v>
      </c>
      <c r="DY1473">
        <v>274</v>
      </c>
      <c r="DZ1473">
        <v>594</v>
      </c>
      <c r="EA1473">
        <v>31</v>
      </c>
    </row>
    <row r="1474" spans="1:325" ht="20.25">
      <c r="DV1474">
        <v>83</v>
      </c>
      <c r="DW1474" t="s">
        <v>70</v>
      </c>
      <c r="DX1474" s="8">
        <v>43947</v>
      </c>
      <c r="DY1474">
        <v>277</v>
      </c>
      <c r="DZ1474">
        <v>600</v>
      </c>
      <c r="EA1474">
        <v>33</v>
      </c>
    </row>
    <row r="1475" spans="1:325" ht="20.25">
      <c r="DV1475">
        <v>83</v>
      </c>
      <c r="DW1475" t="s">
        <v>70</v>
      </c>
      <c r="DX1475" s="8">
        <v>43948</v>
      </c>
      <c r="DY1475">
        <v>293</v>
      </c>
      <c r="DZ1475">
        <v>635</v>
      </c>
      <c r="EA1475">
        <v>35</v>
      </c>
    </row>
    <row r="1476" spans="1:325" ht="20.25">
      <c r="DV1476">
        <v>83</v>
      </c>
      <c r="DW1476" t="s">
        <v>70</v>
      </c>
      <c r="DX1476" s="8">
        <v>43949</v>
      </c>
      <c r="DY1476">
        <v>295</v>
      </c>
      <c r="DZ1476">
        <v>639</v>
      </c>
      <c r="EA1476">
        <v>35</v>
      </c>
    </row>
    <row r="1477" spans="1:325" ht="20.25">
      <c r="DV1477">
        <v>83</v>
      </c>
      <c r="DW1477" t="s">
        <v>70</v>
      </c>
      <c r="DX1477" s="8">
        <v>43950</v>
      </c>
      <c r="DY1477">
        <v>303</v>
      </c>
      <c r="DZ1477">
        <v>657</v>
      </c>
      <c r="EA1477">
        <v>39</v>
      </c>
    </row>
    <row r="1478" spans="1:325" ht="20.25">
      <c r="DV1478">
        <v>83</v>
      </c>
      <c r="DW1478" t="s">
        <v>70</v>
      </c>
      <c r="DX1478" s="8">
        <v>43951</v>
      </c>
      <c r="DY1478">
        <v>320</v>
      </c>
      <c r="DZ1478">
        <v>693</v>
      </c>
      <c r="EA1478">
        <v>39</v>
      </c>
    </row>
    <row r="1479" spans="1:325" ht="20.25">
      <c r="DV1479">
        <v>83</v>
      </c>
      <c r="DW1479" t="s">
        <v>70</v>
      </c>
      <c r="DX1479" s="8">
        <v>43952</v>
      </c>
      <c r="DY1479">
        <v>338</v>
      </c>
      <c r="DZ1479">
        <v>732</v>
      </c>
      <c r="EA1479">
        <v>42</v>
      </c>
    </row>
    <row r="1480" spans="1:325" ht="20.25">
      <c r="DV1480">
        <v>83</v>
      </c>
      <c r="DW1480" t="s">
        <v>70</v>
      </c>
      <c r="DX1480" s="8">
        <v>43953</v>
      </c>
      <c r="DY1480">
        <v>341</v>
      </c>
      <c r="DZ1480">
        <v>739</v>
      </c>
      <c r="EA1480">
        <v>47</v>
      </c>
    </row>
    <row r="1481" spans="1:325" ht="20.25">
      <c r="DV1481">
        <v>83</v>
      </c>
      <c r="DW1481" t="s">
        <v>70</v>
      </c>
      <c r="DX1481" s="8">
        <v>43954</v>
      </c>
      <c r="DY1481">
        <v>344</v>
      </c>
      <c r="DZ1481">
        <v>745</v>
      </c>
      <c r="EA1481">
        <v>47</v>
      </c>
    </row>
    <row r="1482" spans="1:325" ht="20.25">
      <c r="DV1482">
        <v>83</v>
      </c>
      <c r="DW1482" t="s">
        <v>70</v>
      </c>
      <c r="DX1482" s="8">
        <v>43955</v>
      </c>
      <c r="DY1482">
        <v>352</v>
      </c>
      <c r="DZ1482">
        <v>763</v>
      </c>
      <c r="EA1482">
        <v>48</v>
      </c>
    </row>
    <row r="1483" spans="1:325" ht="20.25">
      <c r="DV1483">
        <v>83</v>
      </c>
      <c r="DW1483" t="s">
        <v>70</v>
      </c>
      <c r="DX1483" s="8">
        <v>43956</v>
      </c>
      <c r="DY1483">
        <v>358</v>
      </c>
      <c r="DZ1483">
        <v>776</v>
      </c>
      <c r="EA1483">
        <v>50</v>
      </c>
    </row>
    <row r="1484" spans="1:325" ht="20.25">
      <c r="DV1484">
        <v>83</v>
      </c>
      <c r="DW1484" t="s">
        <v>70</v>
      </c>
      <c r="DX1484" s="8">
        <v>43957</v>
      </c>
      <c r="DY1484">
        <v>374</v>
      </c>
      <c r="DZ1484">
        <v>810</v>
      </c>
      <c r="EA1484">
        <v>55</v>
      </c>
    </row>
    <row r="1485" spans="1:325" ht="20.25">
      <c r="DV1485">
        <v>83</v>
      </c>
      <c r="DW1485" t="s">
        <v>70</v>
      </c>
      <c r="DX1485" s="8">
        <v>43958</v>
      </c>
      <c r="DY1485">
        <v>381</v>
      </c>
      <c r="DZ1485">
        <v>826</v>
      </c>
      <c r="EA1485">
        <v>57</v>
      </c>
    </row>
    <row r="1486" spans="1:325" ht="20.25">
      <c r="DV1486">
        <v>83</v>
      </c>
      <c r="DW1486" t="s">
        <v>70</v>
      </c>
      <c r="DX1486" s="8">
        <v>43959</v>
      </c>
      <c r="DY1486">
        <v>390</v>
      </c>
      <c r="DZ1486">
        <v>845</v>
      </c>
      <c r="EA1486">
        <v>62</v>
      </c>
    </row>
    <row r="1487" spans="1:325" ht="20.25">
      <c r="DV1487">
        <v>83</v>
      </c>
      <c r="DW1487" t="s">
        <v>70</v>
      </c>
      <c r="DX1487" s="8">
        <v>43960</v>
      </c>
      <c r="DY1487">
        <v>395</v>
      </c>
      <c r="DZ1487">
        <v>856</v>
      </c>
      <c r="EA1487">
        <v>63</v>
      </c>
    </row>
    <row r="1488" spans="1:325" ht="20.25">
      <c r="DV1488">
        <v>83</v>
      </c>
      <c r="DW1488" t="s">
        <v>70</v>
      </c>
      <c r="DX1488" s="8">
        <v>43961</v>
      </c>
      <c r="DY1488">
        <v>396</v>
      </c>
      <c r="DZ1488">
        <v>858</v>
      </c>
      <c r="EA1488">
        <v>64</v>
      </c>
    </row>
    <row r="1489" spans="1:325" ht="20.25">
      <c r="DV1489">
        <v>83</v>
      </c>
      <c r="DW1489" t="s">
        <v>70</v>
      </c>
      <c r="DX1489" s="8">
        <v>43962</v>
      </c>
      <c r="DY1489">
        <v>410</v>
      </c>
      <c r="DZ1489">
        <v>888</v>
      </c>
      <c r="EA1489">
        <v>65</v>
      </c>
    </row>
    <row r="1490" spans="1:325" ht="20.25">
      <c r="DV1490">
        <v>83</v>
      </c>
      <c r="DW1490" t="s">
        <v>70</v>
      </c>
      <c r="DX1490" s="8">
        <v>43963</v>
      </c>
      <c r="DY1490">
        <v>420</v>
      </c>
      <c r="DZ1490">
        <v>910</v>
      </c>
      <c r="EA1490">
        <v>63</v>
      </c>
    </row>
    <row r="1491" spans="1:325" ht="20.25">
      <c r="DV1491">
        <v>83</v>
      </c>
      <c r="DW1491" t="s">
        <v>70</v>
      </c>
      <c r="DX1491" s="8">
        <v>43964</v>
      </c>
      <c r="DY1491">
        <v>442</v>
      </c>
      <c r="DZ1491">
        <v>958</v>
      </c>
      <c r="EA1491">
        <v>64</v>
      </c>
    </row>
    <row r="1492" spans="1:325" ht="20.25">
      <c r="DV1492">
        <v>83</v>
      </c>
      <c r="DW1492" t="s">
        <v>70</v>
      </c>
      <c r="DX1492" s="8">
        <v>43965</v>
      </c>
      <c r="DY1492">
        <v>453</v>
      </c>
      <c r="DZ1492">
        <v>982</v>
      </c>
      <c r="EA1492">
        <v>67</v>
      </c>
    </row>
    <row r="1493" spans="1:325" ht="20.25">
      <c r="DV1493">
        <v>83</v>
      </c>
      <c r="DW1493" t="s">
        <v>70</v>
      </c>
      <c r="DX1493" s="8">
        <v>43966</v>
      </c>
      <c r="DY1493">
        <v>463</v>
      </c>
      <c r="DZ1493">
        <v>1003</v>
      </c>
      <c r="EA1493">
        <v>67</v>
      </c>
    </row>
    <row r="1494" spans="1:325" ht="20.25">
      <c r="DV1494">
        <v>86</v>
      </c>
      <c r="DW1494" t="s">
        <v>71</v>
      </c>
      <c r="DX1494" s="8">
        <v>43914</v>
      </c>
      <c r="DY1494">
        <v>1</v>
      </c>
      <c r="EA1494">
        <v>0</v>
      </c>
    </row>
    <row r="1495" spans="1:325" ht="20.25">
      <c r="DV1495">
        <v>86</v>
      </c>
      <c r="DW1495" t="s">
        <v>71</v>
      </c>
      <c r="DX1495" s="8">
        <v>43915</v>
      </c>
      <c r="DY1495">
        <v>1</v>
      </c>
      <c r="EA1495">
        <v>0</v>
      </c>
    </row>
    <row r="1496" spans="1:325" ht="20.25">
      <c r="DV1496">
        <v>86</v>
      </c>
      <c r="DW1496" t="s">
        <v>71</v>
      </c>
      <c r="DX1496" s="8">
        <v>43916</v>
      </c>
      <c r="DY1496">
        <v>1</v>
      </c>
      <c r="EA1496">
        <v>0</v>
      </c>
    </row>
    <row r="1497" spans="1:325" ht="20.25">
      <c r="DV1497">
        <v>86</v>
      </c>
      <c r="DW1497" t="s">
        <v>71</v>
      </c>
      <c r="DX1497" s="8">
        <v>43917</v>
      </c>
      <c r="DY1497">
        <v>1</v>
      </c>
      <c r="EA1497">
        <v>0</v>
      </c>
    </row>
    <row r="1498" spans="1:325" ht="20.25">
      <c r="DV1498">
        <v>86</v>
      </c>
      <c r="DW1498" t="s">
        <v>71</v>
      </c>
      <c r="DX1498" s="8">
        <v>43918</v>
      </c>
      <c r="DY1498">
        <v>1</v>
      </c>
      <c r="EA1498">
        <v>0</v>
      </c>
    </row>
    <row r="1499" spans="1:325" ht="20.25">
      <c r="DV1499">
        <v>86</v>
      </c>
      <c r="DW1499" t="s">
        <v>71</v>
      </c>
      <c r="DX1499" s="8">
        <v>43919</v>
      </c>
      <c r="DY1499">
        <v>1</v>
      </c>
      <c r="EA1499">
        <v>0</v>
      </c>
    </row>
    <row r="1500" spans="1:325" ht="20.25">
      <c r="DV1500">
        <v>86</v>
      </c>
      <c r="DW1500" t="s">
        <v>71</v>
      </c>
      <c r="DX1500" s="8">
        <v>43920</v>
      </c>
      <c r="DY1500">
        <v>1</v>
      </c>
      <c r="EA1500">
        <v>0</v>
      </c>
    </row>
    <row r="1501" spans="1:325" ht="20.25">
      <c r="DV1501">
        <v>86</v>
      </c>
      <c r="DW1501" t="s">
        <v>71</v>
      </c>
      <c r="DX1501" s="8">
        <v>43921</v>
      </c>
      <c r="DY1501">
        <v>2</v>
      </c>
      <c r="EA1501">
        <v>0</v>
      </c>
    </row>
    <row r="1502" spans="1:325" ht="20.25">
      <c r="DV1502">
        <v>86</v>
      </c>
      <c r="DW1502" t="s">
        <v>71</v>
      </c>
      <c r="DX1502" s="8">
        <v>43922</v>
      </c>
      <c r="DY1502">
        <v>3</v>
      </c>
      <c r="EA1502">
        <v>0</v>
      </c>
    </row>
    <row r="1503" spans="1:325" ht="20.25">
      <c r="DV1503">
        <v>86</v>
      </c>
      <c r="DW1503" t="s">
        <v>71</v>
      </c>
      <c r="DX1503" s="8">
        <v>43923</v>
      </c>
      <c r="DY1503">
        <v>2</v>
      </c>
      <c r="EA1503">
        <v>0</v>
      </c>
    </row>
    <row r="1504" spans="1:325" ht="20.25">
      <c r="DV1504">
        <v>86</v>
      </c>
      <c r="DW1504" t="s">
        <v>71</v>
      </c>
      <c r="DX1504" s="8">
        <v>43924</v>
      </c>
      <c r="DY1504">
        <v>2</v>
      </c>
      <c r="EA1504">
        <v>0</v>
      </c>
    </row>
    <row r="1505" spans="1:325" ht="20.25">
      <c r="DV1505">
        <v>86</v>
      </c>
      <c r="DW1505" t="s">
        <v>71</v>
      </c>
      <c r="DX1505" s="8">
        <v>43925</v>
      </c>
      <c r="DY1505">
        <v>2</v>
      </c>
      <c r="EA1505">
        <v>0</v>
      </c>
    </row>
    <row r="1506" spans="1:325" ht="20.25">
      <c r="DV1506">
        <v>86</v>
      </c>
      <c r="DW1506" t="s">
        <v>71</v>
      </c>
      <c r="DX1506" s="8">
        <v>43926</v>
      </c>
      <c r="DY1506">
        <v>2</v>
      </c>
      <c r="EA1506">
        <v>0</v>
      </c>
    </row>
    <row r="1507" spans="1:325" ht="20.25">
      <c r="DV1507">
        <v>86</v>
      </c>
      <c r="DW1507" t="s">
        <v>71</v>
      </c>
      <c r="DX1507" s="8">
        <v>43927</v>
      </c>
      <c r="DY1507">
        <v>2</v>
      </c>
      <c r="EA1507">
        <v>0</v>
      </c>
    </row>
    <row r="1508" spans="1:325" ht="20.25">
      <c r="DV1508">
        <v>86</v>
      </c>
      <c r="DW1508" t="s">
        <v>71</v>
      </c>
      <c r="DX1508" s="8">
        <v>43928</v>
      </c>
      <c r="DY1508">
        <v>3</v>
      </c>
      <c r="EA1508">
        <v>0</v>
      </c>
    </row>
    <row r="1509" spans="1:325" ht="20.25">
      <c r="DV1509">
        <v>86</v>
      </c>
      <c r="DW1509" t="s">
        <v>71</v>
      </c>
      <c r="DX1509" s="8">
        <v>43929</v>
      </c>
      <c r="DY1509">
        <v>13</v>
      </c>
      <c r="EA1509">
        <v>0</v>
      </c>
    </row>
    <row r="1510" spans="1:325" ht="20.25">
      <c r="DV1510">
        <v>86</v>
      </c>
      <c r="DW1510" t="s">
        <v>71</v>
      </c>
      <c r="DX1510" s="8">
        <v>43930</v>
      </c>
      <c r="DY1510">
        <v>14</v>
      </c>
      <c r="EA1510">
        <v>0</v>
      </c>
    </row>
    <row r="1511" spans="1:325" ht="20.25">
      <c r="DV1511">
        <v>86</v>
      </c>
      <c r="DW1511" t="s">
        <v>71</v>
      </c>
      <c r="DX1511" s="8">
        <v>43931</v>
      </c>
      <c r="DY1511">
        <v>15</v>
      </c>
      <c r="EA1511">
        <v>0</v>
      </c>
    </row>
    <row r="1512" spans="1:325" ht="20.25">
      <c r="DV1512">
        <v>86</v>
      </c>
      <c r="DW1512" t="s">
        <v>71</v>
      </c>
      <c r="DX1512" s="8">
        <v>43932</v>
      </c>
      <c r="DY1512">
        <v>18</v>
      </c>
      <c r="EA1512">
        <v>0</v>
      </c>
    </row>
    <row r="1513" spans="1:325" ht="20.25">
      <c r="DV1513">
        <v>86</v>
      </c>
      <c r="DW1513" t="s">
        <v>71</v>
      </c>
      <c r="DX1513" s="8">
        <v>43933</v>
      </c>
      <c r="DY1513">
        <v>19</v>
      </c>
      <c r="EA1513">
        <v>0</v>
      </c>
    </row>
    <row r="1514" spans="1:325" ht="20.25">
      <c r="DV1514">
        <v>86</v>
      </c>
      <c r="DW1514" t="s">
        <v>71</v>
      </c>
      <c r="DX1514" s="8">
        <v>43934</v>
      </c>
      <c r="DY1514">
        <v>19</v>
      </c>
      <c r="EA1514">
        <v>0</v>
      </c>
    </row>
    <row r="1515" spans="1:325" ht="20.25">
      <c r="DV1515">
        <v>86</v>
      </c>
      <c r="DW1515" t="s">
        <v>71</v>
      </c>
      <c r="DX1515" s="8">
        <v>43935</v>
      </c>
      <c r="DY1515">
        <v>19</v>
      </c>
      <c r="EA1515">
        <v>0</v>
      </c>
    </row>
    <row r="1516" spans="1:325" ht="20.25">
      <c r="DV1516">
        <v>86</v>
      </c>
      <c r="DW1516" t="s">
        <v>71</v>
      </c>
      <c r="DX1516" s="8">
        <v>43936</v>
      </c>
      <c r="DY1516">
        <v>21</v>
      </c>
      <c r="EA1516">
        <v>0</v>
      </c>
    </row>
    <row r="1517" spans="1:325" ht="20.25">
      <c r="DV1517">
        <v>86</v>
      </c>
      <c r="DW1517" t="s">
        <v>71</v>
      </c>
      <c r="DX1517" s="8">
        <v>43937</v>
      </c>
      <c r="DY1517">
        <v>24</v>
      </c>
      <c r="DZ1517">
        <v>128</v>
      </c>
      <c r="EA1517">
        <v>0</v>
      </c>
    </row>
    <row r="1518" spans="1:325" ht="20.25">
      <c r="DV1518">
        <v>86</v>
      </c>
      <c r="DW1518" t="s">
        <v>71</v>
      </c>
      <c r="DX1518" s="8">
        <v>43938</v>
      </c>
      <c r="DY1518">
        <v>39</v>
      </c>
      <c r="DZ1518">
        <v>208</v>
      </c>
      <c r="EA1518">
        <v>0</v>
      </c>
    </row>
    <row r="1519" spans="1:325" ht="20.25">
      <c r="DV1519">
        <v>86</v>
      </c>
      <c r="DW1519" t="s">
        <v>71</v>
      </c>
      <c r="DX1519" s="8">
        <v>43939</v>
      </c>
      <c r="DY1519">
        <v>39</v>
      </c>
      <c r="DZ1519">
        <v>208</v>
      </c>
      <c r="EA1519">
        <v>0</v>
      </c>
    </row>
    <row r="1520" spans="1:325" ht="20.25">
      <c r="DV1520">
        <v>86</v>
      </c>
      <c r="DW1520" t="s">
        <v>71</v>
      </c>
      <c r="DX1520" s="8">
        <v>43940</v>
      </c>
      <c r="DY1520">
        <v>39</v>
      </c>
      <c r="DZ1520">
        <v>208</v>
      </c>
      <c r="EA1520">
        <v>0</v>
      </c>
    </row>
    <row r="1521" spans="1:325" ht="20.25">
      <c r="DV1521">
        <v>86</v>
      </c>
      <c r="DW1521" t="s">
        <v>71</v>
      </c>
      <c r="DX1521" s="8">
        <v>43941</v>
      </c>
      <c r="DY1521">
        <v>41</v>
      </c>
      <c r="DZ1521">
        <v>219</v>
      </c>
      <c r="EA1521">
        <v>0</v>
      </c>
    </row>
    <row r="1522" spans="1:325" ht="20.25">
      <c r="DV1522">
        <v>86</v>
      </c>
      <c r="DW1522" t="s">
        <v>71</v>
      </c>
      <c r="DX1522" s="8">
        <v>43942</v>
      </c>
      <c r="DY1522">
        <v>46</v>
      </c>
      <c r="DZ1522">
        <v>246</v>
      </c>
      <c r="EA1522">
        <v>0</v>
      </c>
    </row>
    <row r="1523" spans="1:325" ht="20.25">
      <c r="DV1523">
        <v>86</v>
      </c>
      <c r="DW1523" t="s">
        <v>71</v>
      </c>
      <c r="DX1523" s="8">
        <v>43943</v>
      </c>
      <c r="DY1523">
        <v>52</v>
      </c>
      <c r="DZ1523">
        <v>278</v>
      </c>
      <c r="EA1523">
        <v>0</v>
      </c>
    </row>
    <row r="1524" spans="1:325" ht="20.25">
      <c r="DV1524">
        <v>86</v>
      </c>
      <c r="DW1524" t="s">
        <v>71</v>
      </c>
      <c r="DX1524" s="8">
        <v>43944</v>
      </c>
      <c r="DY1524">
        <v>56</v>
      </c>
      <c r="DZ1524">
        <v>299</v>
      </c>
      <c r="EA1524">
        <v>0</v>
      </c>
    </row>
    <row r="1525" spans="1:325" ht="20.25">
      <c r="DV1525">
        <v>86</v>
      </c>
      <c r="DW1525" t="s">
        <v>71</v>
      </c>
      <c r="DX1525" s="8">
        <v>43945</v>
      </c>
      <c r="DY1525">
        <v>58</v>
      </c>
      <c r="DZ1525">
        <v>310</v>
      </c>
      <c r="EA1525">
        <v>0</v>
      </c>
    </row>
    <row r="1526" spans="1:325" ht="20.25">
      <c r="DV1526">
        <v>86</v>
      </c>
      <c r="DW1526" t="s">
        <v>71</v>
      </c>
      <c r="DX1526" s="8">
        <v>43946</v>
      </c>
      <c r="DY1526">
        <v>59</v>
      </c>
      <c r="DZ1526">
        <v>315</v>
      </c>
      <c r="EA1526">
        <v>0</v>
      </c>
    </row>
    <row r="1527" spans="1:325" ht="20.25">
      <c r="DV1527">
        <v>86</v>
      </c>
      <c r="DW1527" t="s">
        <v>71</v>
      </c>
      <c r="DX1527" s="8">
        <v>43947</v>
      </c>
      <c r="DY1527">
        <v>59</v>
      </c>
      <c r="DZ1527">
        <v>315</v>
      </c>
      <c r="EA1527">
        <v>0</v>
      </c>
    </row>
    <row r="1528" spans="1:325" ht="20.25">
      <c r="DV1528">
        <v>86</v>
      </c>
      <c r="DW1528" t="s">
        <v>71</v>
      </c>
      <c r="DX1528" s="8">
        <v>43948</v>
      </c>
      <c r="DY1528">
        <v>61</v>
      </c>
      <c r="DZ1528">
        <v>326</v>
      </c>
      <c r="EA1528">
        <v>0</v>
      </c>
    </row>
    <row r="1529" spans="1:325" ht="20.25">
      <c r="DV1529">
        <v>86</v>
      </c>
      <c r="DW1529" t="s">
        <v>71</v>
      </c>
      <c r="DX1529" s="8">
        <v>43949</v>
      </c>
      <c r="DY1529">
        <v>62</v>
      </c>
      <c r="DZ1529">
        <v>331</v>
      </c>
      <c r="EA1529">
        <v>0</v>
      </c>
    </row>
    <row r="1530" spans="1:325" ht="20.25">
      <c r="DV1530">
        <v>86</v>
      </c>
      <c r="DW1530" t="s">
        <v>71</v>
      </c>
      <c r="DX1530" s="8">
        <v>43950</v>
      </c>
      <c r="DY1530">
        <v>63</v>
      </c>
      <c r="DZ1530">
        <v>337</v>
      </c>
      <c r="EA1530">
        <v>0</v>
      </c>
    </row>
    <row r="1531" spans="1:325" ht="20.25">
      <c r="DV1531">
        <v>86</v>
      </c>
      <c r="DW1531" t="s">
        <v>71</v>
      </c>
      <c r="DX1531" s="8">
        <v>43951</v>
      </c>
      <c r="DY1531">
        <v>65</v>
      </c>
      <c r="DZ1531">
        <v>347</v>
      </c>
      <c r="EA1531">
        <v>0</v>
      </c>
    </row>
    <row r="1532" spans="1:325" ht="20.25">
      <c r="DV1532">
        <v>86</v>
      </c>
      <c r="DW1532" t="s">
        <v>71</v>
      </c>
      <c r="DX1532" s="8">
        <v>43952</v>
      </c>
      <c r="DY1532">
        <v>66</v>
      </c>
      <c r="DZ1532">
        <v>353</v>
      </c>
      <c r="EA1532">
        <v>0</v>
      </c>
    </row>
    <row r="1533" spans="1:325" ht="20.25">
      <c r="DV1533">
        <v>86</v>
      </c>
      <c r="DW1533" t="s">
        <v>71</v>
      </c>
      <c r="DX1533" s="8">
        <v>43953</v>
      </c>
      <c r="DY1533">
        <v>67</v>
      </c>
      <c r="DZ1533">
        <v>358</v>
      </c>
      <c r="EA1533">
        <v>0</v>
      </c>
    </row>
    <row r="1534" spans="1:325" ht="20.25">
      <c r="DV1534">
        <v>86</v>
      </c>
      <c r="DW1534" t="s">
        <v>71</v>
      </c>
      <c r="DX1534" s="8">
        <v>43954</v>
      </c>
      <c r="DY1534">
        <v>67</v>
      </c>
      <c r="DZ1534">
        <v>358</v>
      </c>
      <c r="EA1534">
        <v>0</v>
      </c>
    </row>
    <row r="1535" spans="1:325" ht="20.25">
      <c r="DV1535">
        <v>86</v>
      </c>
      <c r="DW1535" t="s">
        <v>71</v>
      </c>
      <c r="DX1535" s="8">
        <v>43955</v>
      </c>
      <c r="DY1535">
        <v>72</v>
      </c>
      <c r="DZ1535">
        <v>385</v>
      </c>
      <c r="EA1535">
        <v>0</v>
      </c>
    </row>
    <row r="1536" spans="1:325" ht="20.25">
      <c r="DV1536">
        <v>86</v>
      </c>
      <c r="DW1536" t="s">
        <v>71</v>
      </c>
      <c r="DX1536" s="8">
        <v>43956</v>
      </c>
      <c r="DY1536">
        <v>79</v>
      </c>
      <c r="DZ1536">
        <v>422</v>
      </c>
      <c r="EA1536">
        <v>0</v>
      </c>
    </row>
    <row r="1537" spans="1:325" ht="20.25">
      <c r="DV1537">
        <v>86</v>
      </c>
      <c r="DW1537" t="s">
        <v>71</v>
      </c>
      <c r="DX1537" s="8">
        <v>43957</v>
      </c>
      <c r="DY1537">
        <v>95</v>
      </c>
      <c r="DZ1537">
        <v>508</v>
      </c>
      <c r="EA1537">
        <v>0</v>
      </c>
    </row>
    <row r="1538" spans="1:325" ht="20.25">
      <c r="DV1538">
        <v>86</v>
      </c>
      <c r="DW1538" t="s">
        <v>71</v>
      </c>
      <c r="DX1538" s="8">
        <v>43958</v>
      </c>
      <c r="DY1538">
        <v>96</v>
      </c>
      <c r="DZ1538">
        <v>513</v>
      </c>
      <c r="EA1538">
        <v>0</v>
      </c>
    </row>
    <row r="1539" spans="1:325" ht="20.25">
      <c r="DV1539">
        <v>86</v>
      </c>
      <c r="DW1539" t="s">
        <v>71</v>
      </c>
      <c r="DX1539" s="8">
        <v>43959</v>
      </c>
      <c r="DY1539">
        <v>98</v>
      </c>
      <c r="DZ1539">
        <v>524</v>
      </c>
      <c r="EA1539">
        <v>0</v>
      </c>
    </row>
    <row r="1540" spans="1:325" ht="20.25">
      <c r="DV1540">
        <v>86</v>
      </c>
      <c r="DW1540" t="s">
        <v>71</v>
      </c>
      <c r="DX1540" s="8">
        <v>43960</v>
      </c>
      <c r="DY1540">
        <v>98</v>
      </c>
      <c r="DZ1540">
        <v>524</v>
      </c>
      <c r="EA1540">
        <v>0</v>
      </c>
    </row>
    <row r="1541" spans="1:325" ht="20.25">
      <c r="DV1541">
        <v>86</v>
      </c>
      <c r="DW1541" t="s">
        <v>71</v>
      </c>
      <c r="DX1541" s="8">
        <v>43961</v>
      </c>
      <c r="DY1541">
        <v>98</v>
      </c>
      <c r="DZ1541">
        <v>524</v>
      </c>
      <c r="EA1541">
        <v>0</v>
      </c>
    </row>
    <row r="1542" spans="1:325" ht="20.25">
      <c r="DV1542">
        <v>86</v>
      </c>
      <c r="DW1542" t="s">
        <v>71</v>
      </c>
      <c r="DX1542" s="8">
        <v>43962</v>
      </c>
      <c r="DY1542">
        <v>99</v>
      </c>
      <c r="DZ1542">
        <v>529</v>
      </c>
      <c r="EA1542">
        <v>0</v>
      </c>
    </row>
    <row r="1543" spans="1:325" ht="20.25">
      <c r="DV1543">
        <v>86</v>
      </c>
      <c r="DW1543" t="s">
        <v>71</v>
      </c>
      <c r="DX1543" s="8">
        <v>43963</v>
      </c>
      <c r="DY1543">
        <v>101</v>
      </c>
      <c r="DZ1543">
        <v>540</v>
      </c>
      <c r="EA1543">
        <v>0</v>
      </c>
    </row>
    <row r="1544" spans="1:325" ht="20.25">
      <c r="DV1544">
        <v>86</v>
      </c>
      <c r="DW1544" t="s">
        <v>71</v>
      </c>
      <c r="DX1544" s="8">
        <v>43964</v>
      </c>
      <c r="DY1544">
        <v>101</v>
      </c>
      <c r="DZ1544">
        <v>540</v>
      </c>
      <c r="EA1544">
        <v>0</v>
      </c>
    </row>
    <row r="1545" spans="1:325" ht="20.25">
      <c r="DV1545">
        <v>86</v>
      </c>
      <c r="DW1545" t="s">
        <v>71</v>
      </c>
      <c r="DX1545" s="8">
        <v>43965</v>
      </c>
      <c r="DY1545">
        <v>103</v>
      </c>
      <c r="DZ1545">
        <v>550</v>
      </c>
      <c r="EA1545">
        <v>0</v>
      </c>
    </row>
    <row r="1546" spans="1:325" ht="20.25">
      <c r="DV1546">
        <v>86</v>
      </c>
      <c r="DW1546" t="s">
        <v>71</v>
      </c>
      <c r="DX1546" s="8">
        <v>43966</v>
      </c>
      <c r="DY1546">
        <v>104</v>
      </c>
      <c r="DZ1546">
        <v>556</v>
      </c>
      <c r="EA1546">
        <v>0</v>
      </c>
    </row>
    <row r="1547" spans="1:325" ht="20.25">
      <c r="DV1547">
        <v>89</v>
      </c>
      <c r="DW1547" t="s">
        <v>72</v>
      </c>
      <c r="DX1547" s="8">
        <v>43914</v>
      </c>
      <c r="DY1547">
        <v>5</v>
      </c>
      <c r="EA1547">
        <v>0</v>
      </c>
    </row>
    <row r="1548" spans="1:325" ht="20.25">
      <c r="DV1548">
        <v>89</v>
      </c>
      <c r="DW1548" t="s">
        <v>72</v>
      </c>
      <c r="DX1548" s="8">
        <v>43915</v>
      </c>
      <c r="DY1548">
        <v>6</v>
      </c>
      <c r="EA1548">
        <v>0</v>
      </c>
    </row>
    <row r="1549" spans="1:325" ht="20.25">
      <c r="DV1549">
        <v>89</v>
      </c>
      <c r="DW1549" t="s">
        <v>72</v>
      </c>
      <c r="DX1549" s="8">
        <v>43916</v>
      </c>
      <c r="DY1549">
        <v>8</v>
      </c>
      <c r="EA1549">
        <v>0</v>
      </c>
    </row>
    <row r="1550" spans="1:325" ht="20.25">
      <c r="DV1550">
        <v>89</v>
      </c>
      <c r="DW1550" t="s">
        <v>72</v>
      </c>
      <c r="DX1550" s="8">
        <v>43917</v>
      </c>
      <c r="DY1550">
        <v>11</v>
      </c>
      <c r="EA1550">
        <v>0</v>
      </c>
    </row>
    <row r="1551" spans="1:325" ht="20.25">
      <c r="DV1551">
        <v>89</v>
      </c>
      <c r="DW1551" t="s">
        <v>72</v>
      </c>
      <c r="DX1551" s="8">
        <v>43918</v>
      </c>
      <c r="DY1551">
        <v>15</v>
      </c>
      <c r="EA1551">
        <v>0</v>
      </c>
    </row>
    <row r="1552" spans="1:325" ht="20.25">
      <c r="DV1552">
        <v>89</v>
      </c>
      <c r="DW1552" t="s">
        <v>72</v>
      </c>
      <c r="DX1552" s="8">
        <v>43919</v>
      </c>
      <c r="DY1552">
        <v>20</v>
      </c>
      <c r="EA1552">
        <v>0</v>
      </c>
    </row>
    <row r="1553" spans="1:325" ht="20.25">
      <c r="DV1553">
        <v>89</v>
      </c>
      <c r="DW1553" t="s">
        <v>72</v>
      </c>
      <c r="DX1553" s="8">
        <v>43920</v>
      </c>
      <c r="DY1553">
        <v>26</v>
      </c>
      <c r="EA1553">
        <v>0</v>
      </c>
    </row>
    <row r="1554" spans="1:325" ht="20.25">
      <c r="DV1554">
        <v>89</v>
      </c>
      <c r="DW1554" t="s">
        <v>72</v>
      </c>
      <c r="DX1554" s="8">
        <v>43921</v>
      </c>
      <c r="DY1554">
        <v>27</v>
      </c>
      <c r="EA1554">
        <v>1</v>
      </c>
    </row>
    <row r="1555" spans="1:325" ht="20.25">
      <c r="DV1555">
        <v>89</v>
      </c>
      <c r="DW1555" t="s">
        <v>72</v>
      </c>
      <c r="DX1555" s="8">
        <v>43922</v>
      </c>
      <c r="DY1555">
        <v>32</v>
      </c>
      <c r="EA1555">
        <v>1</v>
      </c>
    </row>
    <row r="1556" spans="1:325" ht="20.25">
      <c r="DV1556">
        <v>89</v>
      </c>
      <c r="DW1556" t="s">
        <v>72</v>
      </c>
      <c r="DX1556" s="8">
        <v>43923</v>
      </c>
      <c r="DY1556">
        <v>36</v>
      </c>
      <c r="EA1556">
        <v>1</v>
      </c>
    </row>
    <row r="1557" spans="1:325" ht="20.25">
      <c r="DV1557">
        <v>89</v>
      </c>
      <c r="DW1557" t="s">
        <v>72</v>
      </c>
      <c r="DX1557" s="8">
        <v>43924</v>
      </c>
      <c r="DY1557">
        <v>48</v>
      </c>
      <c r="EA1557">
        <v>1</v>
      </c>
    </row>
    <row r="1558" spans="1:325" ht="20.25">
      <c r="DV1558">
        <v>89</v>
      </c>
      <c r="DW1558" t="s">
        <v>72</v>
      </c>
      <c r="DX1558" s="8">
        <v>43925</v>
      </c>
      <c r="DY1558">
        <v>49</v>
      </c>
      <c r="EA1558">
        <v>1</v>
      </c>
    </row>
    <row r="1559" spans="1:325" ht="20.25">
      <c r="DV1559">
        <v>89</v>
      </c>
      <c r="DW1559" t="s">
        <v>72</v>
      </c>
      <c r="DX1559" s="8">
        <v>43926</v>
      </c>
      <c r="DY1559">
        <v>49</v>
      </c>
      <c r="EA1559">
        <v>1</v>
      </c>
    </row>
    <row r="1560" spans="1:325" ht="20.25">
      <c r="DV1560">
        <v>89</v>
      </c>
      <c r="DW1560" t="s">
        <v>72</v>
      </c>
      <c r="DX1560" s="8">
        <v>43927</v>
      </c>
      <c r="DY1560">
        <v>57</v>
      </c>
      <c r="EA1560">
        <v>1</v>
      </c>
    </row>
    <row r="1561" spans="1:325" ht="20.25">
      <c r="DV1561">
        <v>89</v>
      </c>
      <c r="DW1561" t="s">
        <v>72</v>
      </c>
      <c r="DX1561" s="8">
        <v>43928</v>
      </c>
      <c r="DY1561">
        <v>66</v>
      </c>
      <c r="EA1561">
        <v>1</v>
      </c>
    </row>
    <row r="1562" spans="1:325" ht="20.25">
      <c r="DV1562">
        <v>89</v>
      </c>
      <c r="DW1562" t="s">
        <v>72</v>
      </c>
      <c r="DX1562" s="8">
        <v>43929</v>
      </c>
      <c r="DY1562">
        <v>87</v>
      </c>
      <c r="EA1562">
        <v>1</v>
      </c>
    </row>
    <row r="1563" spans="1:325" ht="20.25">
      <c r="DV1563">
        <v>89</v>
      </c>
      <c r="DW1563" t="s">
        <v>72</v>
      </c>
      <c r="DX1563" s="8">
        <v>43930</v>
      </c>
      <c r="DY1563">
        <v>94</v>
      </c>
      <c r="EA1563">
        <v>1</v>
      </c>
    </row>
    <row r="1564" spans="1:325" ht="20.25">
      <c r="DV1564">
        <v>89</v>
      </c>
      <c r="DW1564" t="s">
        <v>72</v>
      </c>
      <c r="DX1564" s="8">
        <v>43931</v>
      </c>
      <c r="DY1564">
        <v>102</v>
      </c>
      <c r="EA1564">
        <v>2</v>
      </c>
    </row>
    <row r="1565" spans="1:325" ht="20.25">
      <c r="DV1565">
        <v>89</v>
      </c>
      <c r="DW1565" t="s">
        <v>72</v>
      </c>
      <c r="DX1565" s="8">
        <v>43932</v>
      </c>
      <c r="DY1565">
        <v>123</v>
      </c>
      <c r="EA1565">
        <v>2</v>
      </c>
    </row>
    <row r="1566" spans="1:325" ht="20.25">
      <c r="DV1566">
        <v>89</v>
      </c>
      <c r="DW1566" t="s">
        <v>72</v>
      </c>
      <c r="DX1566" s="8">
        <v>43933</v>
      </c>
      <c r="DY1566">
        <v>136</v>
      </c>
      <c r="EA1566">
        <v>3</v>
      </c>
    </row>
    <row r="1567" spans="1:325" ht="20.25">
      <c r="DV1567">
        <v>89</v>
      </c>
      <c r="DW1567" t="s">
        <v>72</v>
      </c>
      <c r="DX1567" s="8">
        <v>43934</v>
      </c>
      <c r="DY1567">
        <v>166</v>
      </c>
      <c r="EA1567">
        <v>4</v>
      </c>
    </row>
    <row r="1568" spans="1:325" ht="20.25">
      <c r="DV1568">
        <v>89</v>
      </c>
      <c r="DW1568" t="s">
        <v>72</v>
      </c>
      <c r="DX1568" s="8">
        <v>43935</v>
      </c>
      <c r="DY1568">
        <v>176</v>
      </c>
      <c r="EA1568">
        <v>5</v>
      </c>
    </row>
    <row r="1569" spans="1:325" ht="20.25">
      <c r="DV1569">
        <v>89</v>
      </c>
      <c r="DW1569" t="s">
        <v>72</v>
      </c>
      <c r="DX1569" s="8">
        <v>43936</v>
      </c>
      <c r="DY1569">
        <v>185</v>
      </c>
      <c r="EA1569">
        <v>6</v>
      </c>
    </row>
    <row r="1570" spans="1:325" ht="20.25">
      <c r="DV1570">
        <v>89</v>
      </c>
      <c r="DW1570" t="s">
        <v>72</v>
      </c>
      <c r="DX1570" s="8">
        <v>43937</v>
      </c>
      <c r="DY1570">
        <v>202</v>
      </c>
      <c r="DZ1570">
        <v>279</v>
      </c>
      <c r="EA1570">
        <v>9</v>
      </c>
    </row>
    <row r="1571" spans="1:325" ht="20.25">
      <c r="DV1571">
        <v>89</v>
      </c>
      <c r="DW1571" t="s">
        <v>72</v>
      </c>
      <c r="DX1571" s="8">
        <v>43938</v>
      </c>
      <c r="DY1571">
        <v>217</v>
      </c>
      <c r="DZ1571">
        <v>300</v>
      </c>
      <c r="EA1571">
        <v>10</v>
      </c>
    </row>
    <row r="1572" spans="1:325" ht="20.25">
      <c r="DV1572">
        <v>89</v>
      </c>
      <c r="DW1572" t="s">
        <v>72</v>
      </c>
      <c r="DX1572" s="8">
        <v>43939</v>
      </c>
      <c r="DY1572">
        <v>239</v>
      </c>
      <c r="DZ1572">
        <v>330</v>
      </c>
      <c r="EA1572">
        <v>12</v>
      </c>
    </row>
    <row r="1573" spans="1:325" ht="20.25">
      <c r="DV1573">
        <v>89</v>
      </c>
      <c r="DW1573" t="s">
        <v>72</v>
      </c>
      <c r="DX1573" s="8">
        <v>43940</v>
      </c>
      <c r="DY1573">
        <v>252</v>
      </c>
      <c r="DZ1573">
        <v>348</v>
      </c>
      <c r="EA1573">
        <v>12</v>
      </c>
    </row>
    <row r="1574" spans="1:325" ht="20.25">
      <c r="DV1574">
        <v>89</v>
      </c>
      <c r="DW1574" t="s">
        <v>72</v>
      </c>
      <c r="DX1574" s="8">
        <v>43941</v>
      </c>
      <c r="DY1574">
        <v>284</v>
      </c>
      <c r="DZ1574">
        <v>392</v>
      </c>
      <c r="EA1574">
        <v>16</v>
      </c>
    </row>
    <row r="1575" spans="1:325" ht="20.25">
      <c r="DV1575">
        <v>89</v>
      </c>
      <c r="DW1575" t="s">
        <v>72</v>
      </c>
      <c r="DX1575" s="8">
        <v>43942</v>
      </c>
      <c r="DY1575">
        <v>291</v>
      </c>
      <c r="DZ1575">
        <v>402</v>
      </c>
      <c r="EA1575">
        <v>19</v>
      </c>
    </row>
    <row r="1576" spans="1:325" ht="20.25">
      <c r="DV1576">
        <v>89</v>
      </c>
      <c r="DW1576" t="s">
        <v>72</v>
      </c>
      <c r="DX1576" s="8">
        <v>43943</v>
      </c>
      <c r="DY1576">
        <v>304</v>
      </c>
      <c r="DZ1576">
        <v>420</v>
      </c>
      <c r="EA1576">
        <v>21</v>
      </c>
    </row>
    <row r="1577" spans="1:325" ht="20.25">
      <c r="DV1577">
        <v>89</v>
      </c>
      <c r="DW1577" t="s">
        <v>72</v>
      </c>
      <c r="DX1577" s="8">
        <v>43944</v>
      </c>
      <c r="DY1577">
        <v>325</v>
      </c>
      <c r="DZ1577">
        <v>449</v>
      </c>
      <c r="EA1577">
        <v>23</v>
      </c>
    </row>
    <row r="1578" spans="1:325" ht="20.25">
      <c r="DV1578">
        <v>89</v>
      </c>
      <c r="DW1578" t="s">
        <v>72</v>
      </c>
      <c r="DX1578" s="8">
        <v>43945</v>
      </c>
      <c r="DY1578">
        <v>345</v>
      </c>
      <c r="DZ1578">
        <v>476</v>
      </c>
      <c r="EA1578">
        <v>26</v>
      </c>
    </row>
    <row r="1579" spans="1:325" ht="20.25">
      <c r="DV1579">
        <v>89</v>
      </c>
      <c r="DW1579" t="s">
        <v>72</v>
      </c>
      <c r="DX1579" s="8">
        <v>43946</v>
      </c>
      <c r="DY1579">
        <v>364</v>
      </c>
      <c r="DZ1579">
        <v>502</v>
      </c>
      <c r="EA1579">
        <v>27</v>
      </c>
    </row>
    <row r="1580" spans="1:325" ht="20.25">
      <c r="DV1580">
        <v>89</v>
      </c>
      <c r="DW1580" t="s">
        <v>72</v>
      </c>
      <c r="DX1580" s="8">
        <v>43947</v>
      </c>
      <c r="DY1580">
        <v>377</v>
      </c>
      <c r="DZ1580">
        <v>520</v>
      </c>
      <c r="EA1580">
        <v>27</v>
      </c>
    </row>
    <row r="1581" spans="1:325" ht="20.25">
      <c r="DV1581">
        <v>89</v>
      </c>
      <c r="DW1581" t="s">
        <v>72</v>
      </c>
      <c r="DX1581" s="8">
        <v>43948</v>
      </c>
      <c r="DY1581">
        <v>402</v>
      </c>
      <c r="DZ1581">
        <v>555</v>
      </c>
      <c r="EA1581">
        <v>29</v>
      </c>
    </row>
    <row r="1582" spans="1:325" ht="20.25">
      <c r="DV1582">
        <v>89</v>
      </c>
      <c r="DW1582" t="s">
        <v>72</v>
      </c>
      <c r="DX1582" s="8">
        <v>43949</v>
      </c>
      <c r="DY1582">
        <v>409</v>
      </c>
      <c r="DZ1582">
        <v>565</v>
      </c>
      <c r="EA1582">
        <v>31</v>
      </c>
    </row>
    <row r="1583" spans="1:325" ht="20.25">
      <c r="DV1583">
        <v>89</v>
      </c>
      <c r="DW1583" t="s">
        <v>72</v>
      </c>
      <c r="DX1583" s="8">
        <v>43950</v>
      </c>
      <c r="DY1583">
        <v>423</v>
      </c>
      <c r="DZ1583">
        <v>584</v>
      </c>
      <c r="EA1583">
        <v>31</v>
      </c>
    </row>
    <row r="1584" spans="1:325" ht="20.25">
      <c r="DV1584">
        <v>89</v>
      </c>
      <c r="DW1584" t="s">
        <v>72</v>
      </c>
      <c r="DX1584" s="8">
        <v>43951</v>
      </c>
      <c r="DY1584">
        <v>452</v>
      </c>
      <c r="DZ1584">
        <v>624</v>
      </c>
      <c r="EA1584">
        <v>35</v>
      </c>
    </row>
    <row r="1585" spans="1:325" ht="20.25">
      <c r="DV1585">
        <v>89</v>
      </c>
      <c r="DW1585" t="s">
        <v>72</v>
      </c>
      <c r="DX1585" s="8">
        <v>43952</v>
      </c>
      <c r="DY1585">
        <v>498</v>
      </c>
      <c r="DZ1585">
        <v>687</v>
      </c>
      <c r="EA1585">
        <v>36</v>
      </c>
    </row>
    <row r="1586" spans="1:325" ht="20.25">
      <c r="DV1586">
        <v>89</v>
      </c>
      <c r="DW1586" t="s">
        <v>72</v>
      </c>
      <c r="DX1586" s="8">
        <v>43953</v>
      </c>
      <c r="DY1586">
        <v>522</v>
      </c>
      <c r="DZ1586">
        <v>720</v>
      </c>
      <c r="EA1586">
        <v>37</v>
      </c>
    </row>
    <row r="1587" spans="1:325" ht="20.25">
      <c r="DV1587">
        <v>89</v>
      </c>
      <c r="DW1587" t="s">
        <v>72</v>
      </c>
      <c r="DX1587" s="8">
        <v>43954</v>
      </c>
      <c r="DY1587">
        <v>527</v>
      </c>
      <c r="DZ1587">
        <v>727</v>
      </c>
      <c r="EA1587">
        <v>38</v>
      </c>
    </row>
    <row r="1588" spans="1:325" ht="20.25">
      <c r="DV1588">
        <v>89</v>
      </c>
      <c r="DW1588" t="s">
        <v>72</v>
      </c>
      <c r="DX1588" s="8">
        <v>43955</v>
      </c>
      <c r="DY1588">
        <v>549</v>
      </c>
      <c r="DZ1588">
        <v>758</v>
      </c>
      <c r="EA1588">
        <v>37</v>
      </c>
    </row>
    <row r="1589" spans="1:325" ht="20.25">
      <c r="DV1589">
        <v>89</v>
      </c>
      <c r="DW1589" t="s">
        <v>72</v>
      </c>
      <c r="DX1589" s="8">
        <v>43956</v>
      </c>
      <c r="DY1589">
        <v>564</v>
      </c>
      <c r="DZ1589">
        <v>778</v>
      </c>
      <c r="EA1589">
        <v>38</v>
      </c>
    </row>
    <row r="1590" spans="1:325" ht="20.25">
      <c r="DV1590">
        <v>89</v>
      </c>
      <c r="DW1590" t="s">
        <v>72</v>
      </c>
      <c r="DX1590" s="8">
        <v>43957</v>
      </c>
      <c r="DY1590">
        <v>594</v>
      </c>
      <c r="DZ1590">
        <v>820</v>
      </c>
      <c r="EA1590">
        <v>41</v>
      </c>
    </row>
    <row r="1591" spans="1:325" ht="20.25">
      <c r="DV1591">
        <v>89</v>
      </c>
      <c r="DW1591" t="s">
        <v>72</v>
      </c>
      <c r="DX1591" s="8">
        <v>43958</v>
      </c>
      <c r="DY1591">
        <v>619</v>
      </c>
      <c r="DZ1591">
        <v>854</v>
      </c>
      <c r="EA1591">
        <v>43</v>
      </c>
    </row>
    <row r="1592" spans="1:325" ht="20.25">
      <c r="DV1592">
        <v>89</v>
      </c>
      <c r="DW1592" t="s">
        <v>72</v>
      </c>
      <c r="DX1592" s="8">
        <v>43959</v>
      </c>
      <c r="DY1592">
        <v>647</v>
      </c>
      <c r="DZ1592">
        <v>893</v>
      </c>
      <c r="EA1592">
        <v>45</v>
      </c>
    </row>
    <row r="1593" spans="1:325" ht="20.25">
      <c r="DV1593">
        <v>89</v>
      </c>
      <c r="DW1593" t="s">
        <v>72</v>
      </c>
      <c r="DX1593" s="8">
        <v>43960</v>
      </c>
      <c r="DY1593">
        <v>655</v>
      </c>
      <c r="DZ1593">
        <v>904</v>
      </c>
      <c r="EA1593">
        <v>47</v>
      </c>
    </row>
    <row r="1594" spans="1:325" ht="20.25">
      <c r="DV1594">
        <v>89</v>
      </c>
      <c r="DW1594" t="s">
        <v>72</v>
      </c>
      <c r="DX1594" s="8">
        <v>43961</v>
      </c>
      <c r="DY1594">
        <v>659</v>
      </c>
      <c r="DZ1594">
        <v>910</v>
      </c>
      <c r="EA1594">
        <v>47</v>
      </c>
    </row>
    <row r="1595" spans="1:325" ht="20.25">
      <c r="DV1595">
        <v>89</v>
      </c>
      <c r="DW1595" t="s">
        <v>72</v>
      </c>
      <c r="DX1595" s="8">
        <v>43962</v>
      </c>
      <c r="DY1595">
        <v>679</v>
      </c>
      <c r="DZ1595">
        <v>937</v>
      </c>
      <c r="EA1595">
        <v>51</v>
      </c>
    </row>
    <row r="1596" spans="1:325" ht="20.25">
      <c r="DV1596">
        <v>89</v>
      </c>
      <c r="DW1596" t="s">
        <v>72</v>
      </c>
      <c r="DX1596" s="8">
        <v>43963</v>
      </c>
      <c r="DY1596">
        <v>711</v>
      </c>
      <c r="DZ1596">
        <v>981</v>
      </c>
      <c r="EA1596">
        <v>54</v>
      </c>
    </row>
    <row r="1597" spans="1:325" ht="20.25">
      <c r="DV1597">
        <v>89</v>
      </c>
      <c r="DW1597" t="s">
        <v>72</v>
      </c>
      <c r="DX1597" s="8">
        <v>43964</v>
      </c>
      <c r="DY1597">
        <v>731</v>
      </c>
      <c r="DZ1597">
        <v>1009</v>
      </c>
      <c r="EA1597">
        <v>59</v>
      </c>
    </row>
    <row r="1598" spans="1:325" ht="20.25">
      <c r="DV1598">
        <v>89</v>
      </c>
      <c r="DW1598" t="s">
        <v>72</v>
      </c>
      <c r="DX1598" s="8">
        <v>43965</v>
      </c>
      <c r="DY1598">
        <v>741</v>
      </c>
      <c r="DZ1598">
        <v>1023</v>
      </c>
      <c r="EA1598">
        <v>61</v>
      </c>
    </row>
    <row r="1599" spans="1:325" ht="20.25">
      <c r="DV1599">
        <v>89</v>
      </c>
      <c r="DW1599" t="s">
        <v>72</v>
      </c>
      <c r="DX1599" s="8">
        <v>43966</v>
      </c>
      <c r="DY1599">
        <v>752</v>
      </c>
      <c r="DZ1599">
        <v>1038</v>
      </c>
      <c r="EA1599">
        <v>66</v>
      </c>
    </row>
    <row r="1600" spans="1:325" ht="20.25">
      <c r="DV1600">
        <v>92</v>
      </c>
      <c r="DW1600" t="s">
        <v>50</v>
      </c>
      <c r="DX1600" s="8">
        <v>43914</v>
      </c>
      <c r="DY1600">
        <v>0</v>
      </c>
      <c r="EA1600">
        <v>0</v>
      </c>
    </row>
    <row r="1601" spans="1:325" ht="20.25">
      <c r="DV1601">
        <v>92</v>
      </c>
      <c r="DW1601" t="s">
        <v>50</v>
      </c>
      <c r="DX1601" s="8">
        <v>43915</v>
      </c>
      <c r="DY1601">
        <v>0</v>
      </c>
      <c r="EA1601">
        <v>0</v>
      </c>
    </row>
    <row r="1602" spans="1:325" ht="20.25">
      <c r="DV1602">
        <v>92</v>
      </c>
      <c r="DW1602" t="s">
        <v>50</v>
      </c>
      <c r="DX1602" s="8">
        <v>43916</v>
      </c>
      <c r="DY1602">
        <v>0</v>
      </c>
      <c r="EA1602">
        <v>0</v>
      </c>
    </row>
    <row r="1603" spans="1:325" ht="20.25">
      <c r="DV1603">
        <v>92</v>
      </c>
      <c r="DW1603" t="s">
        <v>50</v>
      </c>
      <c r="DX1603" s="8">
        <v>43917</v>
      </c>
      <c r="DY1603">
        <v>0</v>
      </c>
      <c r="EA1603">
        <v>0</v>
      </c>
    </row>
    <row r="1604" spans="1:325" ht="20.25">
      <c r="DV1604">
        <v>92</v>
      </c>
      <c r="DW1604" t="s">
        <v>50</v>
      </c>
      <c r="DX1604" s="8">
        <v>43918</v>
      </c>
      <c r="DY1604">
        <v>0</v>
      </c>
      <c r="EA1604">
        <v>0</v>
      </c>
    </row>
    <row r="1605" spans="1:325" ht="20.25">
      <c r="DV1605">
        <v>92</v>
      </c>
      <c r="DW1605" t="s">
        <v>50</v>
      </c>
      <c r="DX1605" s="8">
        <v>43919</v>
      </c>
      <c r="DY1605">
        <v>1</v>
      </c>
      <c r="EA1605">
        <v>0</v>
      </c>
    </row>
    <row r="1606" spans="1:325" ht="20.25">
      <c r="DV1606">
        <v>92</v>
      </c>
      <c r="DW1606" t="s">
        <v>50</v>
      </c>
      <c r="DX1606" s="8">
        <v>43920</v>
      </c>
      <c r="DY1606">
        <v>1</v>
      </c>
      <c r="EA1606">
        <v>0</v>
      </c>
    </row>
    <row r="1607" spans="1:325" ht="20.25">
      <c r="DV1607">
        <v>92</v>
      </c>
      <c r="DW1607" t="s">
        <v>50</v>
      </c>
      <c r="DX1607" s="8">
        <v>43921</v>
      </c>
      <c r="DY1607">
        <v>3</v>
      </c>
      <c r="EA1607">
        <v>0</v>
      </c>
    </row>
    <row r="1608" spans="1:325" ht="20.25">
      <c r="DV1608">
        <v>92</v>
      </c>
      <c r="DW1608" t="s">
        <v>50</v>
      </c>
      <c r="DX1608" s="8">
        <v>43922</v>
      </c>
      <c r="DY1608">
        <v>3</v>
      </c>
      <c r="EA1608">
        <v>0</v>
      </c>
    </row>
    <row r="1609" spans="1:325" ht="20.25">
      <c r="DV1609">
        <v>92</v>
      </c>
      <c r="DW1609" t="s">
        <v>50</v>
      </c>
      <c r="DX1609" s="8">
        <v>43923</v>
      </c>
      <c r="DY1609">
        <v>3</v>
      </c>
      <c r="EA1609">
        <v>0</v>
      </c>
    </row>
    <row r="1610" spans="1:325" ht="20.25">
      <c r="DV1610">
        <v>92</v>
      </c>
      <c r="DW1610" t="s">
        <v>50</v>
      </c>
      <c r="DX1610" s="8">
        <v>43924</v>
      </c>
      <c r="DY1610">
        <v>3</v>
      </c>
      <c r="EA1610">
        <v>0</v>
      </c>
    </row>
    <row r="1611" spans="1:325" ht="20.25">
      <c r="DV1611">
        <v>92</v>
      </c>
      <c r="DW1611" t="s">
        <v>50</v>
      </c>
      <c r="DX1611" s="8">
        <v>43925</v>
      </c>
      <c r="DY1611">
        <v>3</v>
      </c>
      <c r="EA1611">
        <v>0</v>
      </c>
    </row>
    <row r="1612" spans="1:325" ht="20.25">
      <c r="DV1612">
        <v>92</v>
      </c>
      <c r="DW1612" t="s">
        <v>50</v>
      </c>
      <c r="DX1612" s="8">
        <v>43926</v>
      </c>
      <c r="DY1612">
        <v>3</v>
      </c>
      <c r="EA1612">
        <v>0</v>
      </c>
    </row>
    <row r="1613" spans="1:325" ht="20.25">
      <c r="DV1613">
        <v>92</v>
      </c>
      <c r="DW1613" t="s">
        <v>50</v>
      </c>
      <c r="DX1613" s="8">
        <v>43927</v>
      </c>
      <c r="DY1613">
        <v>3</v>
      </c>
      <c r="EA1613">
        <v>1</v>
      </c>
    </row>
    <row r="1614" spans="1:325" ht="20.25">
      <c r="DV1614">
        <v>92</v>
      </c>
      <c r="DW1614" t="s">
        <v>50</v>
      </c>
      <c r="DX1614" s="8">
        <v>43928</v>
      </c>
      <c r="DY1614">
        <v>3</v>
      </c>
      <c r="EA1614">
        <v>1</v>
      </c>
    </row>
    <row r="1615" spans="1:325" ht="20.25">
      <c r="DV1615">
        <v>92</v>
      </c>
      <c r="DW1615" t="s">
        <v>50</v>
      </c>
      <c r="DX1615" s="8">
        <v>43929</v>
      </c>
      <c r="DY1615">
        <v>6</v>
      </c>
      <c r="EA1615">
        <v>1</v>
      </c>
    </row>
    <row r="1616" spans="1:325" ht="20.25">
      <c r="DV1616">
        <v>92</v>
      </c>
      <c r="DW1616" t="s">
        <v>50</v>
      </c>
      <c r="DX1616" s="8">
        <v>43930</v>
      </c>
      <c r="DY1616">
        <v>7</v>
      </c>
      <c r="EA1616">
        <v>1</v>
      </c>
    </row>
    <row r="1617" spans="1:325" ht="20.25">
      <c r="DV1617">
        <v>92</v>
      </c>
      <c r="DW1617" t="s">
        <v>50</v>
      </c>
      <c r="DX1617" s="8">
        <v>43931</v>
      </c>
      <c r="DY1617">
        <v>7</v>
      </c>
      <c r="EA1617">
        <v>1</v>
      </c>
    </row>
    <row r="1618" spans="1:325" ht="20.25">
      <c r="DV1618">
        <v>92</v>
      </c>
      <c r="DW1618" t="s">
        <v>50</v>
      </c>
      <c r="DX1618" s="8">
        <v>43932</v>
      </c>
      <c r="DY1618">
        <v>9</v>
      </c>
      <c r="EA1618">
        <v>1</v>
      </c>
    </row>
    <row r="1619" spans="1:325" ht="20.25">
      <c r="DV1619">
        <v>92</v>
      </c>
      <c r="DW1619" t="s">
        <v>50</v>
      </c>
      <c r="DX1619" s="8">
        <v>43933</v>
      </c>
      <c r="DY1619">
        <v>9</v>
      </c>
      <c r="EA1619">
        <v>2</v>
      </c>
    </row>
    <row r="1620" spans="1:325" ht="20.25">
      <c r="DV1620">
        <v>92</v>
      </c>
      <c r="DW1620" t="s">
        <v>50</v>
      </c>
      <c r="DX1620" s="8">
        <v>43934</v>
      </c>
      <c r="DY1620">
        <v>10</v>
      </c>
      <c r="EA1620">
        <v>1</v>
      </c>
    </row>
    <row r="1621" spans="1:325" ht="20.25">
      <c r="DV1621">
        <v>92</v>
      </c>
      <c r="DW1621" t="s">
        <v>50</v>
      </c>
      <c r="DX1621" s="8">
        <v>43935</v>
      </c>
      <c r="DY1621">
        <v>10</v>
      </c>
      <c r="EA1621">
        <v>1</v>
      </c>
    </row>
    <row r="1622" spans="1:325" ht="20.25">
      <c r="DV1622">
        <v>92</v>
      </c>
      <c r="DW1622" t="s">
        <v>50</v>
      </c>
      <c r="DX1622" s="8">
        <v>43936</v>
      </c>
      <c r="DY1622">
        <v>10</v>
      </c>
      <c r="EA1622">
        <v>1</v>
      </c>
    </row>
    <row r="1623" spans="1:325" ht="20.25">
      <c r="DV1623">
        <v>92</v>
      </c>
      <c r="DW1623" t="s">
        <v>50</v>
      </c>
      <c r="DX1623" s="8">
        <v>43937</v>
      </c>
      <c r="DY1623">
        <v>10</v>
      </c>
      <c r="DZ1623">
        <v>150</v>
      </c>
      <c r="EA1623">
        <v>1</v>
      </c>
    </row>
    <row r="1624" spans="1:325" ht="20.25">
      <c r="DV1624">
        <v>92</v>
      </c>
      <c r="DW1624" t="s">
        <v>50</v>
      </c>
      <c r="DX1624" s="8">
        <v>43938</v>
      </c>
      <c r="DY1624">
        <v>11</v>
      </c>
      <c r="DZ1624">
        <v>165</v>
      </c>
      <c r="EA1624">
        <v>1</v>
      </c>
    </row>
    <row r="1625" spans="1:325" ht="20.25">
      <c r="DV1625">
        <v>92</v>
      </c>
      <c r="DW1625" t="s">
        <v>50</v>
      </c>
      <c r="DX1625" s="8">
        <v>43939</v>
      </c>
      <c r="DY1625">
        <v>11</v>
      </c>
      <c r="DZ1625">
        <v>165</v>
      </c>
      <c r="EA1625">
        <v>1</v>
      </c>
    </row>
    <row r="1626" spans="1:325" ht="20.25">
      <c r="DV1626">
        <v>92</v>
      </c>
      <c r="DW1626" t="s">
        <v>50</v>
      </c>
      <c r="DX1626" s="8">
        <v>43940</v>
      </c>
      <c r="DY1626">
        <v>12</v>
      </c>
      <c r="DZ1626">
        <v>180</v>
      </c>
      <c r="EA1626">
        <v>1</v>
      </c>
    </row>
    <row r="1627" spans="1:325" ht="20.25">
      <c r="DV1627">
        <v>92</v>
      </c>
      <c r="DW1627" t="s">
        <v>50</v>
      </c>
      <c r="DX1627" s="8">
        <v>43941</v>
      </c>
      <c r="DY1627">
        <v>13</v>
      </c>
      <c r="DZ1627">
        <v>194</v>
      </c>
      <c r="EA1627">
        <v>1</v>
      </c>
    </row>
    <row r="1628" spans="1:325" ht="20.25">
      <c r="DV1628">
        <v>92</v>
      </c>
      <c r="DW1628" t="s">
        <v>50</v>
      </c>
      <c r="DX1628" s="8">
        <v>43942</v>
      </c>
      <c r="DY1628">
        <v>13</v>
      </c>
      <c r="DZ1628">
        <v>194</v>
      </c>
      <c r="EA1628">
        <v>1</v>
      </c>
    </row>
    <row r="1629" spans="1:325" ht="20.25">
      <c r="DV1629">
        <v>92</v>
      </c>
      <c r="DW1629" t="s">
        <v>50</v>
      </c>
      <c r="DX1629" s="8">
        <v>43943</v>
      </c>
      <c r="DY1629">
        <v>13</v>
      </c>
      <c r="DZ1629">
        <v>194</v>
      </c>
      <c r="EA1629">
        <v>1</v>
      </c>
    </row>
    <row r="1630" spans="1:325" ht="20.25">
      <c r="DV1630">
        <v>92</v>
      </c>
      <c r="DW1630" t="s">
        <v>50</v>
      </c>
      <c r="DX1630" s="8">
        <v>43944</v>
      </c>
      <c r="DY1630">
        <v>14</v>
      </c>
      <c r="DZ1630">
        <v>209</v>
      </c>
      <c r="EA1630">
        <v>1</v>
      </c>
    </row>
    <row r="1631" spans="1:325" ht="20.25">
      <c r="DV1631">
        <v>92</v>
      </c>
      <c r="DW1631" t="s">
        <v>50</v>
      </c>
      <c r="DX1631" s="8">
        <v>43945</v>
      </c>
      <c r="DY1631">
        <v>15</v>
      </c>
      <c r="DZ1631">
        <v>224</v>
      </c>
      <c r="EA1631">
        <v>1</v>
      </c>
    </row>
    <row r="1632" spans="1:325" ht="20.25">
      <c r="DV1632">
        <v>92</v>
      </c>
      <c r="DW1632" t="s">
        <v>50</v>
      </c>
      <c r="DX1632" s="8">
        <v>43946</v>
      </c>
      <c r="DY1632">
        <v>16</v>
      </c>
      <c r="DZ1632">
        <v>239</v>
      </c>
      <c r="EA1632">
        <v>1</v>
      </c>
    </row>
    <row r="1633" spans="1:325" ht="20.25">
      <c r="DV1633">
        <v>92</v>
      </c>
      <c r="DW1633" t="s">
        <v>50</v>
      </c>
      <c r="DX1633" s="8">
        <v>43947</v>
      </c>
      <c r="DY1633">
        <v>17</v>
      </c>
      <c r="DZ1633">
        <v>254</v>
      </c>
      <c r="EA1633">
        <v>1</v>
      </c>
    </row>
    <row r="1634" spans="1:325" ht="20.25">
      <c r="DV1634">
        <v>92</v>
      </c>
      <c r="DW1634" t="s">
        <v>50</v>
      </c>
      <c r="DX1634" s="8">
        <v>43948</v>
      </c>
      <c r="DY1634">
        <v>17</v>
      </c>
      <c r="DZ1634">
        <v>254</v>
      </c>
      <c r="EA1634">
        <v>1</v>
      </c>
    </row>
    <row r="1635" spans="1:325" ht="20.25">
      <c r="DV1635">
        <v>92</v>
      </c>
      <c r="DW1635" t="s">
        <v>50</v>
      </c>
      <c r="DX1635" s="8">
        <v>43949</v>
      </c>
      <c r="DY1635">
        <v>18</v>
      </c>
      <c r="DZ1635">
        <v>269</v>
      </c>
      <c r="EA1635">
        <v>1</v>
      </c>
    </row>
    <row r="1636" spans="1:325" ht="20.25">
      <c r="DV1636">
        <v>92</v>
      </c>
      <c r="DW1636" t="s">
        <v>50</v>
      </c>
      <c r="DX1636" s="8">
        <v>43950</v>
      </c>
      <c r="DY1636">
        <v>19</v>
      </c>
      <c r="DZ1636">
        <v>284</v>
      </c>
      <c r="EA1636">
        <v>1</v>
      </c>
    </row>
    <row r="1637" spans="1:325" ht="20.25">
      <c r="DV1637">
        <v>92</v>
      </c>
      <c r="DW1637" t="s">
        <v>50</v>
      </c>
      <c r="DX1637" s="8">
        <v>43951</v>
      </c>
      <c r="DY1637">
        <v>20</v>
      </c>
      <c r="DZ1637">
        <v>299</v>
      </c>
      <c r="EA1637">
        <v>1</v>
      </c>
    </row>
    <row r="1638" spans="1:325" ht="20.25">
      <c r="DV1638">
        <v>92</v>
      </c>
      <c r="DW1638" t="s">
        <v>50</v>
      </c>
      <c r="DX1638" s="8">
        <v>43952</v>
      </c>
      <c r="DY1638">
        <v>21</v>
      </c>
      <c r="DZ1638">
        <v>314</v>
      </c>
      <c r="EA1638">
        <v>1</v>
      </c>
    </row>
    <row r="1639" spans="1:325" ht="20.25">
      <c r="DV1639">
        <v>92</v>
      </c>
      <c r="DW1639" t="s">
        <v>50</v>
      </c>
      <c r="DX1639" s="8">
        <v>43953</v>
      </c>
      <c r="DY1639">
        <v>22</v>
      </c>
      <c r="DZ1639">
        <v>329</v>
      </c>
      <c r="EA1639">
        <v>2</v>
      </c>
    </row>
    <row r="1640" spans="1:325" ht="20.25">
      <c r="DV1640">
        <v>92</v>
      </c>
      <c r="DW1640" t="s">
        <v>50</v>
      </c>
      <c r="DX1640" s="8">
        <v>43954</v>
      </c>
      <c r="DY1640">
        <v>22</v>
      </c>
      <c r="DZ1640">
        <v>329</v>
      </c>
      <c r="EA1640">
        <v>2</v>
      </c>
    </row>
    <row r="1641" spans="1:325" ht="20.25">
      <c r="DV1641">
        <v>92</v>
      </c>
      <c r="DW1641" t="s">
        <v>50</v>
      </c>
      <c r="DX1641" s="8">
        <v>43955</v>
      </c>
      <c r="DY1641">
        <v>21</v>
      </c>
      <c r="DZ1641">
        <v>314</v>
      </c>
      <c r="EA1641">
        <v>1</v>
      </c>
    </row>
    <row r="1642" spans="1:325" ht="20.25">
      <c r="DV1642">
        <v>92</v>
      </c>
      <c r="DW1642" t="s">
        <v>50</v>
      </c>
      <c r="DX1642" s="8">
        <v>43956</v>
      </c>
      <c r="DY1642">
        <v>21</v>
      </c>
      <c r="DZ1642">
        <v>314</v>
      </c>
      <c r="EA1642">
        <v>1</v>
      </c>
    </row>
    <row r="1643" spans="1:325" ht="20.25">
      <c r="DV1643">
        <v>92</v>
      </c>
      <c r="DW1643" t="s">
        <v>50</v>
      </c>
      <c r="DX1643" s="8">
        <v>43957</v>
      </c>
      <c r="DY1643">
        <v>22</v>
      </c>
      <c r="DZ1643">
        <v>329</v>
      </c>
      <c r="EA1643">
        <v>2</v>
      </c>
    </row>
    <row r="1644" spans="1:325" ht="20.25">
      <c r="DV1644">
        <v>92</v>
      </c>
      <c r="DW1644" t="s">
        <v>50</v>
      </c>
      <c r="DX1644" s="8">
        <v>43958</v>
      </c>
      <c r="DY1644">
        <v>22</v>
      </c>
      <c r="DZ1644">
        <v>329</v>
      </c>
      <c r="EA1644">
        <v>2</v>
      </c>
    </row>
    <row r="1645" spans="1:325" ht="20.25">
      <c r="DV1645">
        <v>92</v>
      </c>
      <c r="DW1645" t="s">
        <v>50</v>
      </c>
      <c r="DX1645" s="8">
        <v>43959</v>
      </c>
      <c r="DY1645">
        <v>22</v>
      </c>
      <c r="DZ1645">
        <v>329</v>
      </c>
      <c r="EA1645">
        <v>2</v>
      </c>
    </row>
    <row r="1646" spans="1:325" ht="20.25">
      <c r="DV1646">
        <v>92</v>
      </c>
      <c r="DW1646" t="s">
        <v>50</v>
      </c>
      <c r="DX1646" s="8">
        <v>43960</v>
      </c>
      <c r="DY1646">
        <v>22</v>
      </c>
      <c r="DZ1646">
        <v>329</v>
      </c>
      <c r="EA1646">
        <v>2</v>
      </c>
    </row>
    <row r="1647" spans="1:325" ht="20.25">
      <c r="DV1647">
        <v>92</v>
      </c>
      <c r="DW1647" t="s">
        <v>50</v>
      </c>
      <c r="DX1647" s="8">
        <v>43961</v>
      </c>
      <c r="DY1647">
        <v>22</v>
      </c>
      <c r="DZ1647">
        <v>329</v>
      </c>
      <c r="EA1647">
        <v>2</v>
      </c>
    </row>
    <row r="1648" spans="1:325" ht="20.25">
      <c r="DV1648">
        <v>92</v>
      </c>
      <c r="DW1648" t="s">
        <v>50</v>
      </c>
      <c r="DX1648" s="8">
        <v>43962</v>
      </c>
      <c r="DY1648">
        <v>22</v>
      </c>
      <c r="DZ1648">
        <v>329</v>
      </c>
      <c r="EA1648">
        <v>2</v>
      </c>
    </row>
    <row r="1649" spans="1:325" ht="20.25">
      <c r="DV1649">
        <v>92</v>
      </c>
      <c r="DW1649" t="s">
        <v>50</v>
      </c>
      <c r="DX1649" s="8">
        <v>43963</v>
      </c>
      <c r="DY1649">
        <v>22</v>
      </c>
      <c r="DZ1649">
        <v>329</v>
      </c>
      <c r="EA1649">
        <v>2</v>
      </c>
    </row>
    <row r="1650" spans="1:325" ht="20.25">
      <c r="DV1650">
        <v>92</v>
      </c>
      <c r="DW1650" t="s">
        <v>50</v>
      </c>
      <c r="DX1650" s="8">
        <v>43964</v>
      </c>
      <c r="DY1650">
        <v>22</v>
      </c>
      <c r="DZ1650">
        <v>329</v>
      </c>
      <c r="EA1650">
        <v>2</v>
      </c>
    </row>
    <row r="1651" spans="1:325" ht="20.25">
      <c r="DV1651">
        <v>92</v>
      </c>
      <c r="DW1651" t="s">
        <v>50</v>
      </c>
      <c r="DX1651" s="8">
        <v>43965</v>
      </c>
      <c r="DY1651">
        <v>22</v>
      </c>
      <c r="DZ1651">
        <v>329</v>
      </c>
      <c r="EA1651">
        <v>2</v>
      </c>
    </row>
    <row r="1652" spans="1:325" ht="20.25">
      <c r="DV1652">
        <v>92</v>
      </c>
      <c r="DW1652" t="s">
        <v>50</v>
      </c>
      <c r="DX1652" s="8">
        <v>43966</v>
      </c>
      <c r="DY1652">
        <v>22</v>
      </c>
      <c r="DZ1652">
        <v>329</v>
      </c>
      <c r="EA1652">
        <v>2</v>
      </c>
    </row>
    <row r="1653" spans="1:325" ht="20.25">
      <c r="DV1653">
        <v>94</v>
      </c>
      <c r="DW1653" t="s">
        <v>73</v>
      </c>
      <c r="DX1653" s="8">
        <v>43914</v>
      </c>
      <c r="DY1653">
        <v>8</v>
      </c>
      <c r="EA1653">
        <v>0</v>
      </c>
    </row>
    <row r="1654" spans="1:325" ht="20.25">
      <c r="DV1654">
        <v>94</v>
      </c>
      <c r="DW1654" t="s">
        <v>73</v>
      </c>
      <c r="DX1654" s="8">
        <v>43915</v>
      </c>
      <c r="DY1654">
        <v>9</v>
      </c>
      <c r="EA1654">
        <v>1</v>
      </c>
    </row>
    <row r="1655" spans="1:325" ht="20.25">
      <c r="DV1655">
        <v>94</v>
      </c>
      <c r="DW1655" t="s">
        <v>73</v>
      </c>
      <c r="DX1655" s="8">
        <v>43916</v>
      </c>
      <c r="DY1655">
        <v>10</v>
      </c>
      <c r="EA1655">
        <v>1</v>
      </c>
    </row>
    <row r="1656" spans="1:325" ht="20.25">
      <c r="DV1656">
        <v>94</v>
      </c>
      <c r="DW1656" t="s">
        <v>73</v>
      </c>
      <c r="DX1656" s="8">
        <v>43917</v>
      </c>
      <c r="DY1656">
        <v>14</v>
      </c>
      <c r="EA1656">
        <v>1</v>
      </c>
    </row>
    <row r="1657" spans="1:325" ht="20.25">
      <c r="DV1657">
        <v>94</v>
      </c>
      <c r="DW1657" t="s">
        <v>73</v>
      </c>
      <c r="DX1657" s="8">
        <v>43918</v>
      </c>
      <c r="DY1657">
        <v>19</v>
      </c>
      <c r="EA1657">
        <v>1</v>
      </c>
    </row>
    <row r="1658" spans="1:325" ht="20.25">
      <c r="DV1658">
        <v>94</v>
      </c>
      <c r="DW1658" t="s">
        <v>73</v>
      </c>
      <c r="DX1658" s="8">
        <v>43919</v>
      </c>
      <c r="DY1658">
        <v>21</v>
      </c>
      <c r="EA1658">
        <v>1</v>
      </c>
    </row>
    <row r="1659" spans="1:325" ht="20.25">
      <c r="DV1659">
        <v>94</v>
      </c>
      <c r="DW1659" t="s">
        <v>73</v>
      </c>
      <c r="DX1659" s="8">
        <v>43920</v>
      </c>
      <c r="DY1659">
        <v>24</v>
      </c>
      <c r="EA1659">
        <v>1</v>
      </c>
    </row>
    <row r="1660" spans="1:325" ht="20.25">
      <c r="DV1660">
        <v>94</v>
      </c>
      <c r="DW1660" t="s">
        <v>73</v>
      </c>
      <c r="DX1660" s="8">
        <v>43921</v>
      </c>
      <c r="DY1660">
        <v>26</v>
      </c>
      <c r="EA1660">
        <v>1</v>
      </c>
    </row>
    <row r="1661" spans="1:325" ht="20.25">
      <c r="DV1661">
        <v>94</v>
      </c>
      <c r="DW1661" t="s">
        <v>73</v>
      </c>
      <c r="DX1661" s="8">
        <v>43922</v>
      </c>
      <c r="DY1661">
        <v>28</v>
      </c>
      <c r="EA1661">
        <v>1</v>
      </c>
    </row>
    <row r="1662" spans="1:325" ht="20.25">
      <c r="DV1662">
        <v>94</v>
      </c>
      <c r="DW1662" t="s">
        <v>73</v>
      </c>
      <c r="DX1662" s="8">
        <v>43923</v>
      </c>
      <c r="DY1662">
        <v>28</v>
      </c>
      <c r="EA1662">
        <v>1</v>
      </c>
    </row>
    <row r="1663" spans="1:325" ht="20.25">
      <c r="DV1663">
        <v>94</v>
      </c>
      <c r="DW1663" t="s">
        <v>73</v>
      </c>
      <c r="DX1663" s="8">
        <v>43924</v>
      </c>
      <c r="DY1663">
        <v>32</v>
      </c>
      <c r="EA1663">
        <v>1</v>
      </c>
    </row>
    <row r="1664" spans="1:325" ht="20.25">
      <c r="DV1664">
        <v>94</v>
      </c>
      <c r="DW1664" t="s">
        <v>73</v>
      </c>
      <c r="DX1664" s="8">
        <v>43925</v>
      </c>
      <c r="DY1664">
        <v>34</v>
      </c>
      <c r="EA1664">
        <v>2</v>
      </c>
    </row>
    <row r="1665" spans="1:325" ht="20.25">
      <c r="DV1665">
        <v>94</v>
      </c>
      <c r="DW1665" t="s">
        <v>73</v>
      </c>
      <c r="DX1665" s="8">
        <v>43926</v>
      </c>
      <c r="DY1665">
        <v>35</v>
      </c>
      <c r="EA1665">
        <v>2</v>
      </c>
    </row>
    <row r="1666" spans="1:325" ht="20.25">
      <c r="DV1666">
        <v>94</v>
      </c>
      <c r="DW1666" t="s">
        <v>73</v>
      </c>
      <c r="DX1666" s="8">
        <v>43927</v>
      </c>
      <c r="DY1666">
        <v>37</v>
      </c>
      <c r="EA1666">
        <v>2</v>
      </c>
    </row>
    <row r="1667" spans="1:325" ht="20.25">
      <c r="DV1667">
        <v>94</v>
      </c>
      <c r="DW1667" t="s">
        <v>73</v>
      </c>
      <c r="DX1667" s="8">
        <v>43928</v>
      </c>
      <c r="DY1667">
        <v>42</v>
      </c>
      <c r="EA1667">
        <v>2</v>
      </c>
    </row>
    <row r="1668" spans="1:325" ht="20.25">
      <c r="DV1668">
        <v>94</v>
      </c>
      <c r="DW1668" t="s">
        <v>73</v>
      </c>
      <c r="DX1668" s="8">
        <v>43929</v>
      </c>
      <c r="DY1668">
        <v>47</v>
      </c>
      <c r="EA1668">
        <v>4</v>
      </c>
    </row>
    <row r="1669" spans="1:325" ht="20.25">
      <c r="DV1669">
        <v>94</v>
      </c>
      <c r="DW1669" t="s">
        <v>73</v>
      </c>
      <c r="DX1669" s="8">
        <v>43930</v>
      </c>
      <c r="DY1669">
        <v>51</v>
      </c>
      <c r="EA1669">
        <v>3</v>
      </c>
    </row>
    <row r="1670" spans="1:325" ht="20.25">
      <c r="DV1670">
        <v>94</v>
      </c>
      <c r="DW1670" t="s">
        <v>73</v>
      </c>
      <c r="DX1670" s="8">
        <v>43931</v>
      </c>
      <c r="DY1670">
        <v>60</v>
      </c>
      <c r="EA1670">
        <v>4</v>
      </c>
    </row>
    <row r="1671" spans="1:325" ht="20.25">
      <c r="DV1671">
        <v>94</v>
      </c>
      <c r="DW1671" t="s">
        <v>73</v>
      </c>
      <c r="DX1671" s="8">
        <v>43932</v>
      </c>
      <c r="DY1671">
        <v>63</v>
      </c>
      <c r="EA1671">
        <v>5</v>
      </c>
    </row>
    <row r="1672" spans="1:325" ht="20.25">
      <c r="DV1672">
        <v>94</v>
      </c>
      <c r="DW1672" t="s">
        <v>73</v>
      </c>
      <c r="DX1672" s="8">
        <v>43933</v>
      </c>
      <c r="DY1672">
        <v>66</v>
      </c>
      <c r="EA1672">
        <v>5</v>
      </c>
    </row>
    <row r="1673" spans="1:325" ht="20.25">
      <c r="DV1673">
        <v>94</v>
      </c>
      <c r="DW1673" t="s">
        <v>73</v>
      </c>
      <c r="DX1673" s="8">
        <v>43934</v>
      </c>
      <c r="DY1673">
        <v>83</v>
      </c>
      <c r="EA1673">
        <v>5</v>
      </c>
    </row>
    <row r="1674" spans="1:325" ht="20.25">
      <c r="DV1674">
        <v>94</v>
      </c>
      <c r="DW1674" t="s">
        <v>73</v>
      </c>
      <c r="DX1674" s="8">
        <v>43935</v>
      </c>
      <c r="DY1674">
        <v>84</v>
      </c>
      <c r="EA1674">
        <v>5</v>
      </c>
    </row>
    <row r="1675" spans="1:325" ht="20.25">
      <c r="DV1675">
        <v>94</v>
      </c>
      <c r="DW1675" t="s">
        <v>73</v>
      </c>
      <c r="DX1675" s="8">
        <v>43936</v>
      </c>
      <c r="DY1675">
        <v>91</v>
      </c>
      <c r="EA1675">
        <v>6</v>
      </c>
    </row>
    <row r="1676" spans="1:325" ht="20.25">
      <c r="DV1676">
        <v>94</v>
      </c>
      <c r="DW1676" t="s">
        <v>73</v>
      </c>
      <c r="DX1676" s="8">
        <v>43937</v>
      </c>
      <c r="DY1676">
        <v>112</v>
      </c>
      <c r="DZ1676">
        <v>372</v>
      </c>
      <c r="EA1676">
        <v>8</v>
      </c>
    </row>
    <row r="1677" spans="1:325" ht="20.25">
      <c r="DV1677">
        <v>94</v>
      </c>
      <c r="DW1677" t="s">
        <v>73</v>
      </c>
      <c r="DX1677" s="8">
        <v>43938</v>
      </c>
      <c r="DY1677">
        <v>117</v>
      </c>
      <c r="DZ1677">
        <v>389</v>
      </c>
      <c r="EA1677">
        <v>9</v>
      </c>
    </row>
    <row r="1678" spans="1:325" ht="20.25">
      <c r="DV1678">
        <v>94</v>
      </c>
      <c r="DW1678" t="s">
        <v>73</v>
      </c>
      <c r="DX1678" s="8">
        <v>43939</v>
      </c>
      <c r="DY1678">
        <v>126</v>
      </c>
      <c r="DZ1678">
        <v>418</v>
      </c>
      <c r="EA1678">
        <v>9</v>
      </c>
    </row>
    <row r="1679" spans="1:325" ht="20.25">
      <c r="DV1679">
        <v>94</v>
      </c>
      <c r="DW1679" t="s">
        <v>73</v>
      </c>
      <c r="DX1679" s="8">
        <v>43940</v>
      </c>
      <c r="DY1679">
        <v>131</v>
      </c>
      <c r="DZ1679">
        <v>435</v>
      </c>
      <c r="EA1679">
        <v>9</v>
      </c>
    </row>
    <row r="1680" spans="1:325" ht="20.25">
      <c r="DV1680">
        <v>94</v>
      </c>
      <c r="DW1680" t="s">
        <v>73</v>
      </c>
      <c r="DX1680" s="8">
        <v>43941</v>
      </c>
      <c r="DY1680">
        <v>148</v>
      </c>
      <c r="DZ1680">
        <v>491</v>
      </c>
      <c r="EA1680">
        <v>11</v>
      </c>
    </row>
    <row r="1681" spans="1:325" ht="20.25">
      <c r="DV1681">
        <v>94</v>
      </c>
      <c r="DW1681" t="s">
        <v>73</v>
      </c>
      <c r="DX1681" s="8">
        <v>43942</v>
      </c>
      <c r="DY1681">
        <v>151</v>
      </c>
      <c r="DZ1681">
        <v>501</v>
      </c>
      <c r="EA1681">
        <v>13</v>
      </c>
    </row>
    <row r="1682" spans="1:325" ht="20.25">
      <c r="DV1682">
        <v>94</v>
      </c>
      <c r="DW1682" t="s">
        <v>73</v>
      </c>
      <c r="DX1682" s="8">
        <v>43943</v>
      </c>
      <c r="DY1682">
        <v>160</v>
      </c>
      <c r="DZ1682">
        <v>531</v>
      </c>
      <c r="EA1682">
        <v>13</v>
      </c>
    </row>
    <row r="1683" spans="1:325" ht="20.25">
      <c r="DV1683">
        <v>94</v>
      </c>
      <c r="DW1683" t="s">
        <v>73</v>
      </c>
      <c r="DX1683" s="8">
        <v>43944</v>
      </c>
      <c r="DY1683">
        <v>167</v>
      </c>
      <c r="DZ1683">
        <v>555</v>
      </c>
      <c r="EA1683">
        <v>18</v>
      </c>
    </row>
    <row r="1684" spans="1:325" ht="20.25">
      <c r="DV1684">
        <v>94</v>
      </c>
      <c r="DW1684" t="s">
        <v>73</v>
      </c>
      <c r="DX1684" s="8">
        <v>43945</v>
      </c>
      <c r="DY1684">
        <v>169</v>
      </c>
      <c r="DZ1684">
        <v>561</v>
      </c>
      <c r="EA1684">
        <v>18</v>
      </c>
    </row>
    <row r="1685" spans="1:325" ht="20.25">
      <c r="DV1685">
        <v>94</v>
      </c>
      <c r="DW1685" t="s">
        <v>73</v>
      </c>
      <c r="DX1685" s="8">
        <v>43946</v>
      </c>
      <c r="DY1685">
        <v>173</v>
      </c>
      <c r="DZ1685">
        <v>575</v>
      </c>
      <c r="EA1685">
        <v>22</v>
      </c>
    </row>
    <row r="1686" spans="1:325" ht="20.25">
      <c r="DV1686">
        <v>94</v>
      </c>
      <c r="DW1686" t="s">
        <v>73</v>
      </c>
      <c r="DX1686" s="8">
        <v>43947</v>
      </c>
      <c r="DY1686">
        <v>185</v>
      </c>
      <c r="DZ1686">
        <v>614</v>
      </c>
      <c r="EA1686">
        <v>23</v>
      </c>
    </row>
    <row r="1687" spans="1:325" ht="20.25">
      <c r="DV1687">
        <v>94</v>
      </c>
      <c r="DW1687" t="s">
        <v>73</v>
      </c>
      <c r="DX1687" s="8">
        <v>43948</v>
      </c>
      <c r="DY1687">
        <v>189</v>
      </c>
      <c r="DZ1687">
        <v>628</v>
      </c>
      <c r="EA1687">
        <v>24</v>
      </c>
    </row>
    <row r="1688" spans="1:325" ht="20.25">
      <c r="DV1688">
        <v>94</v>
      </c>
      <c r="DW1688" t="s">
        <v>73</v>
      </c>
      <c r="DX1688" s="8">
        <v>43949</v>
      </c>
      <c r="DY1688">
        <v>190</v>
      </c>
      <c r="DZ1688">
        <v>631</v>
      </c>
      <c r="EA1688">
        <v>25</v>
      </c>
    </row>
    <row r="1689" spans="1:325" ht="20.25">
      <c r="DV1689">
        <v>94</v>
      </c>
      <c r="DW1689" t="s">
        <v>73</v>
      </c>
      <c r="DX1689" s="8">
        <v>43950</v>
      </c>
      <c r="DY1689">
        <v>197</v>
      </c>
      <c r="DZ1689">
        <v>654</v>
      </c>
      <c r="EA1689">
        <v>27</v>
      </c>
    </row>
    <row r="1690" spans="1:325" ht="20.25">
      <c r="DV1690">
        <v>94</v>
      </c>
      <c r="DW1690" t="s">
        <v>73</v>
      </c>
      <c r="DX1690" s="8">
        <v>43951</v>
      </c>
      <c r="DY1690">
        <v>208</v>
      </c>
      <c r="DZ1690">
        <v>691</v>
      </c>
      <c r="EA1690">
        <v>28</v>
      </c>
    </row>
    <row r="1691" spans="1:325" ht="20.25">
      <c r="DV1691">
        <v>94</v>
      </c>
      <c r="DW1691" t="s">
        <v>73</v>
      </c>
      <c r="DX1691" s="8">
        <v>43952</v>
      </c>
      <c r="DY1691">
        <v>214</v>
      </c>
      <c r="DZ1691">
        <v>711</v>
      </c>
      <c r="EA1691">
        <v>28</v>
      </c>
    </row>
    <row r="1692" spans="1:325" ht="20.25">
      <c r="DV1692">
        <v>94</v>
      </c>
      <c r="DW1692" t="s">
        <v>73</v>
      </c>
      <c r="DX1692" s="8">
        <v>43953</v>
      </c>
      <c r="DY1692">
        <v>218</v>
      </c>
      <c r="DZ1692">
        <v>724</v>
      </c>
      <c r="EA1692">
        <v>32</v>
      </c>
    </row>
    <row r="1693" spans="1:325" ht="20.25">
      <c r="DV1693">
        <v>94</v>
      </c>
      <c r="DW1693" t="s">
        <v>73</v>
      </c>
      <c r="DX1693" s="8">
        <v>43954</v>
      </c>
      <c r="DY1693">
        <v>218</v>
      </c>
      <c r="DZ1693">
        <v>724</v>
      </c>
      <c r="EA1693">
        <v>32</v>
      </c>
    </row>
    <row r="1694" spans="1:325" ht="20.25">
      <c r="DV1694">
        <v>94</v>
      </c>
      <c r="DW1694" t="s">
        <v>73</v>
      </c>
      <c r="DX1694" s="8">
        <v>43955</v>
      </c>
      <c r="DY1694">
        <v>224</v>
      </c>
      <c r="DZ1694">
        <v>744</v>
      </c>
      <c r="EA1694">
        <v>33</v>
      </c>
    </row>
    <row r="1695" spans="1:325" ht="20.25">
      <c r="DV1695">
        <v>94</v>
      </c>
      <c r="DW1695" t="s">
        <v>73</v>
      </c>
      <c r="DX1695" s="8">
        <v>43956</v>
      </c>
      <c r="DY1695">
        <v>224</v>
      </c>
      <c r="DZ1695">
        <v>744</v>
      </c>
      <c r="EA1695">
        <v>31</v>
      </c>
    </row>
    <row r="1696" spans="1:325" ht="20.25">
      <c r="DV1696">
        <v>94</v>
      </c>
      <c r="DW1696" t="s">
        <v>73</v>
      </c>
      <c r="DX1696" s="8">
        <v>43957</v>
      </c>
      <c r="DY1696">
        <v>231</v>
      </c>
      <c r="DZ1696">
        <v>767</v>
      </c>
      <c r="EA1696">
        <v>33</v>
      </c>
    </row>
    <row r="1697" spans="1:325" ht="20.25">
      <c r="DV1697">
        <v>94</v>
      </c>
      <c r="DW1697" t="s">
        <v>73</v>
      </c>
      <c r="DX1697" s="8">
        <v>43958</v>
      </c>
      <c r="DY1697">
        <v>237</v>
      </c>
      <c r="DZ1697">
        <v>787</v>
      </c>
      <c r="EA1697">
        <v>33</v>
      </c>
    </row>
    <row r="1698" spans="1:325" ht="20.25">
      <c r="DV1698">
        <v>94</v>
      </c>
      <c r="DW1698" t="s">
        <v>73</v>
      </c>
      <c r="DX1698" s="8">
        <v>43959</v>
      </c>
      <c r="DY1698">
        <v>247</v>
      </c>
      <c r="DZ1698">
        <v>820</v>
      </c>
      <c r="EA1698">
        <v>35</v>
      </c>
    </row>
    <row r="1699" spans="1:325" ht="20.25">
      <c r="DV1699">
        <v>94</v>
      </c>
      <c r="DW1699" t="s">
        <v>73</v>
      </c>
      <c r="DX1699" s="8">
        <v>43960</v>
      </c>
      <c r="DY1699">
        <v>252</v>
      </c>
      <c r="DZ1699">
        <v>837</v>
      </c>
      <c r="EA1699">
        <v>34</v>
      </c>
    </row>
    <row r="1700" spans="1:325" ht="20.25">
      <c r="DV1700">
        <v>94</v>
      </c>
      <c r="DW1700" t="s">
        <v>73</v>
      </c>
      <c r="DX1700" s="8">
        <v>43961</v>
      </c>
      <c r="DY1700">
        <v>271</v>
      </c>
      <c r="DZ1700">
        <v>900</v>
      </c>
      <c r="EA1700">
        <v>35</v>
      </c>
    </row>
    <row r="1701" spans="1:325" ht="20.25">
      <c r="DV1701">
        <v>94</v>
      </c>
      <c r="DW1701" t="s">
        <v>73</v>
      </c>
      <c r="DX1701" s="8">
        <v>43962</v>
      </c>
      <c r="DY1701">
        <v>275</v>
      </c>
      <c r="DZ1701">
        <v>913</v>
      </c>
      <c r="EA1701">
        <v>34</v>
      </c>
    </row>
    <row r="1702" spans="1:325" ht="20.25">
      <c r="DV1702">
        <v>94</v>
      </c>
      <c r="DW1702" t="s">
        <v>73</v>
      </c>
      <c r="DX1702" s="8">
        <v>43963</v>
      </c>
      <c r="DY1702">
        <v>287</v>
      </c>
      <c r="DZ1702">
        <v>953</v>
      </c>
      <c r="EA1702">
        <v>37</v>
      </c>
    </row>
    <row r="1703" spans="1:325" ht="20.25">
      <c r="DV1703">
        <v>94</v>
      </c>
      <c r="DW1703" t="s">
        <v>73</v>
      </c>
      <c r="DX1703" s="8">
        <v>43964</v>
      </c>
      <c r="DY1703">
        <v>293</v>
      </c>
      <c r="DZ1703">
        <v>973</v>
      </c>
      <c r="EA1703">
        <v>37</v>
      </c>
    </row>
    <row r="1704" spans="1:325" ht="20.25">
      <c r="DV1704">
        <v>94</v>
      </c>
      <c r="DW1704" t="s">
        <v>73</v>
      </c>
      <c r="DX1704" s="8">
        <v>43965</v>
      </c>
      <c r="DY1704">
        <v>300</v>
      </c>
      <c r="DZ1704">
        <v>996</v>
      </c>
      <c r="EA1704">
        <v>38</v>
      </c>
    </row>
    <row r="1705" spans="1:325" ht="20.25">
      <c r="DV1705">
        <v>94</v>
      </c>
      <c r="DW1705" t="s">
        <v>73</v>
      </c>
      <c r="DX1705" s="8">
        <v>43966</v>
      </c>
      <c r="DY1705">
        <v>309</v>
      </c>
      <c r="DZ1705">
        <v>1026</v>
      </c>
      <c r="EA1705">
        <v>38</v>
      </c>
    </row>
    <row r="1706" spans="1:325" ht="20.25">
      <c r="DV1706">
        <v>95</v>
      </c>
      <c r="DW1706" t="s">
        <v>75</v>
      </c>
      <c r="DX1706" s="8">
        <v>43914</v>
      </c>
      <c r="DY1706">
        <v>0</v>
      </c>
      <c r="EA1706">
        <v>0</v>
      </c>
    </row>
    <row r="1707" spans="1:325" ht="20.25">
      <c r="DV1707">
        <v>95</v>
      </c>
      <c r="DW1707" t="s">
        <v>75</v>
      </c>
      <c r="DX1707" s="8">
        <v>43915</v>
      </c>
      <c r="DY1707">
        <v>0</v>
      </c>
      <c r="EA1707">
        <v>0</v>
      </c>
    </row>
    <row r="1708" spans="1:325" ht="20.25">
      <c r="DV1708">
        <v>95</v>
      </c>
      <c r="DW1708" t="s">
        <v>75</v>
      </c>
      <c r="DX1708" s="8">
        <v>43916</v>
      </c>
      <c r="DY1708">
        <v>0</v>
      </c>
      <c r="EA1708">
        <v>0</v>
      </c>
    </row>
    <row r="1709" spans="1:325" ht="20.25">
      <c r="DV1709">
        <v>95</v>
      </c>
      <c r="DW1709" t="s">
        <v>75</v>
      </c>
      <c r="DX1709" s="8">
        <v>43917</v>
      </c>
      <c r="DY1709">
        <v>1</v>
      </c>
      <c r="EA1709">
        <v>0</v>
      </c>
    </row>
    <row r="1710" spans="1:325" ht="20.25">
      <c r="DV1710">
        <v>95</v>
      </c>
      <c r="DW1710" t="s">
        <v>75</v>
      </c>
      <c r="DX1710" s="8">
        <v>43918</v>
      </c>
      <c r="DY1710">
        <v>1</v>
      </c>
      <c r="EA1710">
        <v>0</v>
      </c>
    </row>
    <row r="1711" spans="1:325" ht="20.25">
      <c r="DV1711">
        <v>95</v>
      </c>
      <c r="DW1711" t="s">
        <v>75</v>
      </c>
      <c r="DX1711" s="8">
        <v>43919</v>
      </c>
      <c r="DY1711">
        <v>1</v>
      </c>
      <c r="EA1711">
        <v>0</v>
      </c>
    </row>
    <row r="1712" spans="1:325" ht="20.25">
      <c r="DV1712">
        <v>95</v>
      </c>
      <c r="DW1712" t="s">
        <v>75</v>
      </c>
      <c r="DX1712" s="8">
        <v>43920</v>
      </c>
      <c r="DY1712">
        <v>1</v>
      </c>
      <c r="EA1712">
        <v>0</v>
      </c>
    </row>
    <row r="1713" spans="1:325" ht="20.25">
      <c r="DV1713">
        <v>95</v>
      </c>
      <c r="DW1713" t="s">
        <v>75</v>
      </c>
      <c r="DX1713" s="8">
        <v>43921</v>
      </c>
      <c r="DY1713">
        <v>2</v>
      </c>
      <c r="EA1713">
        <v>0</v>
      </c>
    </row>
    <row r="1714" spans="1:325" ht="20.25">
      <c r="DV1714">
        <v>95</v>
      </c>
      <c r="DW1714" t="s">
        <v>75</v>
      </c>
      <c r="DX1714" s="8">
        <v>43922</v>
      </c>
      <c r="DY1714">
        <v>2</v>
      </c>
      <c r="EA1714">
        <v>0</v>
      </c>
    </row>
    <row r="1715" spans="1:325" ht="20.25">
      <c r="DV1715">
        <v>95</v>
      </c>
      <c r="DW1715" t="s">
        <v>75</v>
      </c>
      <c r="DX1715" s="8">
        <v>43923</v>
      </c>
      <c r="DY1715">
        <v>3</v>
      </c>
      <c r="EA1715">
        <v>0</v>
      </c>
    </row>
    <row r="1716" spans="1:325" ht="20.25">
      <c r="DV1716">
        <v>95</v>
      </c>
      <c r="DW1716" t="s">
        <v>75</v>
      </c>
      <c r="DX1716" s="8">
        <v>43924</v>
      </c>
      <c r="DY1716">
        <v>6</v>
      </c>
      <c r="EA1716">
        <v>0</v>
      </c>
    </row>
    <row r="1717" spans="1:325" ht="20.25">
      <c r="DV1717">
        <v>95</v>
      </c>
      <c r="DW1717" t="s">
        <v>75</v>
      </c>
      <c r="DX1717" s="8">
        <v>43925</v>
      </c>
      <c r="DY1717">
        <v>12</v>
      </c>
      <c r="EA1717">
        <v>0</v>
      </c>
    </row>
    <row r="1718" spans="1:325" ht="20.25">
      <c r="DV1718">
        <v>95</v>
      </c>
      <c r="DW1718" t="s">
        <v>75</v>
      </c>
      <c r="DX1718" s="8">
        <v>43926</v>
      </c>
      <c r="DY1718">
        <v>11</v>
      </c>
      <c r="EA1718">
        <v>0</v>
      </c>
    </row>
    <row r="1719" spans="1:325" ht="20.25">
      <c r="DV1719">
        <v>95</v>
      </c>
      <c r="DW1719" t="s">
        <v>75</v>
      </c>
      <c r="DX1719" s="8">
        <v>43927</v>
      </c>
      <c r="DY1719">
        <v>12</v>
      </c>
      <c r="EA1719">
        <v>0</v>
      </c>
    </row>
    <row r="1720" spans="1:325" ht="20.25">
      <c r="DV1720">
        <v>95</v>
      </c>
      <c r="DW1720" t="s">
        <v>75</v>
      </c>
      <c r="DX1720" s="8">
        <v>43928</v>
      </c>
      <c r="DY1720">
        <v>13</v>
      </c>
      <c r="EA1720">
        <v>0</v>
      </c>
    </row>
    <row r="1721" spans="1:325" ht="20.25">
      <c r="DV1721">
        <v>95</v>
      </c>
      <c r="DW1721" t="s">
        <v>75</v>
      </c>
      <c r="DX1721" s="8">
        <v>43929</v>
      </c>
      <c r="DY1721">
        <v>16</v>
      </c>
      <c r="EA1721">
        <v>1</v>
      </c>
    </row>
    <row r="1722" spans="1:325" ht="20.25">
      <c r="DV1722">
        <v>95</v>
      </c>
      <c r="DW1722" t="s">
        <v>75</v>
      </c>
      <c r="DX1722" s="8">
        <v>43930</v>
      </c>
      <c r="DY1722">
        <v>21</v>
      </c>
      <c r="EA1722">
        <v>1</v>
      </c>
    </row>
    <row r="1723" spans="1:325" ht="20.25">
      <c r="DV1723">
        <v>95</v>
      </c>
      <c r="DW1723" t="s">
        <v>75</v>
      </c>
      <c r="DX1723" s="8">
        <v>43931</v>
      </c>
      <c r="DY1723">
        <v>22</v>
      </c>
      <c r="EA1723">
        <v>0</v>
      </c>
    </row>
    <row r="1724" spans="1:325" ht="20.25">
      <c r="DV1724">
        <v>95</v>
      </c>
      <c r="DW1724" t="s">
        <v>75</v>
      </c>
      <c r="DX1724" s="8">
        <v>43932</v>
      </c>
      <c r="DY1724">
        <v>26</v>
      </c>
      <c r="EA1724">
        <v>0</v>
      </c>
    </row>
    <row r="1725" spans="1:325" ht="20.25">
      <c r="DV1725">
        <v>95</v>
      </c>
      <c r="DW1725" t="s">
        <v>75</v>
      </c>
      <c r="DX1725" s="8">
        <v>43933</v>
      </c>
      <c r="DY1725">
        <v>27</v>
      </c>
      <c r="EA1725">
        <v>0</v>
      </c>
    </row>
    <row r="1726" spans="1:325" ht="20.25">
      <c r="DV1726">
        <v>95</v>
      </c>
      <c r="DW1726" t="s">
        <v>75</v>
      </c>
      <c r="DX1726" s="8">
        <v>43934</v>
      </c>
      <c r="DY1726">
        <v>33</v>
      </c>
      <c r="EA1726">
        <v>0</v>
      </c>
    </row>
    <row r="1727" spans="1:325" ht="20.25">
      <c r="DV1727">
        <v>95</v>
      </c>
      <c r="DW1727" t="s">
        <v>75</v>
      </c>
      <c r="DX1727" s="8">
        <v>43935</v>
      </c>
      <c r="DY1727">
        <v>35</v>
      </c>
      <c r="EA1727">
        <v>0</v>
      </c>
    </row>
    <row r="1728" spans="1:325" ht="20.25">
      <c r="DV1728">
        <v>95</v>
      </c>
      <c r="DW1728" t="s">
        <v>75</v>
      </c>
      <c r="DX1728" s="8">
        <v>43936</v>
      </c>
      <c r="DY1728">
        <v>38</v>
      </c>
      <c r="EA1728">
        <v>1</v>
      </c>
    </row>
    <row r="1729" spans="1:325" ht="20.25">
      <c r="DV1729">
        <v>95</v>
      </c>
      <c r="DW1729" t="s">
        <v>75</v>
      </c>
      <c r="DX1729" s="8">
        <v>43937</v>
      </c>
      <c r="DY1729">
        <v>43</v>
      </c>
      <c r="DZ1729">
        <v>160</v>
      </c>
      <c r="EA1729">
        <v>1</v>
      </c>
    </row>
    <row r="1730" spans="1:325" ht="20.25">
      <c r="DV1730">
        <v>95</v>
      </c>
      <c r="DW1730" t="s">
        <v>75</v>
      </c>
      <c r="DX1730" s="8">
        <v>43938</v>
      </c>
      <c r="DY1730">
        <v>44</v>
      </c>
      <c r="DZ1730">
        <v>163</v>
      </c>
      <c r="EA1730">
        <v>1</v>
      </c>
    </row>
    <row r="1731" spans="1:325" ht="20.25">
      <c r="DV1731">
        <v>95</v>
      </c>
      <c r="DW1731" t="s">
        <v>75</v>
      </c>
      <c r="DX1731" s="8">
        <v>43939</v>
      </c>
      <c r="DY1731">
        <v>49</v>
      </c>
      <c r="DZ1731">
        <v>182</v>
      </c>
      <c r="EA1731">
        <v>1</v>
      </c>
    </row>
    <row r="1732" spans="1:325" ht="20.25">
      <c r="DV1732">
        <v>95</v>
      </c>
      <c r="DW1732" t="s">
        <v>75</v>
      </c>
      <c r="DX1732" s="8">
        <v>43940</v>
      </c>
      <c r="DY1732">
        <v>53</v>
      </c>
      <c r="DZ1732">
        <v>197</v>
      </c>
      <c r="EA1732">
        <v>1</v>
      </c>
    </row>
    <row r="1733" spans="1:325" ht="20.25">
      <c r="DV1733">
        <v>95</v>
      </c>
      <c r="DW1733" t="s">
        <v>75</v>
      </c>
      <c r="DX1733" s="8">
        <v>43941</v>
      </c>
      <c r="DY1733">
        <v>50</v>
      </c>
      <c r="DZ1733">
        <v>186</v>
      </c>
      <c r="EA1733">
        <v>1</v>
      </c>
    </row>
    <row r="1734" spans="1:325" ht="20.25">
      <c r="DV1734">
        <v>95</v>
      </c>
      <c r="DW1734" t="s">
        <v>75</v>
      </c>
      <c r="DX1734" s="8">
        <v>43942</v>
      </c>
      <c r="DY1734">
        <v>55</v>
      </c>
      <c r="DZ1734">
        <v>204</v>
      </c>
      <c r="EA1734">
        <v>1</v>
      </c>
    </row>
    <row r="1735" spans="1:325" ht="20.25">
      <c r="DV1735">
        <v>95</v>
      </c>
      <c r="DW1735" t="s">
        <v>75</v>
      </c>
      <c r="DX1735" s="8">
        <v>43943</v>
      </c>
      <c r="DY1735">
        <v>60</v>
      </c>
      <c r="DZ1735">
        <v>223</v>
      </c>
      <c r="EA1735">
        <v>1</v>
      </c>
    </row>
    <row r="1736" spans="1:325" ht="20.25">
      <c r="DV1736">
        <v>95</v>
      </c>
      <c r="DW1736" t="s">
        <v>75</v>
      </c>
      <c r="DX1736" s="8">
        <v>43944</v>
      </c>
      <c r="DY1736">
        <v>59</v>
      </c>
      <c r="DZ1736">
        <v>219</v>
      </c>
      <c r="EA1736">
        <v>1</v>
      </c>
    </row>
    <row r="1737" spans="1:325" ht="20.25">
      <c r="DV1737">
        <v>95</v>
      </c>
      <c r="DW1737" t="s">
        <v>75</v>
      </c>
      <c r="DX1737" s="8">
        <v>43945</v>
      </c>
      <c r="DY1737">
        <v>63</v>
      </c>
      <c r="DZ1737">
        <v>234</v>
      </c>
      <c r="EA1737">
        <v>2</v>
      </c>
    </row>
    <row r="1738" spans="1:325" ht="20.25">
      <c r="DV1738">
        <v>95</v>
      </c>
      <c r="DW1738" t="s">
        <v>75</v>
      </c>
      <c r="DX1738" s="8">
        <v>43946</v>
      </c>
      <c r="DY1738">
        <v>68</v>
      </c>
      <c r="DZ1738">
        <v>252</v>
      </c>
      <c r="EA1738">
        <v>2</v>
      </c>
    </row>
    <row r="1739" spans="1:325" ht="20.25">
      <c r="DV1739">
        <v>95</v>
      </c>
      <c r="DW1739" t="s">
        <v>75</v>
      </c>
      <c r="DX1739" s="8">
        <v>43947</v>
      </c>
      <c r="DY1739">
        <v>68</v>
      </c>
      <c r="DZ1739">
        <v>252</v>
      </c>
      <c r="EA1739">
        <v>2</v>
      </c>
    </row>
    <row r="1740" spans="1:325" ht="20.25">
      <c r="DV1740">
        <v>95</v>
      </c>
      <c r="DW1740" t="s">
        <v>75</v>
      </c>
      <c r="DX1740" s="8">
        <v>43948</v>
      </c>
      <c r="DY1740">
        <v>68</v>
      </c>
      <c r="DZ1740">
        <v>252</v>
      </c>
      <c r="EA1740">
        <v>2</v>
      </c>
    </row>
    <row r="1741" spans="1:325" ht="20.25">
      <c r="DV1741">
        <v>95</v>
      </c>
      <c r="DW1741" t="s">
        <v>75</v>
      </c>
      <c r="DX1741" s="8">
        <v>43949</v>
      </c>
      <c r="DY1741">
        <v>70</v>
      </c>
      <c r="DZ1741">
        <v>260</v>
      </c>
      <c r="EA1741">
        <v>2</v>
      </c>
    </row>
    <row r="1742" spans="1:325" ht="20.25">
      <c r="DV1742">
        <v>95</v>
      </c>
      <c r="DW1742" t="s">
        <v>75</v>
      </c>
      <c r="DX1742" s="8">
        <v>43950</v>
      </c>
      <c r="DY1742">
        <v>72</v>
      </c>
      <c r="DZ1742">
        <v>267</v>
      </c>
      <c r="EA1742">
        <v>2</v>
      </c>
    </row>
    <row r="1743" spans="1:325" ht="20.25">
      <c r="DV1743">
        <v>95</v>
      </c>
      <c r="DW1743" t="s">
        <v>75</v>
      </c>
      <c r="DX1743" s="8">
        <v>43951</v>
      </c>
      <c r="DY1743">
        <v>77</v>
      </c>
      <c r="DZ1743">
        <v>286</v>
      </c>
      <c r="EA1743">
        <v>2</v>
      </c>
    </row>
    <row r="1744" spans="1:325" ht="20.25">
      <c r="DV1744">
        <v>95</v>
      </c>
      <c r="DW1744" t="s">
        <v>75</v>
      </c>
      <c r="DX1744" s="8">
        <v>43952</v>
      </c>
      <c r="DY1744">
        <v>80</v>
      </c>
      <c r="DZ1744">
        <v>297</v>
      </c>
      <c r="EA1744">
        <v>2</v>
      </c>
    </row>
    <row r="1745" spans="1:325" ht="20.25">
      <c r="DV1745">
        <v>95</v>
      </c>
      <c r="DW1745" t="s">
        <v>75</v>
      </c>
      <c r="DX1745" s="8">
        <v>43953</v>
      </c>
      <c r="DY1745">
        <v>81</v>
      </c>
      <c r="DZ1745">
        <v>301</v>
      </c>
      <c r="EA1745">
        <v>2</v>
      </c>
    </row>
    <row r="1746" spans="1:325" ht="20.25">
      <c r="DV1746">
        <v>95</v>
      </c>
      <c r="DW1746" t="s">
        <v>75</v>
      </c>
      <c r="DX1746" s="8">
        <v>43954</v>
      </c>
      <c r="DY1746">
        <v>85</v>
      </c>
      <c r="DZ1746">
        <v>316</v>
      </c>
      <c r="EA1746">
        <v>2</v>
      </c>
    </row>
    <row r="1747" spans="1:325" ht="20.25">
      <c r="DV1747">
        <v>95</v>
      </c>
      <c r="DW1747" t="s">
        <v>75</v>
      </c>
      <c r="DX1747" s="8">
        <v>43955</v>
      </c>
      <c r="DY1747">
        <v>88</v>
      </c>
      <c r="DZ1747">
        <v>327</v>
      </c>
      <c r="EA1747">
        <v>2</v>
      </c>
    </row>
    <row r="1748" spans="1:325" ht="20.25">
      <c r="DV1748">
        <v>95</v>
      </c>
      <c r="DW1748" t="s">
        <v>75</v>
      </c>
      <c r="DX1748" s="8">
        <v>43956</v>
      </c>
      <c r="DY1748">
        <v>92</v>
      </c>
      <c r="DZ1748">
        <v>342</v>
      </c>
      <c r="EA1748">
        <v>2</v>
      </c>
    </row>
    <row r="1749" spans="1:325" ht="20.25">
      <c r="DV1749">
        <v>95</v>
      </c>
      <c r="DW1749" t="s">
        <v>75</v>
      </c>
      <c r="DX1749" s="8">
        <v>43957</v>
      </c>
      <c r="DY1749">
        <v>94</v>
      </c>
      <c r="DZ1749">
        <v>349</v>
      </c>
      <c r="EA1749">
        <v>2</v>
      </c>
    </row>
    <row r="1750" spans="1:325" ht="20.25">
      <c r="DV1750">
        <v>95</v>
      </c>
      <c r="DW1750" t="s">
        <v>75</v>
      </c>
      <c r="DX1750" s="8">
        <v>43958</v>
      </c>
      <c r="DY1750">
        <v>100</v>
      </c>
      <c r="DZ1750">
        <v>371</v>
      </c>
      <c r="EA1750">
        <v>2</v>
      </c>
    </row>
    <row r="1751" spans="1:325" ht="20.25">
      <c r="DV1751">
        <v>95</v>
      </c>
      <c r="DW1751" t="s">
        <v>75</v>
      </c>
      <c r="DX1751" s="8">
        <v>43959</v>
      </c>
      <c r="DY1751">
        <v>105</v>
      </c>
      <c r="DZ1751">
        <v>390</v>
      </c>
      <c r="EA1751">
        <v>2</v>
      </c>
    </row>
    <row r="1752" spans="1:325" ht="20.25">
      <c r="DV1752">
        <v>95</v>
      </c>
      <c r="DW1752" t="s">
        <v>75</v>
      </c>
      <c r="DX1752" s="8">
        <v>43960</v>
      </c>
      <c r="DY1752">
        <v>105</v>
      </c>
      <c r="DZ1752">
        <v>390</v>
      </c>
      <c r="EA1752">
        <v>2</v>
      </c>
    </row>
    <row r="1753" spans="1:325" ht="20.25">
      <c r="DV1753">
        <v>95</v>
      </c>
      <c r="DW1753" t="s">
        <v>75</v>
      </c>
      <c r="DX1753" s="8">
        <v>43961</v>
      </c>
      <c r="DY1753">
        <v>106</v>
      </c>
      <c r="DZ1753">
        <v>393</v>
      </c>
      <c r="EA1753">
        <v>2</v>
      </c>
    </row>
    <row r="1754" spans="1:325" ht="20.25">
      <c r="DV1754">
        <v>95</v>
      </c>
      <c r="DW1754" t="s">
        <v>75</v>
      </c>
      <c r="DX1754" s="8">
        <v>43962</v>
      </c>
      <c r="DY1754">
        <v>111</v>
      </c>
      <c r="DZ1754">
        <v>412</v>
      </c>
      <c r="EA1754">
        <v>2</v>
      </c>
    </row>
    <row r="1755" spans="1:325" ht="20.25">
      <c r="DV1755">
        <v>95</v>
      </c>
      <c r="DW1755" t="s">
        <v>75</v>
      </c>
      <c r="DX1755" s="8">
        <v>43963</v>
      </c>
      <c r="DY1755">
        <v>113</v>
      </c>
      <c r="DZ1755">
        <v>419</v>
      </c>
      <c r="EA1755">
        <v>2</v>
      </c>
    </row>
    <row r="1756" spans="1:325" ht="20.25">
      <c r="DV1756">
        <v>95</v>
      </c>
      <c r="DW1756" t="s">
        <v>75</v>
      </c>
      <c r="DX1756" s="8">
        <v>43964</v>
      </c>
      <c r="DY1756">
        <v>120</v>
      </c>
      <c r="DZ1756">
        <v>445</v>
      </c>
      <c r="EA1756">
        <v>2</v>
      </c>
    </row>
    <row r="1757" spans="1:325" ht="20.25">
      <c r="DV1757">
        <v>95</v>
      </c>
      <c r="DW1757" t="s">
        <v>75</v>
      </c>
      <c r="DX1757" s="8">
        <v>43965</v>
      </c>
      <c r="DY1757">
        <v>124</v>
      </c>
      <c r="DZ1757">
        <v>460</v>
      </c>
      <c r="EA1757">
        <v>2</v>
      </c>
    </row>
    <row r="1758" spans="1:325" ht="20.25">
      <c r="DV1758">
        <v>95</v>
      </c>
      <c r="DW1758" t="s">
        <v>75</v>
      </c>
      <c r="DX1758" s="8">
        <v>43966</v>
      </c>
      <c r="DY1758">
        <v>128</v>
      </c>
      <c r="DZ1758">
        <v>475</v>
      </c>
      <c r="EA1758">
        <v>2</v>
      </c>
    </row>
    <row r="1759" spans="1:325" ht="20.25">
      <c r="DV1759">
        <v>98</v>
      </c>
      <c r="DW1759" t="s">
        <v>53</v>
      </c>
      <c r="DX1759" s="8">
        <v>43914</v>
      </c>
      <c r="DY1759">
        <v>0</v>
      </c>
      <c r="EA1759">
        <v>0</v>
      </c>
    </row>
    <row r="1760" spans="1:325" ht="20.25">
      <c r="DV1760">
        <v>98</v>
      </c>
      <c r="DW1760" t="s">
        <v>53</v>
      </c>
      <c r="DX1760" s="8">
        <v>43915</v>
      </c>
      <c r="DY1760">
        <v>0</v>
      </c>
      <c r="EA1760">
        <v>0</v>
      </c>
    </row>
    <row r="1761" spans="1:325" ht="20.25">
      <c r="DV1761">
        <v>98</v>
      </c>
      <c r="DW1761" t="s">
        <v>53</v>
      </c>
      <c r="DX1761" s="8">
        <v>43916</v>
      </c>
      <c r="DY1761">
        <v>1</v>
      </c>
      <c r="EA1761">
        <v>0</v>
      </c>
    </row>
    <row r="1762" spans="1:325" ht="20.25">
      <c r="DV1762">
        <v>98</v>
      </c>
      <c r="DW1762" t="s">
        <v>53</v>
      </c>
      <c r="DX1762" s="8">
        <v>43917</v>
      </c>
      <c r="DY1762">
        <v>1</v>
      </c>
      <c r="EA1762">
        <v>0</v>
      </c>
    </row>
    <row r="1763" spans="1:325" ht="20.25">
      <c r="DV1763">
        <v>98</v>
      </c>
      <c r="DW1763" t="s">
        <v>53</v>
      </c>
      <c r="DX1763" s="8">
        <v>43918</v>
      </c>
      <c r="DY1763">
        <v>1</v>
      </c>
      <c r="EA1763">
        <v>0</v>
      </c>
    </row>
    <row r="1764" spans="1:325" ht="20.25">
      <c r="DV1764">
        <v>98</v>
      </c>
      <c r="DW1764" t="s">
        <v>53</v>
      </c>
      <c r="DX1764" s="8">
        <v>43919</v>
      </c>
      <c r="DY1764">
        <v>1</v>
      </c>
      <c r="EA1764">
        <v>0</v>
      </c>
    </row>
    <row r="1765" spans="1:325" ht="20.25">
      <c r="DV1765">
        <v>98</v>
      </c>
      <c r="DW1765" t="s">
        <v>53</v>
      </c>
      <c r="DX1765" s="8">
        <v>43920</v>
      </c>
      <c r="DY1765">
        <v>1</v>
      </c>
      <c r="EA1765">
        <v>0</v>
      </c>
    </row>
    <row r="1766" spans="1:325" ht="20.25">
      <c r="DV1766">
        <v>98</v>
      </c>
      <c r="DW1766" t="s">
        <v>53</v>
      </c>
      <c r="DX1766" s="8">
        <v>43921</v>
      </c>
      <c r="DY1766">
        <v>1</v>
      </c>
      <c r="EA1766">
        <v>0</v>
      </c>
    </row>
    <row r="1767" spans="1:325" ht="20.25">
      <c r="DV1767">
        <v>98</v>
      </c>
      <c r="DW1767" t="s">
        <v>53</v>
      </c>
      <c r="DX1767" s="8">
        <v>43922</v>
      </c>
      <c r="DY1767">
        <v>1</v>
      </c>
      <c r="EA1767">
        <v>0</v>
      </c>
    </row>
    <row r="1768" spans="1:325" ht="20.25">
      <c r="DV1768">
        <v>98</v>
      </c>
      <c r="DW1768" t="s">
        <v>53</v>
      </c>
      <c r="DX1768" s="8">
        <v>43923</v>
      </c>
      <c r="DY1768">
        <v>1</v>
      </c>
      <c r="EA1768">
        <v>0</v>
      </c>
    </row>
    <row r="1769" spans="1:325" ht="20.25">
      <c r="DV1769">
        <v>98</v>
      </c>
      <c r="DW1769" t="s">
        <v>53</v>
      </c>
      <c r="DX1769" s="8">
        <v>43924</v>
      </c>
      <c r="DY1769">
        <v>1</v>
      </c>
      <c r="EA1769">
        <v>0</v>
      </c>
    </row>
    <row r="1770" spans="1:325" ht="20.25">
      <c r="DV1770">
        <v>98</v>
      </c>
      <c r="DW1770" t="s">
        <v>53</v>
      </c>
      <c r="DX1770" s="8">
        <v>43925</v>
      </c>
      <c r="DY1770">
        <v>1</v>
      </c>
      <c r="EA1770">
        <v>0</v>
      </c>
    </row>
    <row r="1771" spans="1:325" ht="20.25">
      <c r="DV1771">
        <v>98</v>
      </c>
      <c r="DW1771" t="s">
        <v>53</v>
      </c>
      <c r="DX1771" s="8">
        <v>43926</v>
      </c>
      <c r="DY1771">
        <v>1</v>
      </c>
      <c r="EA1771">
        <v>0</v>
      </c>
    </row>
    <row r="1772" spans="1:325" ht="20.25">
      <c r="DV1772">
        <v>98</v>
      </c>
      <c r="DW1772" t="s">
        <v>53</v>
      </c>
      <c r="DX1772" s="8">
        <v>43927</v>
      </c>
      <c r="DY1772">
        <v>1</v>
      </c>
      <c r="EA1772">
        <v>0</v>
      </c>
    </row>
    <row r="1773" spans="1:325" ht="20.25">
      <c r="DV1773">
        <v>98</v>
      </c>
      <c r="DW1773" t="s">
        <v>53</v>
      </c>
      <c r="DX1773" s="8">
        <v>43928</v>
      </c>
      <c r="DY1773">
        <v>1</v>
      </c>
      <c r="EA1773">
        <v>0</v>
      </c>
    </row>
    <row r="1774" spans="1:325" ht="20.25">
      <c r="DV1774">
        <v>98</v>
      </c>
      <c r="DW1774" t="s">
        <v>53</v>
      </c>
      <c r="DX1774" s="8">
        <v>43929</v>
      </c>
      <c r="DY1774">
        <v>1</v>
      </c>
      <c r="EA1774">
        <v>0</v>
      </c>
    </row>
    <row r="1775" spans="1:325" ht="20.25">
      <c r="DV1775">
        <v>98</v>
      </c>
      <c r="DW1775" t="s">
        <v>53</v>
      </c>
      <c r="DX1775" s="8">
        <v>43930</v>
      </c>
      <c r="DY1775">
        <v>1</v>
      </c>
      <c r="EA1775">
        <v>0</v>
      </c>
    </row>
    <row r="1776" spans="1:325" ht="20.25">
      <c r="DV1776">
        <v>98</v>
      </c>
      <c r="DW1776" t="s">
        <v>53</v>
      </c>
      <c r="DX1776" s="8">
        <v>43931</v>
      </c>
      <c r="DY1776">
        <v>1</v>
      </c>
      <c r="EA1776">
        <v>0</v>
      </c>
    </row>
    <row r="1777" spans="1:325" ht="20.25">
      <c r="DV1777">
        <v>98</v>
      </c>
      <c r="DW1777" t="s">
        <v>53</v>
      </c>
      <c r="DX1777" s="8">
        <v>43932</v>
      </c>
      <c r="DY1777">
        <v>3</v>
      </c>
      <c r="EA1777">
        <v>0</v>
      </c>
    </row>
    <row r="1778" spans="1:325" ht="20.25">
      <c r="DV1778">
        <v>98</v>
      </c>
      <c r="DW1778" t="s">
        <v>53</v>
      </c>
      <c r="DX1778" s="8">
        <v>43933</v>
      </c>
      <c r="DY1778">
        <v>3</v>
      </c>
      <c r="EA1778">
        <v>0</v>
      </c>
    </row>
    <row r="1779" spans="1:325" ht="20.25">
      <c r="DV1779">
        <v>98</v>
      </c>
      <c r="DW1779" t="s">
        <v>53</v>
      </c>
      <c r="DX1779" s="8">
        <v>43934</v>
      </c>
      <c r="DY1779">
        <v>4</v>
      </c>
      <c r="EA1779">
        <v>0</v>
      </c>
    </row>
    <row r="1780" spans="1:325" ht="20.25">
      <c r="DV1780">
        <v>98</v>
      </c>
      <c r="DW1780" t="s">
        <v>53</v>
      </c>
      <c r="DX1780" s="8">
        <v>43935</v>
      </c>
      <c r="DY1780">
        <v>4</v>
      </c>
      <c r="EA1780">
        <v>0</v>
      </c>
    </row>
    <row r="1781" spans="1:325" ht="20.25">
      <c r="DV1781">
        <v>98</v>
      </c>
      <c r="DW1781" t="s">
        <v>53</v>
      </c>
      <c r="DX1781" s="8">
        <v>43936</v>
      </c>
      <c r="DY1781">
        <v>4</v>
      </c>
      <c r="EA1781">
        <v>0</v>
      </c>
    </row>
    <row r="1782" spans="1:325" ht="20.25">
      <c r="DV1782">
        <v>98</v>
      </c>
      <c r="DW1782" t="s">
        <v>53</v>
      </c>
      <c r="DX1782" s="8">
        <v>43937</v>
      </c>
      <c r="DY1782">
        <v>4</v>
      </c>
      <c r="DZ1782">
        <v>244</v>
      </c>
      <c r="EA1782">
        <v>0</v>
      </c>
    </row>
    <row r="1783" spans="1:325" ht="20.25">
      <c r="DV1783">
        <v>98</v>
      </c>
      <c r="DW1783" t="s">
        <v>53</v>
      </c>
      <c r="DX1783" s="8">
        <v>43938</v>
      </c>
      <c r="DY1783">
        <v>4</v>
      </c>
      <c r="DZ1783">
        <v>244</v>
      </c>
      <c r="EA1783">
        <v>0</v>
      </c>
    </row>
    <row r="1784" spans="1:325" ht="20.25">
      <c r="DV1784">
        <v>98</v>
      </c>
      <c r="DW1784" t="s">
        <v>53</v>
      </c>
      <c r="DX1784" s="8">
        <v>43939</v>
      </c>
      <c r="DY1784">
        <v>4</v>
      </c>
      <c r="DZ1784">
        <v>244</v>
      </c>
      <c r="EA1784">
        <v>0</v>
      </c>
    </row>
    <row r="1785" spans="1:325" ht="20.25">
      <c r="DV1785">
        <v>98</v>
      </c>
      <c r="DW1785" t="s">
        <v>53</v>
      </c>
      <c r="DX1785" s="8">
        <v>43940</v>
      </c>
      <c r="DY1785">
        <v>4</v>
      </c>
      <c r="DZ1785">
        <v>244</v>
      </c>
      <c r="EA1785">
        <v>0</v>
      </c>
    </row>
    <row r="1786" spans="1:325" ht="20.25">
      <c r="DV1786">
        <v>98</v>
      </c>
      <c r="DW1786" t="s">
        <v>53</v>
      </c>
      <c r="DX1786" s="8">
        <v>43941</v>
      </c>
      <c r="DY1786">
        <v>5</v>
      </c>
      <c r="DZ1786">
        <v>305</v>
      </c>
      <c r="EA1786">
        <v>0</v>
      </c>
    </row>
    <row r="1787" spans="1:325" ht="20.25">
      <c r="DV1787">
        <v>98</v>
      </c>
      <c r="DW1787" t="s">
        <v>53</v>
      </c>
      <c r="DX1787" s="8">
        <v>43942</v>
      </c>
      <c r="DY1787">
        <v>5</v>
      </c>
      <c r="DZ1787">
        <v>305</v>
      </c>
      <c r="EA1787">
        <v>0</v>
      </c>
    </row>
    <row r="1788" spans="1:325" ht="20.25">
      <c r="DV1788">
        <v>98</v>
      </c>
      <c r="DW1788" t="s">
        <v>53</v>
      </c>
      <c r="DX1788" s="8">
        <v>43943</v>
      </c>
      <c r="DY1788">
        <v>5</v>
      </c>
      <c r="DZ1788">
        <v>305</v>
      </c>
      <c r="EA1788">
        <v>0</v>
      </c>
    </row>
    <row r="1789" spans="1:325" ht="20.25">
      <c r="DV1789">
        <v>98</v>
      </c>
      <c r="DW1789" t="s">
        <v>53</v>
      </c>
      <c r="DX1789" s="8">
        <v>43944</v>
      </c>
      <c r="DY1789">
        <v>5</v>
      </c>
      <c r="DZ1789">
        <v>305</v>
      </c>
      <c r="EA1789">
        <v>0</v>
      </c>
    </row>
    <row r="1790" spans="1:325" ht="20.25">
      <c r="DV1790">
        <v>98</v>
      </c>
      <c r="DW1790" t="s">
        <v>53</v>
      </c>
      <c r="DX1790" s="8">
        <v>43945</v>
      </c>
      <c r="DY1790">
        <v>5</v>
      </c>
      <c r="DZ1790">
        <v>305</v>
      </c>
      <c r="EA1790">
        <v>0</v>
      </c>
    </row>
    <row r="1791" spans="1:325" ht="20.25">
      <c r="DV1791">
        <v>98</v>
      </c>
      <c r="DW1791" t="s">
        <v>53</v>
      </c>
      <c r="DX1791" s="8">
        <v>43946</v>
      </c>
      <c r="DY1791">
        <v>5</v>
      </c>
      <c r="DZ1791">
        <v>305</v>
      </c>
      <c r="EA1791">
        <v>0</v>
      </c>
    </row>
    <row r="1792" spans="1:325" ht="20.25">
      <c r="DV1792">
        <v>98</v>
      </c>
      <c r="DW1792" t="s">
        <v>53</v>
      </c>
      <c r="DX1792" s="8">
        <v>43947</v>
      </c>
      <c r="DY1792">
        <v>6</v>
      </c>
      <c r="DZ1792">
        <v>366</v>
      </c>
      <c r="EA1792">
        <v>0</v>
      </c>
    </row>
    <row r="1793" spans="1:325" ht="20.25">
      <c r="DV1793">
        <v>98</v>
      </c>
      <c r="DW1793" t="s">
        <v>53</v>
      </c>
      <c r="DX1793" s="8">
        <v>43948</v>
      </c>
      <c r="DY1793">
        <v>6</v>
      </c>
      <c r="DZ1793">
        <v>366</v>
      </c>
      <c r="EA1793">
        <v>0</v>
      </c>
    </row>
    <row r="1794" spans="1:325" ht="20.25">
      <c r="DV1794">
        <v>98</v>
      </c>
      <c r="DW1794" t="s">
        <v>53</v>
      </c>
      <c r="DX1794" s="8">
        <v>43949</v>
      </c>
      <c r="DY1794">
        <v>6</v>
      </c>
      <c r="DZ1794">
        <v>366</v>
      </c>
      <c r="EA1794">
        <v>0</v>
      </c>
    </row>
    <row r="1795" spans="1:325" ht="20.25">
      <c r="DV1795">
        <v>98</v>
      </c>
      <c r="DW1795" t="s">
        <v>53</v>
      </c>
      <c r="DX1795" s="8">
        <v>43950</v>
      </c>
      <c r="DY1795">
        <v>6</v>
      </c>
      <c r="DZ1795">
        <v>366</v>
      </c>
      <c r="EA1795">
        <v>0</v>
      </c>
    </row>
    <row r="1796" spans="1:325" ht="20.25">
      <c r="DV1796">
        <v>98</v>
      </c>
      <c r="DW1796" t="s">
        <v>53</v>
      </c>
      <c r="DX1796" s="8">
        <v>43951</v>
      </c>
      <c r="DY1796">
        <v>7</v>
      </c>
      <c r="DZ1796">
        <v>427</v>
      </c>
      <c r="EA1796">
        <v>0</v>
      </c>
    </row>
    <row r="1797" spans="1:325" ht="20.25">
      <c r="DV1797">
        <v>98</v>
      </c>
      <c r="DW1797" t="s">
        <v>53</v>
      </c>
      <c r="DX1797" s="8">
        <v>43952</v>
      </c>
      <c r="DY1797">
        <v>7</v>
      </c>
      <c r="DZ1797">
        <v>427</v>
      </c>
      <c r="EA1797">
        <v>0</v>
      </c>
    </row>
    <row r="1798" spans="1:325" ht="20.25">
      <c r="DV1798">
        <v>98</v>
      </c>
      <c r="DW1798" t="s">
        <v>53</v>
      </c>
      <c r="DX1798" s="8">
        <v>43953</v>
      </c>
      <c r="DY1798">
        <v>7</v>
      </c>
      <c r="DZ1798">
        <v>427</v>
      </c>
      <c r="EA1798">
        <v>0</v>
      </c>
    </row>
    <row r="1799" spans="1:325" ht="20.25">
      <c r="DV1799">
        <v>98</v>
      </c>
      <c r="DW1799" t="s">
        <v>53</v>
      </c>
      <c r="DX1799" s="8">
        <v>43954</v>
      </c>
      <c r="DY1799">
        <v>7</v>
      </c>
      <c r="DZ1799">
        <v>427</v>
      </c>
      <c r="EA1799">
        <v>0</v>
      </c>
    </row>
    <row r="1800" spans="1:325" ht="20.25">
      <c r="DV1800">
        <v>98</v>
      </c>
      <c r="DW1800" t="s">
        <v>53</v>
      </c>
      <c r="DX1800" s="8">
        <v>43955</v>
      </c>
      <c r="DY1800">
        <v>7</v>
      </c>
      <c r="DZ1800">
        <v>427</v>
      </c>
      <c r="EA1800">
        <v>0</v>
      </c>
    </row>
    <row r="1801" spans="1:325" ht="20.25">
      <c r="DV1801">
        <v>98</v>
      </c>
      <c r="DW1801" t="s">
        <v>53</v>
      </c>
      <c r="DX1801" s="8">
        <v>43956</v>
      </c>
      <c r="DY1801">
        <v>8</v>
      </c>
      <c r="DZ1801">
        <v>488</v>
      </c>
      <c r="EA1801">
        <v>0</v>
      </c>
    </row>
    <row r="1802" spans="1:325" ht="20.25">
      <c r="DV1802">
        <v>98</v>
      </c>
      <c r="DW1802" t="s">
        <v>53</v>
      </c>
      <c r="DX1802" s="8">
        <v>43957</v>
      </c>
      <c r="DY1802">
        <v>8</v>
      </c>
      <c r="DZ1802">
        <v>488</v>
      </c>
      <c r="EA1802">
        <v>0</v>
      </c>
    </row>
    <row r="1803" spans="1:325" ht="20.25">
      <c r="DV1803">
        <v>98</v>
      </c>
      <c r="DW1803" t="s">
        <v>53</v>
      </c>
      <c r="DX1803" s="8">
        <v>43958</v>
      </c>
      <c r="DY1803">
        <v>8</v>
      </c>
      <c r="DZ1803">
        <v>488</v>
      </c>
      <c r="EA1803">
        <v>0</v>
      </c>
    </row>
    <row r="1804" spans="1:325" ht="20.25">
      <c r="DV1804">
        <v>98</v>
      </c>
      <c r="DW1804" t="s">
        <v>53</v>
      </c>
      <c r="DX1804" s="8">
        <v>43959</v>
      </c>
      <c r="DY1804">
        <v>8</v>
      </c>
      <c r="DZ1804">
        <v>488</v>
      </c>
      <c r="EA1804">
        <v>0</v>
      </c>
    </row>
    <row r="1805" spans="1:325" ht="20.25">
      <c r="DV1805">
        <v>98</v>
      </c>
      <c r="DW1805" t="s">
        <v>53</v>
      </c>
      <c r="DX1805" s="8">
        <v>43960</v>
      </c>
      <c r="DY1805">
        <v>8</v>
      </c>
      <c r="DZ1805">
        <v>488</v>
      </c>
      <c r="EA1805">
        <v>0</v>
      </c>
    </row>
    <row r="1806" spans="1:325" ht="20.25">
      <c r="DV1806">
        <v>98</v>
      </c>
      <c r="DW1806" t="s">
        <v>53</v>
      </c>
      <c r="DX1806" s="8">
        <v>43961</v>
      </c>
      <c r="DY1806">
        <v>8</v>
      </c>
      <c r="DZ1806">
        <v>488</v>
      </c>
      <c r="EA1806">
        <v>0</v>
      </c>
    </row>
    <row r="1807" spans="1:325" ht="20.25">
      <c r="DV1807">
        <v>98</v>
      </c>
      <c r="DW1807" t="s">
        <v>53</v>
      </c>
      <c r="DX1807" s="8">
        <v>43962</v>
      </c>
      <c r="DY1807">
        <v>8</v>
      </c>
      <c r="DZ1807">
        <v>488</v>
      </c>
      <c r="EA1807">
        <v>0</v>
      </c>
    </row>
    <row r="1808" spans="1:325" ht="20.25">
      <c r="DV1808">
        <v>98</v>
      </c>
      <c r="DW1808" t="s">
        <v>53</v>
      </c>
      <c r="DX1808" s="8">
        <v>43963</v>
      </c>
      <c r="DY1808">
        <v>8</v>
      </c>
      <c r="DZ1808">
        <v>488</v>
      </c>
      <c r="EA1808">
        <v>0</v>
      </c>
    </row>
    <row r="1809" spans="1:325" ht="20.25">
      <c r="DV1809">
        <v>98</v>
      </c>
      <c r="DW1809" t="s">
        <v>53</v>
      </c>
      <c r="DX1809" s="8">
        <v>43964</v>
      </c>
      <c r="DY1809">
        <v>8</v>
      </c>
      <c r="DZ1809">
        <v>488</v>
      </c>
      <c r="EA1809">
        <v>0</v>
      </c>
    </row>
    <row r="1810" spans="1:325" ht="20.25">
      <c r="DV1810">
        <v>98</v>
      </c>
      <c r="DW1810" t="s">
        <v>53</v>
      </c>
      <c r="DX1810" s="8">
        <v>43965</v>
      </c>
      <c r="DY1810">
        <v>8</v>
      </c>
      <c r="DZ1810">
        <v>488</v>
      </c>
      <c r="EA1810">
        <v>0</v>
      </c>
    </row>
    <row r="1811" spans="1:325" ht="20.25">
      <c r="DV1811">
        <v>98</v>
      </c>
      <c r="DW1811" t="s">
        <v>53</v>
      </c>
      <c r="DX1811" s="8">
        <v>43966</v>
      </c>
      <c r="DY1811">
        <v>8</v>
      </c>
      <c r="DZ1811">
        <v>488</v>
      </c>
      <c r="EA1811">
        <v>0</v>
      </c>
    </row>
    <row r="1812" spans="1:325" ht="20.25">
      <c r="DV1812">
        <v>102</v>
      </c>
      <c r="DW1812" t="s">
        <v>77</v>
      </c>
      <c r="DX1812" s="8">
        <v>43914</v>
      </c>
      <c r="DY1812">
        <v>0</v>
      </c>
      <c r="EA1812">
        <v>0</v>
      </c>
    </row>
    <row r="1813" spans="1:325" ht="20.25">
      <c r="DV1813">
        <v>102</v>
      </c>
      <c r="DW1813" t="s">
        <v>77</v>
      </c>
      <c r="DX1813" s="8">
        <v>43915</v>
      </c>
      <c r="DY1813">
        <v>0</v>
      </c>
      <c r="EA1813">
        <v>0</v>
      </c>
    </row>
    <row r="1814" spans="1:325" ht="20.25">
      <c r="DV1814">
        <v>102</v>
      </c>
      <c r="DW1814" t="s">
        <v>77</v>
      </c>
      <c r="DX1814" s="8">
        <v>43916</v>
      </c>
      <c r="DY1814">
        <v>0</v>
      </c>
      <c r="EA1814">
        <v>0</v>
      </c>
    </row>
    <row r="1815" spans="1:325" ht="20.25">
      <c r="DV1815">
        <v>102</v>
      </c>
      <c r="DW1815" t="s">
        <v>77</v>
      </c>
      <c r="DX1815" s="8">
        <v>43917</v>
      </c>
      <c r="DY1815">
        <v>0</v>
      </c>
      <c r="EA1815">
        <v>0</v>
      </c>
    </row>
    <row r="1816" spans="1:325" ht="20.25">
      <c r="DV1816">
        <v>102</v>
      </c>
      <c r="DW1816" t="s">
        <v>77</v>
      </c>
      <c r="DX1816" s="8">
        <v>43918</v>
      </c>
      <c r="DY1816">
        <v>0</v>
      </c>
      <c r="EA1816">
        <v>0</v>
      </c>
    </row>
    <row r="1817" spans="1:325" ht="20.25">
      <c r="DV1817">
        <v>102</v>
      </c>
      <c r="DW1817" t="s">
        <v>77</v>
      </c>
      <c r="DX1817" s="8">
        <v>43919</v>
      </c>
      <c r="DY1817">
        <v>0</v>
      </c>
      <c r="EA1817">
        <v>0</v>
      </c>
    </row>
    <row r="1818" spans="1:325" ht="20.25">
      <c r="DV1818">
        <v>102</v>
      </c>
      <c r="DW1818" t="s">
        <v>77</v>
      </c>
      <c r="DX1818" s="8">
        <v>43920</v>
      </c>
      <c r="DY1818">
        <v>0</v>
      </c>
      <c r="EA1818">
        <v>0</v>
      </c>
    </row>
    <row r="1819" spans="1:325" ht="20.25">
      <c r="DV1819">
        <v>102</v>
      </c>
      <c r="DW1819" t="s">
        <v>77</v>
      </c>
      <c r="DX1819" s="8">
        <v>43921</v>
      </c>
      <c r="DY1819">
        <v>0</v>
      </c>
      <c r="EA1819">
        <v>0</v>
      </c>
    </row>
    <row r="1820" spans="1:325" ht="20.25">
      <c r="DV1820">
        <v>102</v>
      </c>
      <c r="DW1820" t="s">
        <v>77</v>
      </c>
      <c r="DX1820" s="8">
        <v>43922</v>
      </c>
      <c r="DY1820">
        <v>0</v>
      </c>
      <c r="EA1820">
        <v>0</v>
      </c>
    </row>
    <row r="1821" spans="1:325" ht="20.25">
      <c r="DV1821">
        <v>102</v>
      </c>
      <c r="DW1821" t="s">
        <v>77</v>
      </c>
      <c r="DX1821" s="8">
        <v>43923</v>
      </c>
      <c r="DY1821">
        <v>0</v>
      </c>
      <c r="EA1821">
        <v>0</v>
      </c>
    </row>
    <row r="1822" spans="1:325" ht="20.25">
      <c r="DV1822">
        <v>102</v>
      </c>
      <c r="DW1822" t="s">
        <v>77</v>
      </c>
      <c r="DX1822" s="8">
        <v>43924</v>
      </c>
      <c r="DY1822">
        <v>0</v>
      </c>
      <c r="EA1822">
        <v>0</v>
      </c>
    </row>
    <row r="1823" spans="1:325" ht="20.25">
      <c r="DV1823">
        <v>102</v>
      </c>
      <c r="DW1823" t="s">
        <v>77</v>
      </c>
      <c r="DX1823" s="8">
        <v>43925</v>
      </c>
      <c r="DY1823">
        <v>0</v>
      </c>
      <c r="EA1823">
        <v>0</v>
      </c>
    </row>
    <row r="1824" spans="1:325" ht="20.25">
      <c r="DV1824">
        <v>102</v>
      </c>
      <c r="DW1824" t="s">
        <v>77</v>
      </c>
      <c r="DX1824" s="8">
        <v>43926</v>
      </c>
      <c r="DY1824">
        <v>0</v>
      </c>
      <c r="EA1824">
        <v>0</v>
      </c>
    </row>
    <row r="1825" spans="1:325" ht="20.25">
      <c r="DV1825">
        <v>102</v>
      </c>
      <c r="DW1825" t="s">
        <v>77</v>
      </c>
      <c r="DX1825" s="8">
        <v>43927</v>
      </c>
      <c r="DY1825">
        <v>0</v>
      </c>
      <c r="EA1825">
        <v>0</v>
      </c>
    </row>
    <row r="1826" spans="1:325" ht="20.25">
      <c r="DV1826">
        <v>102</v>
      </c>
      <c r="DW1826" t="s">
        <v>77</v>
      </c>
      <c r="DX1826" s="8">
        <v>43928</v>
      </c>
      <c r="DY1826">
        <v>0</v>
      </c>
      <c r="EA1826">
        <v>0</v>
      </c>
    </row>
    <row r="1827" spans="1:325" ht="20.25">
      <c r="DV1827">
        <v>102</v>
      </c>
      <c r="DW1827" t="s">
        <v>77</v>
      </c>
      <c r="DX1827" s="8">
        <v>43929</v>
      </c>
      <c r="DY1827">
        <v>0</v>
      </c>
      <c r="EA1827">
        <v>0</v>
      </c>
    </row>
    <row r="1828" spans="1:325" ht="20.25">
      <c r="DV1828">
        <v>102</v>
      </c>
      <c r="DW1828" t="s">
        <v>77</v>
      </c>
      <c r="DX1828" s="8">
        <v>43930</v>
      </c>
      <c r="DY1828">
        <v>0</v>
      </c>
      <c r="EA1828">
        <v>0</v>
      </c>
    </row>
    <row r="1829" spans="1:325" ht="20.25">
      <c r="DV1829">
        <v>102</v>
      </c>
      <c r="DW1829" t="s">
        <v>77</v>
      </c>
      <c r="DX1829" s="8">
        <v>43931</v>
      </c>
      <c r="DY1829">
        <v>0</v>
      </c>
      <c r="EA1829">
        <v>0</v>
      </c>
    </row>
    <row r="1830" spans="1:325" ht="20.25">
      <c r="DV1830">
        <v>102</v>
      </c>
      <c r="DW1830" t="s">
        <v>77</v>
      </c>
      <c r="DX1830" s="8">
        <v>43932</v>
      </c>
      <c r="DY1830">
        <v>0</v>
      </c>
      <c r="EA1830">
        <v>0</v>
      </c>
    </row>
    <row r="1831" spans="1:325" ht="20.25">
      <c r="DV1831">
        <v>102</v>
      </c>
      <c r="DW1831" t="s">
        <v>77</v>
      </c>
      <c r="DX1831" s="8">
        <v>43933</v>
      </c>
      <c r="DY1831">
        <v>0</v>
      </c>
      <c r="EA1831">
        <v>0</v>
      </c>
    </row>
    <row r="1832" spans="1:325" ht="20.25">
      <c r="DV1832">
        <v>102</v>
      </c>
      <c r="DW1832" t="s">
        <v>77</v>
      </c>
      <c r="DX1832" s="8">
        <v>43934</v>
      </c>
      <c r="DY1832">
        <v>0</v>
      </c>
      <c r="EA1832">
        <v>0</v>
      </c>
    </row>
    <row r="1833" spans="1:325" ht="20.25">
      <c r="DV1833">
        <v>102</v>
      </c>
      <c r="DW1833" t="s">
        <v>77</v>
      </c>
      <c r="DX1833" s="8">
        <v>43935</v>
      </c>
      <c r="DY1833">
        <v>0</v>
      </c>
      <c r="EA1833">
        <v>0</v>
      </c>
    </row>
    <row r="1834" spans="1:325" ht="20.25">
      <c r="DV1834">
        <v>102</v>
      </c>
      <c r="DW1834" t="s">
        <v>77</v>
      </c>
      <c r="DX1834" s="8">
        <v>43936</v>
      </c>
      <c r="DY1834">
        <v>0</v>
      </c>
      <c r="EA1834">
        <v>0</v>
      </c>
    </row>
    <row r="1835" spans="1:325" ht="20.25">
      <c r="DV1835">
        <v>102</v>
      </c>
      <c r="DW1835" t="s">
        <v>77</v>
      </c>
      <c r="DX1835" s="8">
        <v>43937</v>
      </c>
      <c r="DY1835">
        <v>0</v>
      </c>
      <c r="DZ1835">
        <v>0</v>
      </c>
      <c r="EA1835">
        <v>0</v>
      </c>
    </row>
    <row r="1836" spans="1:325" ht="20.25">
      <c r="DV1836">
        <v>102</v>
      </c>
      <c r="DW1836" t="s">
        <v>77</v>
      </c>
      <c r="DX1836" s="8">
        <v>43938</v>
      </c>
      <c r="DY1836">
        <v>1</v>
      </c>
      <c r="DZ1836">
        <v>19</v>
      </c>
      <c r="EA1836">
        <v>0</v>
      </c>
    </row>
    <row r="1837" spans="1:325" ht="20.25">
      <c r="DV1837">
        <v>102</v>
      </c>
      <c r="DW1837" t="s">
        <v>77</v>
      </c>
      <c r="DX1837" s="8">
        <v>43939</v>
      </c>
      <c r="DY1837">
        <v>1</v>
      </c>
      <c r="DZ1837">
        <v>19</v>
      </c>
      <c r="EA1837">
        <v>0</v>
      </c>
    </row>
    <row r="1838" spans="1:325" ht="20.25">
      <c r="DV1838">
        <v>102</v>
      </c>
      <c r="DW1838" t="s">
        <v>77</v>
      </c>
      <c r="DX1838" s="8">
        <v>43940</v>
      </c>
      <c r="DY1838">
        <v>2</v>
      </c>
      <c r="DZ1838">
        <v>38</v>
      </c>
      <c r="EA1838">
        <v>0</v>
      </c>
    </row>
    <row r="1839" spans="1:325" ht="20.25">
      <c r="DV1839">
        <v>102</v>
      </c>
      <c r="DW1839" t="s">
        <v>77</v>
      </c>
      <c r="DX1839" s="8">
        <v>43941</v>
      </c>
      <c r="DY1839">
        <v>2</v>
      </c>
      <c r="DZ1839">
        <v>38</v>
      </c>
      <c r="EA1839">
        <v>0</v>
      </c>
    </row>
    <row r="1840" spans="1:325" ht="20.25">
      <c r="DV1840">
        <v>102</v>
      </c>
      <c r="DW1840" t="s">
        <v>77</v>
      </c>
      <c r="DX1840" s="8">
        <v>43942</v>
      </c>
      <c r="DY1840">
        <v>1</v>
      </c>
      <c r="DZ1840">
        <v>19</v>
      </c>
      <c r="EA1840">
        <v>0</v>
      </c>
    </row>
    <row r="1841" spans="1:325" ht="20.25">
      <c r="DV1841">
        <v>102</v>
      </c>
      <c r="DW1841" t="s">
        <v>77</v>
      </c>
      <c r="DX1841" s="8">
        <v>43943</v>
      </c>
      <c r="DY1841">
        <v>1</v>
      </c>
      <c r="DZ1841">
        <v>19</v>
      </c>
      <c r="EA1841">
        <v>0</v>
      </c>
    </row>
    <row r="1842" spans="1:325" ht="20.25">
      <c r="DV1842">
        <v>102</v>
      </c>
      <c r="DW1842" t="s">
        <v>77</v>
      </c>
      <c r="DX1842" s="8">
        <v>43944</v>
      </c>
      <c r="DY1842">
        <v>2</v>
      </c>
      <c r="DZ1842">
        <v>38</v>
      </c>
      <c r="EA1842">
        <v>0</v>
      </c>
    </row>
    <row r="1843" spans="1:325" ht="20.25">
      <c r="DV1843">
        <v>102</v>
      </c>
      <c r="DW1843" t="s">
        <v>77</v>
      </c>
      <c r="DX1843" s="8">
        <v>43945</v>
      </c>
      <c r="DY1843">
        <v>2</v>
      </c>
      <c r="DZ1843">
        <v>38</v>
      </c>
      <c r="EA1843">
        <v>0</v>
      </c>
    </row>
    <row r="1844" spans="1:325" ht="20.25">
      <c r="DV1844">
        <v>102</v>
      </c>
      <c r="DW1844" t="s">
        <v>77</v>
      </c>
      <c r="DX1844" s="8">
        <v>43946</v>
      </c>
      <c r="DY1844">
        <v>2</v>
      </c>
      <c r="DZ1844">
        <v>38</v>
      </c>
      <c r="EA1844">
        <v>0</v>
      </c>
    </row>
    <row r="1845" spans="1:325" ht="20.25">
      <c r="DV1845">
        <v>102</v>
      </c>
      <c r="DW1845" t="s">
        <v>77</v>
      </c>
      <c r="DX1845" s="8">
        <v>43947</v>
      </c>
      <c r="DY1845">
        <v>2</v>
      </c>
      <c r="DZ1845">
        <v>38</v>
      </c>
      <c r="EA1845">
        <v>0</v>
      </c>
    </row>
    <row r="1846" spans="1:325" ht="20.25">
      <c r="DV1846">
        <v>102</v>
      </c>
      <c r="DW1846" t="s">
        <v>77</v>
      </c>
      <c r="DX1846" s="8">
        <v>43948</v>
      </c>
      <c r="DY1846">
        <v>2</v>
      </c>
      <c r="DZ1846">
        <v>38</v>
      </c>
      <c r="EA1846">
        <v>0</v>
      </c>
    </row>
    <row r="1847" spans="1:325" ht="20.25">
      <c r="DV1847">
        <v>102</v>
      </c>
      <c r="DW1847" t="s">
        <v>77</v>
      </c>
      <c r="DX1847" s="8">
        <v>43949</v>
      </c>
      <c r="DY1847">
        <v>2</v>
      </c>
      <c r="DZ1847">
        <v>38</v>
      </c>
      <c r="EA1847">
        <v>0</v>
      </c>
    </row>
    <row r="1848" spans="1:325" ht="20.25">
      <c r="DV1848">
        <v>102</v>
      </c>
      <c r="DW1848" t="s">
        <v>77</v>
      </c>
      <c r="DX1848" s="8">
        <v>43950</v>
      </c>
      <c r="DY1848">
        <v>3</v>
      </c>
      <c r="DZ1848">
        <v>57</v>
      </c>
      <c r="EA1848">
        <v>0</v>
      </c>
    </row>
    <row r="1849" spans="1:325" ht="20.25">
      <c r="DV1849">
        <v>102</v>
      </c>
      <c r="DW1849" t="s">
        <v>77</v>
      </c>
      <c r="DX1849" s="8">
        <v>43951</v>
      </c>
      <c r="DY1849">
        <v>3</v>
      </c>
      <c r="DZ1849">
        <v>57</v>
      </c>
      <c r="EA1849">
        <v>0</v>
      </c>
    </row>
    <row r="1850" spans="1:325" ht="20.25">
      <c r="DV1850">
        <v>102</v>
      </c>
      <c r="DW1850" t="s">
        <v>77</v>
      </c>
      <c r="DX1850" s="8">
        <v>43952</v>
      </c>
      <c r="DY1850">
        <v>4</v>
      </c>
      <c r="DZ1850">
        <v>76</v>
      </c>
      <c r="EA1850">
        <v>0</v>
      </c>
    </row>
    <row r="1851" spans="1:325" ht="20.25">
      <c r="DV1851">
        <v>102</v>
      </c>
      <c r="DW1851" t="s">
        <v>77</v>
      </c>
      <c r="DX1851" s="8">
        <v>43953</v>
      </c>
      <c r="DY1851">
        <v>6</v>
      </c>
      <c r="DZ1851">
        <v>114</v>
      </c>
      <c r="EA1851">
        <v>0</v>
      </c>
    </row>
    <row r="1852" spans="1:325" ht="20.25">
      <c r="DV1852">
        <v>102</v>
      </c>
      <c r="DW1852" t="s">
        <v>77</v>
      </c>
      <c r="DX1852" s="8">
        <v>43954</v>
      </c>
      <c r="DY1852">
        <v>5</v>
      </c>
      <c r="DZ1852">
        <v>95</v>
      </c>
      <c r="EA1852">
        <v>0</v>
      </c>
    </row>
    <row r="1853" spans="1:325" ht="20.25">
      <c r="DV1853">
        <v>102</v>
      </c>
      <c r="DW1853" t="s">
        <v>77</v>
      </c>
      <c r="DX1853" s="8">
        <v>43955</v>
      </c>
      <c r="DY1853">
        <v>5</v>
      </c>
      <c r="DZ1853">
        <v>95</v>
      </c>
      <c r="EA1853">
        <v>0</v>
      </c>
    </row>
    <row r="1854" spans="1:325" ht="20.25">
      <c r="DV1854">
        <v>102</v>
      </c>
      <c r="DW1854" t="s">
        <v>77</v>
      </c>
      <c r="DX1854" s="8">
        <v>43956</v>
      </c>
      <c r="DY1854">
        <v>8</v>
      </c>
      <c r="DZ1854">
        <v>153</v>
      </c>
      <c r="EA1854">
        <v>0</v>
      </c>
    </row>
    <row r="1855" spans="1:325" ht="20.25">
      <c r="DV1855">
        <v>102</v>
      </c>
      <c r="DW1855" t="s">
        <v>77</v>
      </c>
      <c r="DX1855" s="8">
        <v>43957</v>
      </c>
      <c r="DY1855">
        <v>8</v>
      </c>
      <c r="DZ1855">
        <v>153</v>
      </c>
      <c r="EA1855">
        <v>0</v>
      </c>
    </row>
    <row r="1856" spans="1:325" ht="20.25">
      <c r="DV1856">
        <v>102</v>
      </c>
      <c r="DW1856" t="s">
        <v>77</v>
      </c>
      <c r="DX1856" s="8">
        <v>43958</v>
      </c>
      <c r="DY1856">
        <v>8</v>
      </c>
      <c r="DZ1856">
        <v>153</v>
      </c>
      <c r="EA1856">
        <v>0</v>
      </c>
    </row>
    <row r="1857" spans="1:325" ht="20.25">
      <c r="DV1857">
        <v>102</v>
      </c>
      <c r="DW1857" t="s">
        <v>77</v>
      </c>
      <c r="DX1857" s="8">
        <v>43959</v>
      </c>
      <c r="DY1857">
        <v>9</v>
      </c>
      <c r="DZ1857">
        <v>172</v>
      </c>
      <c r="EA1857">
        <v>0</v>
      </c>
    </row>
    <row r="1858" spans="1:325" ht="20.25">
      <c r="DV1858">
        <v>102</v>
      </c>
      <c r="DW1858" t="s">
        <v>77</v>
      </c>
      <c r="DX1858" s="8">
        <v>43960</v>
      </c>
      <c r="DY1858">
        <v>9</v>
      </c>
      <c r="DZ1858">
        <v>172</v>
      </c>
      <c r="EA1858">
        <v>0</v>
      </c>
    </row>
    <row r="1859" spans="1:325" ht="20.25">
      <c r="DV1859">
        <v>102</v>
      </c>
      <c r="DW1859" t="s">
        <v>77</v>
      </c>
      <c r="DX1859" s="8">
        <v>43961</v>
      </c>
      <c r="DY1859">
        <v>9</v>
      </c>
      <c r="DZ1859">
        <v>172</v>
      </c>
      <c r="EA1859">
        <v>0</v>
      </c>
    </row>
    <row r="1860" spans="1:325" ht="20.25">
      <c r="DV1860">
        <v>102</v>
      </c>
      <c r="DW1860" t="s">
        <v>77</v>
      </c>
      <c r="DX1860" s="8">
        <v>43962</v>
      </c>
      <c r="DY1860">
        <v>9</v>
      </c>
      <c r="DZ1860">
        <v>172</v>
      </c>
      <c r="EA1860">
        <v>0</v>
      </c>
    </row>
    <row r="1861" spans="1:325" ht="20.25">
      <c r="DV1861">
        <v>102</v>
      </c>
      <c r="DW1861" t="s">
        <v>77</v>
      </c>
      <c r="DX1861" s="8">
        <v>43963</v>
      </c>
      <c r="DY1861">
        <v>9</v>
      </c>
      <c r="DZ1861">
        <v>172</v>
      </c>
      <c r="EA1861">
        <v>0</v>
      </c>
    </row>
    <row r="1862" spans="1:325" ht="20.25">
      <c r="DV1862">
        <v>102</v>
      </c>
      <c r="DW1862" t="s">
        <v>77</v>
      </c>
      <c r="DX1862" s="8">
        <v>43964</v>
      </c>
      <c r="DY1862">
        <v>10</v>
      </c>
      <c r="DZ1862">
        <v>191</v>
      </c>
      <c r="EA1862">
        <v>0</v>
      </c>
    </row>
    <row r="1863" spans="1:325" ht="20.25">
      <c r="DV1863">
        <v>102</v>
      </c>
      <c r="DW1863" t="s">
        <v>77</v>
      </c>
      <c r="DX1863" s="8">
        <v>43965</v>
      </c>
      <c r="DY1863">
        <v>10</v>
      </c>
      <c r="DZ1863">
        <v>191</v>
      </c>
      <c r="EA1863">
        <v>0</v>
      </c>
    </row>
    <row r="1864" spans="1:325" ht="20.25">
      <c r="DV1864">
        <v>102</v>
      </c>
      <c r="DW1864" t="s">
        <v>77</v>
      </c>
      <c r="DX1864" s="8">
        <v>43966</v>
      </c>
      <c r="DY1864">
        <v>10</v>
      </c>
      <c r="DZ1864">
        <v>191</v>
      </c>
      <c r="EA1864">
        <v>0</v>
      </c>
    </row>
    <row r="1865" spans="1:325" ht="20.25">
      <c r="DV1865">
        <v>104</v>
      </c>
      <c r="DW1865" t="s">
        <v>79</v>
      </c>
      <c r="DX1865" s="8">
        <v>43914</v>
      </c>
      <c r="DY1865">
        <v>2</v>
      </c>
      <c r="EA1865">
        <v>0</v>
      </c>
    </row>
    <row r="1866" spans="1:325" ht="20.25">
      <c r="DV1866">
        <v>104</v>
      </c>
      <c r="DW1866" t="s">
        <v>79</v>
      </c>
      <c r="DX1866" s="8">
        <v>43915</v>
      </c>
      <c r="DY1866">
        <v>2</v>
      </c>
      <c r="EA1866">
        <v>0</v>
      </c>
    </row>
    <row r="1867" spans="1:325" ht="20.25">
      <c r="DV1867">
        <v>104</v>
      </c>
      <c r="DW1867" t="s">
        <v>79</v>
      </c>
      <c r="DX1867" s="8">
        <v>43916</v>
      </c>
      <c r="DY1867">
        <v>2</v>
      </c>
      <c r="EA1867">
        <v>0</v>
      </c>
    </row>
    <row r="1868" spans="1:325" ht="20.25">
      <c r="DV1868">
        <v>104</v>
      </c>
      <c r="DW1868" t="s">
        <v>79</v>
      </c>
      <c r="DX1868" s="8">
        <v>43917</v>
      </c>
      <c r="DY1868">
        <v>2</v>
      </c>
      <c r="EA1868">
        <v>0</v>
      </c>
    </row>
    <row r="1869" spans="1:325" ht="20.25">
      <c r="DV1869">
        <v>104</v>
      </c>
      <c r="DW1869" t="s">
        <v>79</v>
      </c>
      <c r="DX1869" s="8">
        <v>43918</v>
      </c>
      <c r="DY1869">
        <v>2</v>
      </c>
      <c r="EA1869">
        <v>0</v>
      </c>
    </row>
    <row r="1870" spans="1:325" ht="20.25">
      <c r="DV1870">
        <v>104</v>
      </c>
      <c r="DW1870" t="s">
        <v>79</v>
      </c>
      <c r="DX1870" s="8">
        <v>43919</v>
      </c>
      <c r="DY1870">
        <v>2</v>
      </c>
      <c r="EA1870">
        <v>0</v>
      </c>
    </row>
    <row r="1871" spans="1:325" ht="20.25">
      <c r="DV1871">
        <v>104</v>
      </c>
      <c r="DW1871" t="s">
        <v>79</v>
      </c>
      <c r="DX1871" s="8">
        <v>43920</v>
      </c>
      <c r="DY1871">
        <v>2</v>
      </c>
      <c r="EA1871">
        <v>0</v>
      </c>
    </row>
    <row r="1872" spans="1:325" ht="20.25">
      <c r="DV1872">
        <v>104</v>
      </c>
      <c r="DW1872" t="s">
        <v>79</v>
      </c>
      <c r="DX1872" s="8">
        <v>43921</v>
      </c>
      <c r="DY1872">
        <v>2</v>
      </c>
      <c r="EA1872">
        <v>1</v>
      </c>
    </row>
    <row r="1873" spans="1:325" ht="20.25">
      <c r="DV1873">
        <v>104</v>
      </c>
      <c r="DW1873" t="s">
        <v>79</v>
      </c>
      <c r="DX1873" s="8">
        <v>43922</v>
      </c>
      <c r="DY1873">
        <v>2</v>
      </c>
      <c r="EA1873">
        <v>1</v>
      </c>
    </row>
    <row r="1874" spans="1:325" ht="20.25">
      <c r="DV1874">
        <v>104</v>
      </c>
      <c r="DW1874" t="s">
        <v>79</v>
      </c>
      <c r="DX1874" s="8">
        <v>43923</v>
      </c>
      <c r="DY1874">
        <v>2</v>
      </c>
      <c r="EA1874">
        <v>1</v>
      </c>
    </row>
    <row r="1875" spans="1:325" ht="20.25">
      <c r="DV1875">
        <v>104</v>
      </c>
      <c r="DW1875" t="s">
        <v>79</v>
      </c>
      <c r="DX1875" s="8">
        <v>43924</v>
      </c>
      <c r="DY1875">
        <v>3</v>
      </c>
      <c r="EA1875">
        <v>1</v>
      </c>
    </row>
    <row r="1876" spans="1:325" ht="20.25">
      <c r="DV1876">
        <v>104</v>
      </c>
      <c r="DW1876" t="s">
        <v>79</v>
      </c>
      <c r="DX1876" s="8">
        <v>43925</v>
      </c>
      <c r="DY1876">
        <v>5</v>
      </c>
      <c r="EA1876">
        <v>1</v>
      </c>
    </row>
    <row r="1877" spans="1:325" ht="20.25">
      <c r="DV1877">
        <v>104</v>
      </c>
      <c r="DW1877" t="s">
        <v>79</v>
      </c>
      <c r="DX1877" s="8">
        <v>43926</v>
      </c>
      <c r="DY1877">
        <v>5</v>
      </c>
      <c r="EA1877">
        <v>1</v>
      </c>
    </row>
    <row r="1878" spans="1:325" ht="20.25">
      <c r="DV1878">
        <v>104</v>
      </c>
      <c r="DW1878" t="s">
        <v>79</v>
      </c>
      <c r="DX1878" s="8">
        <v>43927</v>
      </c>
      <c r="DY1878">
        <v>6</v>
      </c>
      <c r="EA1878">
        <v>1</v>
      </c>
    </row>
    <row r="1879" spans="1:325" ht="20.25">
      <c r="DV1879">
        <v>104</v>
      </c>
      <c r="DW1879" t="s">
        <v>79</v>
      </c>
      <c r="DX1879" s="8">
        <v>43928</v>
      </c>
      <c r="DY1879">
        <v>6</v>
      </c>
      <c r="EA1879">
        <v>1</v>
      </c>
    </row>
    <row r="1880" spans="1:325" ht="20.25">
      <c r="DV1880">
        <v>104</v>
      </c>
      <c r="DW1880" t="s">
        <v>79</v>
      </c>
      <c r="DX1880" s="8">
        <v>43929</v>
      </c>
      <c r="DY1880">
        <v>8</v>
      </c>
      <c r="EA1880">
        <v>1</v>
      </c>
    </row>
    <row r="1881" spans="1:325" ht="20.25">
      <c r="DV1881">
        <v>104</v>
      </c>
      <c r="DW1881" t="s">
        <v>79</v>
      </c>
      <c r="DX1881" s="8">
        <v>43930</v>
      </c>
      <c r="DY1881">
        <v>12</v>
      </c>
      <c r="EA1881">
        <v>1</v>
      </c>
    </row>
    <row r="1882" spans="1:325" ht="20.25">
      <c r="DV1882">
        <v>104</v>
      </c>
      <c r="DW1882" t="s">
        <v>79</v>
      </c>
      <c r="DX1882" s="8">
        <v>43931</v>
      </c>
      <c r="DY1882">
        <v>13</v>
      </c>
      <c r="EA1882">
        <v>1</v>
      </c>
    </row>
    <row r="1883" spans="1:325" ht="20.25">
      <c r="DV1883">
        <v>104</v>
      </c>
      <c r="DW1883" t="s">
        <v>79</v>
      </c>
      <c r="DX1883" s="8">
        <v>43932</v>
      </c>
      <c r="DY1883">
        <v>15</v>
      </c>
      <c r="EA1883">
        <v>1</v>
      </c>
    </row>
    <row r="1884" spans="1:325" ht="20.25">
      <c r="DV1884">
        <v>104</v>
      </c>
      <c r="DW1884" t="s">
        <v>79</v>
      </c>
      <c r="DX1884" s="8">
        <v>43933</v>
      </c>
      <c r="DY1884">
        <v>13</v>
      </c>
      <c r="EA1884">
        <v>1</v>
      </c>
    </row>
    <row r="1885" spans="1:325" ht="20.25">
      <c r="DV1885">
        <v>104</v>
      </c>
      <c r="DW1885" t="s">
        <v>79</v>
      </c>
      <c r="DX1885" s="8">
        <v>43934</v>
      </c>
      <c r="DY1885">
        <v>19</v>
      </c>
      <c r="EA1885">
        <v>1</v>
      </c>
    </row>
    <row r="1886" spans="1:325" ht="20.25">
      <c r="DV1886">
        <v>104</v>
      </c>
      <c r="DW1886" t="s">
        <v>79</v>
      </c>
      <c r="DX1886" s="8">
        <v>43935</v>
      </c>
      <c r="DY1886">
        <v>22</v>
      </c>
      <c r="EA1886">
        <v>1</v>
      </c>
    </row>
    <row r="1887" spans="1:325" ht="20.25">
      <c r="DV1887">
        <v>104</v>
      </c>
      <c r="DW1887" t="s">
        <v>79</v>
      </c>
      <c r="DX1887" s="8">
        <v>43936</v>
      </c>
      <c r="DY1887">
        <v>22</v>
      </c>
      <c r="EA1887">
        <v>1</v>
      </c>
    </row>
    <row r="1888" spans="1:325" ht="20.25">
      <c r="DV1888">
        <v>104</v>
      </c>
      <c r="DW1888" t="s">
        <v>79</v>
      </c>
      <c r="DX1888" s="8">
        <v>43937</v>
      </c>
      <c r="DY1888">
        <v>24</v>
      </c>
      <c r="DZ1888">
        <v>61</v>
      </c>
      <c r="EA1888">
        <v>1</v>
      </c>
    </row>
    <row r="1889" spans="1:325" ht="20.25">
      <c r="DV1889">
        <v>104</v>
      </c>
      <c r="DW1889" t="s">
        <v>79</v>
      </c>
      <c r="DX1889" s="8">
        <v>43938</v>
      </c>
      <c r="DY1889">
        <v>26</v>
      </c>
      <c r="DZ1889">
        <v>66</v>
      </c>
      <c r="EA1889">
        <v>1</v>
      </c>
    </row>
    <row r="1890" spans="1:325" ht="20.25">
      <c r="DV1890">
        <v>104</v>
      </c>
      <c r="DW1890" t="s">
        <v>79</v>
      </c>
      <c r="DX1890" s="8">
        <v>43939</v>
      </c>
      <c r="DY1890">
        <v>26</v>
      </c>
      <c r="DZ1890">
        <v>66</v>
      </c>
      <c r="EA1890">
        <v>1</v>
      </c>
    </row>
    <row r="1891" spans="1:325" ht="20.25">
      <c r="DV1891">
        <v>104</v>
      </c>
      <c r="DW1891" t="s">
        <v>79</v>
      </c>
      <c r="DX1891" s="8">
        <v>43940</v>
      </c>
      <c r="DY1891">
        <v>26</v>
      </c>
      <c r="DZ1891">
        <v>66</v>
      </c>
      <c r="EA1891">
        <v>1</v>
      </c>
    </row>
    <row r="1892" spans="1:325" ht="20.25">
      <c r="DV1892">
        <v>104</v>
      </c>
      <c r="DW1892" t="s">
        <v>79</v>
      </c>
      <c r="DX1892" s="8">
        <v>43941</v>
      </c>
      <c r="DY1892">
        <v>27</v>
      </c>
      <c r="DZ1892">
        <v>69</v>
      </c>
      <c r="EA1892">
        <v>1</v>
      </c>
    </row>
    <row r="1893" spans="1:325" ht="20.25">
      <c r="DV1893">
        <v>104</v>
      </c>
      <c r="DW1893" t="s">
        <v>79</v>
      </c>
      <c r="DX1893" s="8">
        <v>43942</v>
      </c>
      <c r="DY1893">
        <v>30</v>
      </c>
      <c r="DZ1893">
        <v>77</v>
      </c>
      <c r="EA1893">
        <v>1</v>
      </c>
    </row>
    <row r="1894" spans="1:325" ht="20.25">
      <c r="DV1894">
        <v>104</v>
      </c>
      <c r="DW1894" t="s">
        <v>79</v>
      </c>
      <c r="DX1894" s="8">
        <v>43943</v>
      </c>
      <c r="DY1894">
        <v>31</v>
      </c>
      <c r="DZ1894">
        <v>79</v>
      </c>
      <c r="EA1894">
        <v>1</v>
      </c>
    </row>
    <row r="1895" spans="1:325" ht="20.25">
      <c r="DV1895">
        <v>104</v>
      </c>
      <c r="DW1895" t="s">
        <v>79</v>
      </c>
      <c r="DX1895" s="8">
        <v>43944</v>
      </c>
      <c r="DY1895">
        <v>33</v>
      </c>
      <c r="DZ1895">
        <v>84</v>
      </c>
      <c r="EA1895">
        <v>1</v>
      </c>
    </row>
    <row r="1896" spans="1:325" ht="20.25">
      <c r="DV1896">
        <v>104</v>
      </c>
      <c r="DW1896" t="s">
        <v>79</v>
      </c>
      <c r="DX1896" s="8">
        <v>43945</v>
      </c>
      <c r="DY1896">
        <v>34</v>
      </c>
      <c r="DZ1896">
        <v>87</v>
      </c>
      <c r="EA1896">
        <v>1</v>
      </c>
    </row>
    <row r="1897" spans="1:325" ht="20.25">
      <c r="DV1897">
        <v>104</v>
      </c>
      <c r="DW1897" t="s">
        <v>79</v>
      </c>
      <c r="DX1897" s="8">
        <v>43946</v>
      </c>
      <c r="DY1897">
        <v>35</v>
      </c>
      <c r="DZ1897">
        <v>89</v>
      </c>
      <c r="EA1897">
        <v>1</v>
      </c>
    </row>
    <row r="1898" spans="1:325" ht="20.25">
      <c r="DV1898">
        <v>104</v>
      </c>
      <c r="DW1898" t="s">
        <v>79</v>
      </c>
      <c r="DX1898" s="8">
        <v>43947</v>
      </c>
      <c r="DY1898">
        <v>36</v>
      </c>
      <c r="DZ1898">
        <v>92</v>
      </c>
      <c r="EA1898">
        <v>2</v>
      </c>
    </row>
    <row r="1899" spans="1:325" ht="20.25">
      <c r="DV1899">
        <v>104</v>
      </c>
      <c r="DW1899" t="s">
        <v>79</v>
      </c>
      <c r="DX1899" s="8">
        <v>43948</v>
      </c>
      <c r="DY1899">
        <v>38</v>
      </c>
      <c r="DZ1899">
        <v>97</v>
      </c>
      <c r="EA1899">
        <v>2</v>
      </c>
    </row>
    <row r="1900" spans="1:325" ht="20.25">
      <c r="DV1900">
        <v>104</v>
      </c>
      <c r="DW1900" t="s">
        <v>79</v>
      </c>
      <c r="DX1900" s="8">
        <v>43949</v>
      </c>
      <c r="DY1900">
        <v>41</v>
      </c>
      <c r="DZ1900">
        <v>105</v>
      </c>
      <c r="EA1900">
        <v>2</v>
      </c>
    </row>
    <row r="1901" spans="1:325" ht="20.25">
      <c r="DV1901">
        <v>104</v>
      </c>
      <c r="DW1901" t="s">
        <v>79</v>
      </c>
      <c r="DX1901" s="8">
        <v>43950</v>
      </c>
      <c r="DY1901">
        <v>39</v>
      </c>
      <c r="DZ1901">
        <v>100</v>
      </c>
      <c r="EA1901">
        <v>2</v>
      </c>
    </row>
    <row r="1902" spans="1:325" ht="20.25">
      <c r="DV1902">
        <v>104</v>
      </c>
      <c r="DW1902" t="s">
        <v>79</v>
      </c>
      <c r="DX1902" s="8">
        <v>43951</v>
      </c>
      <c r="DY1902">
        <v>41</v>
      </c>
      <c r="DZ1902">
        <v>105</v>
      </c>
      <c r="EA1902">
        <v>2</v>
      </c>
    </row>
    <row r="1903" spans="1:325" ht="20.25">
      <c r="DV1903">
        <v>104</v>
      </c>
      <c r="DW1903" t="s">
        <v>79</v>
      </c>
      <c r="DX1903" s="8">
        <v>43952</v>
      </c>
      <c r="DY1903">
        <v>44</v>
      </c>
      <c r="DZ1903">
        <v>112</v>
      </c>
      <c r="EA1903">
        <v>2</v>
      </c>
    </row>
    <row r="1904" spans="1:325" ht="20.25">
      <c r="DV1904">
        <v>104</v>
      </c>
      <c r="DW1904" t="s">
        <v>79</v>
      </c>
      <c r="DX1904" s="8">
        <v>43953</v>
      </c>
      <c r="DY1904">
        <v>47</v>
      </c>
      <c r="DZ1904">
        <v>120</v>
      </c>
      <c r="EA1904">
        <v>2</v>
      </c>
    </row>
    <row r="1905" spans="1:325" ht="20.25">
      <c r="DV1905">
        <v>104</v>
      </c>
      <c r="DW1905" t="s">
        <v>79</v>
      </c>
      <c r="DX1905" s="8">
        <v>43954</v>
      </c>
      <c r="DY1905">
        <v>50</v>
      </c>
      <c r="DZ1905">
        <v>128</v>
      </c>
      <c r="EA1905">
        <v>2</v>
      </c>
    </row>
    <row r="1906" spans="1:325" ht="20.25">
      <c r="DV1906">
        <v>104</v>
      </c>
      <c r="DW1906" t="s">
        <v>79</v>
      </c>
      <c r="DX1906" s="8">
        <v>43955</v>
      </c>
      <c r="DY1906">
        <v>52</v>
      </c>
      <c r="DZ1906">
        <v>133</v>
      </c>
      <c r="EA1906">
        <v>2</v>
      </c>
    </row>
    <row r="1907" spans="1:325" ht="20.25">
      <c r="DV1907">
        <v>104</v>
      </c>
      <c r="DW1907" t="s">
        <v>79</v>
      </c>
      <c r="DX1907" s="8">
        <v>43956</v>
      </c>
      <c r="DY1907">
        <v>55</v>
      </c>
      <c r="DZ1907">
        <v>141</v>
      </c>
      <c r="EA1907">
        <v>2</v>
      </c>
    </row>
    <row r="1908" spans="1:325" ht="20.25">
      <c r="DV1908">
        <v>104</v>
      </c>
      <c r="DW1908" t="s">
        <v>79</v>
      </c>
      <c r="DX1908" s="8">
        <v>43957</v>
      </c>
      <c r="DY1908">
        <v>56</v>
      </c>
      <c r="DZ1908">
        <v>143</v>
      </c>
      <c r="EA1908">
        <v>2</v>
      </c>
    </row>
    <row r="1909" spans="1:325" ht="20.25">
      <c r="DV1909">
        <v>104</v>
      </c>
      <c r="DW1909" t="s">
        <v>79</v>
      </c>
      <c r="DX1909" s="8">
        <v>43958</v>
      </c>
      <c r="DY1909">
        <v>58</v>
      </c>
      <c r="DZ1909">
        <v>148</v>
      </c>
      <c r="EA1909">
        <v>2</v>
      </c>
    </row>
    <row r="1910" spans="1:325" ht="20.25">
      <c r="DV1910">
        <v>104</v>
      </c>
      <c r="DW1910" t="s">
        <v>79</v>
      </c>
      <c r="DX1910" s="8">
        <v>43959</v>
      </c>
      <c r="DY1910">
        <v>58</v>
      </c>
      <c r="DZ1910">
        <v>148</v>
      </c>
      <c r="EA1910">
        <v>2</v>
      </c>
    </row>
    <row r="1911" spans="1:325" ht="20.25">
      <c r="DV1911">
        <v>104</v>
      </c>
      <c r="DW1911" t="s">
        <v>79</v>
      </c>
      <c r="DX1911" s="8">
        <v>43960</v>
      </c>
      <c r="DY1911">
        <v>59</v>
      </c>
      <c r="DZ1911">
        <v>151</v>
      </c>
      <c r="EA1911">
        <v>2</v>
      </c>
    </row>
    <row r="1912" spans="1:325" ht="20.25">
      <c r="DV1912">
        <v>104</v>
      </c>
      <c r="DW1912" t="s">
        <v>79</v>
      </c>
      <c r="DX1912" s="8">
        <v>43961</v>
      </c>
      <c r="DY1912">
        <v>59</v>
      </c>
      <c r="DZ1912">
        <v>151</v>
      </c>
      <c r="EA1912">
        <v>2</v>
      </c>
    </row>
    <row r="1913" spans="1:325" ht="20.25">
      <c r="DV1913">
        <v>104</v>
      </c>
      <c r="DW1913" t="s">
        <v>79</v>
      </c>
      <c r="DX1913" s="8">
        <v>43962</v>
      </c>
      <c r="DY1913">
        <v>60</v>
      </c>
      <c r="DZ1913">
        <v>153</v>
      </c>
      <c r="EA1913">
        <v>2</v>
      </c>
    </row>
    <row r="1914" spans="1:325" ht="20.25">
      <c r="DV1914">
        <v>104</v>
      </c>
      <c r="DW1914" t="s">
        <v>79</v>
      </c>
      <c r="DX1914" s="8">
        <v>43963</v>
      </c>
      <c r="DY1914">
        <v>63</v>
      </c>
      <c r="DZ1914">
        <v>161</v>
      </c>
      <c r="EA1914">
        <v>2</v>
      </c>
    </row>
    <row r="1915" spans="1:325" ht="20.25">
      <c r="DV1915">
        <v>104</v>
      </c>
      <c r="DW1915" t="s">
        <v>79</v>
      </c>
      <c r="DX1915" s="8">
        <v>43964</v>
      </c>
      <c r="DY1915">
        <v>66</v>
      </c>
      <c r="DZ1915">
        <v>169</v>
      </c>
      <c r="EA1915">
        <v>3</v>
      </c>
    </row>
    <row r="1916" spans="1:325" ht="20.25">
      <c r="DV1916">
        <v>104</v>
      </c>
      <c r="DW1916" t="s">
        <v>79</v>
      </c>
      <c r="DX1916" s="8">
        <v>43965</v>
      </c>
      <c r="DY1916">
        <v>74</v>
      </c>
      <c r="DZ1916">
        <v>189</v>
      </c>
      <c r="EA1916">
        <v>3</v>
      </c>
    </row>
    <row r="1917" spans="1:325" ht="20.25">
      <c r="DV1917">
        <v>104</v>
      </c>
      <c r="DW1917" t="s">
        <v>79</v>
      </c>
      <c r="DX1917" s="8">
        <v>43966</v>
      </c>
      <c r="DY1917">
        <v>74</v>
      </c>
      <c r="DZ1917">
        <v>189</v>
      </c>
      <c r="EA1917">
        <v>3</v>
      </c>
    </row>
    <row r="1918" spans="1:325" ht="20.25">
      <c r="DV1918">
        <v>113</v>
      </c>
      <c r="DW1918" t="s">
        <v>81</v>
      </c>
      <c r="DX1918" s="8">
        <v>43914</v>
      </c>
      <c r="DY1918">
        <v>1</v>
      </c>
      <c r="EA1918">
        <v>0</v>
      </c>
    </row>
    <row r="1919" spans="1:325" ht="20.25">
      <c r="DV1919">
        <v>113</v>
      </c>
      <c r="DW1919" t="s">
        <v>81</v>
      </c>
      <c r="DX1919" s="8">
        <v>43915</v>
      </c>
      <c r="DY1919">
        <v>2</v>
      </c>
      <c r="EA1919">
        <v>0</v>
      </c>
    </row>
    <row r="1920" spans="1:325" ht="20.25">
      <c r="DV1920">
        <v>113</v>
      </c>
      <c r="DW1920" t="s">
        <v>81</v>
      </c>
      <c r="DX1920" s="8">
        <v>43916</v>
      </c>
      <c r="DY1920">
        <v>2</v>
      </c>
      <c r="EA1920">
        <v>0</v>
      </c>
    </row>
    <row r="1921" spans="1:325" ht="20.25">
      <c r="DV1921">
        <v>113</v>
      </c>
      <c r="DW1921" t="s">
        <v>81</v>
      </c>
      <c r="DX1921" s="8">
        <v>43917</v>
      </c>
      <c r="DY1921">
        <v>2</v>
      </c>
      <c r="EA1921">
        <v>0</v>
      </c>
    </row>
    <row r="1922" spans="1:325" ht="20.25">
      <c r="DV1922">
        <v>113</v>
      </c>
      <c r="DW1922" t="s">
        <v>81</v>
      </c>
      <c r="DX1922" s="8">
        <v>43918</v>
      </c>
      <c r="DY1922">
        <v>2</v>
      </c>
      <c r="EA1922">
        <v>0</v>
      </c>
    </row>
    <row r="1923" spans="1:325" ht="20.25">
      <c r="DV1923">
        <v>113</v>
      </c>
      <c r="DW1923" t="s">
        <v>81</v>
      </c>
      <c r="DX1923" s="8">
        <v>43919</v>
      </c>
      <c r="DY1923">
        <v>2</v>
      </c>
      <c r="EA1923">
        <v>0</v>
      </c>
    </row>
    <row r="1924" spans="1:325" ht="20.25">
      <c r="DV1924">
        <v>113</v>
      </c>
      <c r="DW1924" t="s">
        <v>81</v>
      </c>
      <c r="DX1924" s="8">
        <v>43920</v>
      </c>
      <c r="DY1924">
        <v>3</v>
      </c>
      <c r="EA1924">
        <v>0</v>
      </c>
    </row>
    <row r="1925" spans="1:325" ht="20.25">
      <c r="DV1925">
        <v>113</v>
      </c>
      <c r="DW1925" t="s">
        <v>81</v>
      </c>
      <c r="DX1925" s="8">
        <v>43921</v>
      </c>
      <c r="DY1925">
        <v>3</v>
      </c>
      <c r="EA1925">
        <v>0</v>
      </c>
    </row>
    <row r="1926" spans="1:325" ht="20.25">
      <c r="DV1926">
        <v>113</v>
      </c>
      <c r="DW1926" t="s">
        <v>81</v>
      </c>
      <c r="DX1926" s="8">
        <v>43922</v>
      </c>
      <c r="DY1926">
        <v>3</v>
      </c>
      <c r="EA1926">
        <v>0</v>
      </c>
    </row>
    <row r="1927" spans="1:325" ht="20.25">
      <c r="DV1927">
        <v>113</v>
      </c>
      <c r="DW1927" t="s">
        <v>81</v>
      </c>
      <c r="DX1927" s="8">
        <v>43923</v>
      </c>
      <c r="DY1927">
        <v>4</v>
      </c>
      <c r="EA1927">
        <v>1</v>
      </c>
    </row>
    <row r="1928" spans="1:325" ht="20.25">
      <c r="DV1928">
        <v>113</v>
      </c>
      <c r="DW1928" t="s">
        <v>81</v>
      </c>
      <c r="DX1928" s="8">
        <v>43924</v>
      </c>
      <c r="DY1928">
        <v>6</v>
      </c>
      <c r="EA1928">
        <v>0</v>
      </c>
    </row>
    <row r="1929" spans="1:325" ht="20.25">
      <c r="DV1929">
        <v>113</v>
      </c>
      <c r="DW1929" t="s">
        <v>81</v>
      </c>
      <c r="DX1929" s="8">
        <v>43925</v>
      </c>
      <c r="DY1929">
        <v>7</v>
      </c>
      <c r="EA1929">
        <v>2</v>
      </c>
    </row>
    <row r="1930" spans="1:325" ht="20.25">
      <c r="DV1930">
        <v>113</v>
      </c>
      <c r="DW1930" t="s">
        <v>81</v>
      </c>
      <c r="DX1930" s="8">
        <v>43926</v>
      </c>
      <c r="DY1930">
        <v>8</v>
      </c>
      <c r="EA1930">
        <v>2</v>
      </c>
    </row>
    <row r="1931" spans="1:325" ht="20.25">
      <c r="DV1931">
        <v>113</v>
      </c>
      <c r="DW1931" t="s">
        <v>81</v>
      </c>
      <c r="DX1931" s="8">
        <v>43927</v>
      </c>
      <c r="DY1931">
        <v>10</v>
      </c>
      <c r="EA1931">
        <v>3</v>
      </c>
    </row>
    <row r="1932" spans="1:325" ht="20.25">
      <c r="DV1932">
        <v>113</v>
      </c>
      <c r="DW1932" t="s">
        <v>81</v>
      </c>
      <c r="DX1932" s="8">
        <v>43928</v>
      </c>
      <c r="DY1932">
        <v>13</v>
      </c>
      <c r="EA1932">
        <v>3</v>
      </c>
    </row>
    <row r="1933" spans="1:325" ht="20.25">
      <c r="DV1933">
        <v>113</v>
      </c>
      <c r="DW1933" t="s">
        <v>81</v>
      </c>
      <c r="DX1933" s="8">
        <v>43929</v>
      </c>
      <c r="DY1933">
        <v>15</v>
      </c>
      <c r="EA1933">
        <v>3</v>
      </c>
    </row>
    <row r="1934" spans="1:325" ht="20.25">
      <c r="DV1934">
        <v>113</v>
      </c>
      <c r="DW1934" t="s">
        <v>81</v>
      </c>
      <c r="DX1934" s="8">
        <v>43930</v>
      </c>
      <c r="DY1934">
        <v>19</v>
      </c>
      <c r="EA1934">
        <v>4</v>
      </c>
    </row>
    <row r="1935" spans="1:325" ht="20.25">
      <c r="DV1935">
        <v>113</v>
      </c>
      <c r="DW1935" t="s">
        <v>81</v>
      </c>
      <c r="DX1935" s="8">
        <v>43931</v>
      </c>
      <c r="DY1935">
        <v>23</v>
      </c>
      <c r="EA1935">
        <v>5</v>
      </c>
    </row>
    <row r="1936" spans="1:325" ht="20.25">
      <c r="DV1936">
        <v>113</v>
      </c>
      <c r="DW1936" t="s">
        <v>81</v>
      </c>
      <c r="DX1936" s="8">
        <v>43932</v>
      </c>
      <c r="DY1936">
        <v>28</v>
      </c>
      <c r="EA1936">
        <v>5</v>
      </c>
    </row>
    <row r="1937" spans="1:325" ht="20.25">
      <c r="DV1937">
        <v>113</v>
      </c>
      <c r="DW1937" t="s">
        <v>81</v>
      </c>
      <c r="DX1937" s="8">
        <v>43933</v>
      </c>
      <c r="DY1937">
        <v>28</v>
      </c>
      <c r="EA1937">
        <v>5</v>
      </c>
    </row>
    <row r="1938" spans="1:325" ht="20.25">
      <c r="DV1938">
        <v>113</v>
      </c>
      <c r="DW1938" t="s">
        <v>81</v>
      </c>
      <c r="DX1938" s="8">
        <v>43934</v>
      </c>
      <c r="DY1938">
        <v>30</v>
      </c>
      <c r="EA1938">
        <v>4</v>
      </c>
    </row>
    <row r="1939" spans="1:325" ht="20.25">
      <c r="DV1939">
        <v>113</v>
      </c>
      <c r="DW1939" t="s">
        <v>81</v>
      </c>
      <c r="DX1939" s="8">
        <v>43935</v>
      </c>
      <c r="DY1939">
        <v>30</v>
      </c>
      <c r="EA1939">
        <v>4</v>
      </c>
    </row>
    <row r="1940" spans="1:325" ht="20.25">
      <c r="DV1940">
        <v>113</v>
      </c>
      <c r="DW1940" t="s">
        <v>81</v>
      </c>
      <c r="DX1940" s="8">
        <v>43936</v>
      </c>
      <c r="DY1940">
        <v>31</v>
      </c>
      <c r="EA1940">
        <v>7</v>
      </c>
    </row>
    <row r="1941" spans="1:325" ht="20.25">
      <c r="DV1941">
        <v>113</v>
      </c>
      <c r="DW1941" t="s">
        <v>81</v>
      </c>
      <c r="DX1941" s="8">
        <v>43937</v>
      </c>
      <c r="DY1941">
        <v>31</v>
      </c>
      <c r="DZ1941">
        <v>333</v>
      </c>
      <c r="EA1941">
        <v>7</v>
      </c>
    </row>
    <row r="1942" spans="1:325" ht="20.25">
      <c r="DV1942">
        <v>113</v>
      </c>
      <c r="DW1942" t="s">
        <v>81</v>
      </c>
      <c r="DX1942" s="8">
        <v>43938</v>
      </c>
      <c r="DY1942">
        <v>33</v>
      </c>
      <c r="DZ1942">
        <v>355</v>
      </c>
      <c r="EA1942">
        <v>7</v>
      </c>
    </row>
    <row r="1943" spans="1:325" ht="20.25">
      <c r="DV1943">
        <v>113</v>
      </c>
      <c r="DW1943" t="s">
        <v>81</v>
      </c>
      <c r="DX1943" s="8">
        <v>43939</v>
      </c>
      <c r="DY1943">
        <v>36</v>
      </c>
      <c r="DZ1943">
        <v>387</v>
      </c>
      <c r="EA1943">
        <v>8</v>
      </c>
    </row>
    <row r="1944" spans="1:325" ht="20.25">
      <c r="DV1944">
        <v>113</v>
      </c>
      <c r="DW1944" t="s">
        <v>81</v>
      </c>
      <c r="DX1944" s="8">
        <v>43940</v>
      </c>
      <c r="DY1944">
        <v>36</v>
      </c>
      <c r="DZ1944">
        <v>387</v>
      </c>
      <c r="EA1944">
        <v>8</v>
      </c>
    </row>
    <row r="1945" spans="1:325" ht="20.25">
      <c r="DV1945">
        <v>113</v>
      </c>
      <c r="DW1945" t="s">
        <v>81</v>
      </c>
      <c r="DX1945" s="8">
        <v>43941</v>
      </c>
      <c r="DY1945">
        <v>38</v>
      </c>
      <c r="DZ1945">
        <v>408</v>
      </c>
      <c r="EA1945">
        <v>8</v>
      </c>
    </row>
    <row r="1946" spans="1:325" ht="20.25">
      <c r="DV1946">
        <v>113</v>
      </c>
      <c r="DW1946" t="s">
        <v>81</v>
      </c>
      <c r="DX1946" s="8">
        <v>43942</v>
      </c>
      <c r="DY1946">
        <v>40</v>
      </c>
      <c r="DZ1946">
        <v>430</v>
      </c>
      <c r="EA1946">
        <v>9</v>
      </c>
    </row>
    <row r="1947" spans="1:325" ht="20.25">
      <c r="DV1947">
        <v>113</v>
      </c>
      <c r="DW1947" t="s">
        <v>81</v>
      </c>
      <c r="DX1947" s="8">
        <v>43943</v>
      </c>
      <c r="DY1947">
        <v>41</v>
      </c>
      <c r="DZ1947">
        <v>441</v>
      </c>
      <c r="EA1947">
        <v>9</v>
      </c>
    </row>
    <row r="1948" spans="1:325" ht="20.25">
      <c r="DV1948">
        <v>113</v>
      </c>
      <c r="DW1948" t="s">
        <v>81</v>
      </c>
      <c r="DX1948" s="8">
        <v>43944</v>
      </c>
      <c r="DY1948">
        <v>42</v>
      </c>
      <c r="DZ1948">
        <v>451</v>
      </c>
      <c r="EA1948">
        <v>9</v>
      </c>
    </row>
    <row r="1949" spans="1:325" ht="20.25">
      <c r="DV1949">
        <v>113</v>
      </c>
      <c r="DW1949" t="s">
        <v>81</v>
      </c>
      <c r="DX1949" s="8">
        <v>43945</v>
      </c>
      <c r="DY1949">
        <v>44</v>
      </c>
      <c r="DZ1949">
        <v>473</v>
      </c>
      <c r="EA1949">
        <v>10</v>
      </c>
    </row>
    <row r="1950" spans="1:325" ht="20.25">
      <c r="DV1950">
        <v>113</v>
      </c>
      <c r="DW1950" t="s">
        <v>81</v>
      </c>
      <c r="DX1950" s="8">
        <v>43946</v>
      </c>
      <c r="DY1950">
        <v>46</v>
      </c>
      <c r="DZ1950">
        <v>494</v>
      </c>
      <c r="EA1950">
        <v>10</v>
      </c>
    </row>
    <row r="1951" spans="1:325" ht="20.25">
      <c r="DV1951">
        <v>113</v>
      </c>
      <c r="DW1951" t="s">
        <v>81</v>
      </c>
      <c r="DX1951" s="8">
        <v>43947</v>
      </c>
      <c r="DY1951">
        <v>47</v>
      </c>
      <c r="DZ1951">
        <v>505</v>
      </c>
      <c r="EA1951">
        <v>10</v>
      </c>
    </row>
    <row r="1952" spans="1:325" ht="20.25">
      <c r="DV1952">
        <v>113</v>
      </c>
      <c r="DW1952" t="s">
        <v>81</v>
      </c>
      <c r="DX1952" s="8">
        <v>43948</v>
      </c>
      <c r="DY1952">
        <v>47</v>
      </c>
      <c r="DZ1952">
        <v>505</v>
      </c>
      <c r="EA1952">
        <v>11</v>
      </c>
    </row>
    <row r="1953" spans="1:325" ht="20.25">
      <c r="DV1953">
        <v>113</v>
      </c>
      <c r="DW1953" t="s">
        <v>81</v>
      </c>
      <c r="DX1953" s="8">
        <v>43949</v>
      </c>
      <c r="DY1953">
        <v>50</v>
      </c>
      <c r="DZ1953">
        <v>537</v>
      </c>
      <c r="EA1953">
        <v>12</v>
      </c>
    </row>
    <row r="1954" spans="1:325" ht="20.25">
      <c r="DV1954">
        <v>113</v>
      </c>
      <c r="DW1954" t="s">
        <v>81</v>
      </c>
      <c r="DX1954" s="8">
        <v>43950</v>
      </c>
      <c r="DY1954">
        <v>50</v>
      </c>
      <c r="DZ1954">
        <v>537</v>
      </c>
      <c r="EA1954">
        <v>12</v>
      </c>
    </row>
    <row r="1955" spans="1:325" ht="20.25">
      <c r="DV1955">
        <v>113</v>
      </c>
      <c r="DW1955" t="s">
        <v>81</v>
      </c>
      <c r="DX1955" s="8">
        <v>43951</v>
      </c>
      <c r="DY1955">
        <v>50</v>
      </c>
      <c r="DZ1955">
        <v>537</v>
      </c>
      <c r="EA1955">
        <v>12</v>
      </c>
    </row>
    <row r="1956" spans="1:325" ht="20.25">
      <c r="DV1956">
        <v>113</v>
      </c>
      <c r="DW1956" t="s">
        <v>81</v>
      </c>
      <c r="DX1956" s="8">
        <v>43952</v>
      </c>
      <c r="DY1956">
        <v>51</v>
      </c>
      <c r="DZ1956">
        <v>548</v>
      </c>
      <c r="EA1956">
        <v>12</v>
      </c>
    </row>
    <row r="1957" spans="1:325" ht="20.25">
      <c r="DV1957">
        <v>113</v>
      </c>
      <c r="DW1957" t="s">
        <v>81</v>
      </c>
      <c r="DX1957" s="8">
        <v>43953</v>
      </c>
      <c r="DY1957">
        <v>51</v>
      </c>
      <c r="DZ1957">
        <v>548</v>
      </c>
      <c r="EA1957">
        <v>12</v>
      </c>
    </row>
    <row r="1958" spans="1:325" ht="20.25">
      <c r="DV1958">
        <v>113</v>
      </c>
      <c r="DW1958" t="s">
        <v>81</v>
      </c>
      <c r="DX1958" s="8">
        <v>43954</v>
      </c>
      <c r="DY1958">
        <v>51</v>
      </c>
      <c r="DZ1958">
        <v>548</v>
      </c>
      <c r="EA1958">
        <v>12</v>
      </c>
    </row>
    <row r="1959" spans="1:325" ht="20.25">
      <c r="DV1959">
        <v>113</v>
      </c>
      <c r="DW1959" t="s">
        <v>81</v>
      </c>
      <c r="DX1959" s="8">
        <v>43955</v>
      </c>
      <c r="DY1959">
        <v>52</v>
      </c>
      <c r="DZ1959">
        <v>559</v>
      </c>
      <c r="EA1959">
        <v>12</v>
      </c>
    </row>
    <row r="1960" spans="1:325" ht="20.25">
      <c r="DV1960">
        <v>113</v>
      </c>
      <c r="DW1960" t="s">
        <v>81</v>
      </c>
      <c r="DX1960" s="8">
        <v>43956</v>
      </c>
      <c r="DY1960">
        <v>51</v>
      </c>
      <c r="DZ1960">
        <v>548</v>
      </c>
      <c r="EA1960">
        <v>12</v>
      </c>
    </row>
    <row r="1961" spans="1:325" ht="20.25">
      <c r="DV1961">
        <v>113</v>
      </c>
      <c r="DW1961" t="s">
        <v>81</v>
      </c>
      <c r="DX1961" s="8">
        <v>43957</v>
      </c>
      <c r="DY1961">
        <v>51</v>
      </c>
      <c r="DZ1961">
        <v>548</v>
      </c>
      <c r="EA1961">
        <v>12</v>
      </c>
    </row>
    <row r="1962" spans="1:325" ht="20.25">
      <c r="DV1962">
        <v>113</v>
      </c>
      <c r="DW1962" t="s">
        <v>81</v>
      </c>
      <c r="DX1962" s="8">
        <v>43958</v>
      </c>
      <c r="DY1962">
        <v>51</v>
      </c>
      <c r="DZ1962">
        <v>548</v>
      </c>
      <c r="EA1962">
        <v>12</v>
      </c>
    </row>
    <row r="1963" spans="1:325" ht="20.25">
      <c r="DV1963">
        <v>113</v>
      </c>
      <c r="DW1963" t="s">
        <v>81</v>
      </c>
      <c r="DX1963" s="8">
        <v>43959</v>
      </c>
      <c r="DY1963">
        <v>51</v>
      </c>
      <c r="DZ1963">
        <v>548</v>
      </c>
      <c r="EA1963">
        <v>12</v>
      </c>
    </row>
    <row r="1964" spans="1:325" ht="20.25">
      <c r="DV1964">
        <v>113</v>
      </c>
      <c r="DW1964" t="s">
        <v>81</v>
      </c>
      <c r="DX1964" s="8">
        <v>43960</v>
      </c>
      <c r="DY1964">
        <v>50</v>
      </c>
      <c r="DZ1964">
        <v>537</v>
      </c>
      <c r="EA1964">
        <v>11</v>
      </c>
    </row>
    <row r="1965" spans="1:325" ht="20.25">
      <c r="DV1965">
        <v>113</v>
      </c>
      <c r="DW1965" t="s">
        <v>81</v>
      </c>
      <c r="DX1965" s="8">
        <v>43961</v>
      </c>
      <c r="DY1965">
        <v>51</v>
      </c>
      <c r="DZ1965">
        <v>548</v>
      </c>
      <c r="EA1965">
        <v>11</v>
      </c>
    </row>
    <row r="1966" spans="1:325" ht="20.25">
      <c r="DV1966">
        <v>113</v>
      </c>
      <c r="DW1966" t="s">
        <v>81</v>
      </c>
      <c r="DX1966" s="8">
        <v>43962</v>
      </c>
      <c r="DY1966">
        <v>52</v>
      </c>
      <c r="DZ1966">
        <v>559</v>
      </c>
      <c r="EA1966">
        <v>11</v>
      </c>
    </row>
    <row r="1967" spans="1:325" ht="20.25">
      <c r="DV1967">
        <v>113</v>
      </c>
      <c r="DW1967" t="s">
        <v>81</v>
      </c>
      <c r="DX1967" s="8">
        <v>43963</v>
      </c>
      <c r="DY1967">
        <v>52</v>
      </c>
      <c r="DZ1967">
        <v>559</v>
      </c>
      <c r="EA1967">
        <v>11</v>
      </c>
    </row>
    <row r="1968" spans="1:325" ht="20.25">
      <c r="DV1968">
        <v>113</v>
      </c>
      <c r="DW1968" t="s">
        <v>81</v>
      </c>
      <c r="DX1968" s="8">
        <v>43964</v>
      </c>
      <c r="DY1968">
        <v>52</v>
      </c>
      <c r="DZ1968">
        <v>559</v>
      </c>
      <c r="EA1968">
        <v>11</v>
      </c>
    </row>
    <row r="1969" spans="1:325" ht="20.25">
      <c r="DV1969">
        <v>113</v>
      </c>
      <c r="DW1969" t="s">
        <v>81</v>
      </c>
      <c r="DX1969" s="8">
        <v>43965</v>
      </c>
      <c r="DY1969">
        <v>54</v>
      </c>
      <c r="DZ1969">
        <v>580</v>
      </c>
      <c r="EA1969">
        <v>14</v>
      </c>
    </row>
    <row r="1970" spans="1:325" ht="20.25">
      <c r="DV1970">
        <v>113</v>
      </c>
      <c r="DW1970" t="s">
        <v>81</v>
      </c>
      <c r="DX1970" s="8">
        <v>43966</v>
      </c>
      <c r="DY1970">
        <v>54</v>
      </c>
      <c r="DZ1970">
        <v>580</v>
      </c>
      <c r="EA1970">
        <v>14</v>
      </c>
    </row>
    <row r="1971" spans="1:325" ht="20.25">
      <c r="DV1971">
        <v>119</v>
      </c>
      <c r="DW1971" t="s">
        <v>83</v>
      </c>
      <c r="DX1971" s="8">
        <v>43914</v>
      </c>
      <c r="DY1971">
        <v>8</v>
      </c>
      <c r="EA1971">
        <v>0</v>
      </c>
    </row>
    <row r="1972" spans="1:325" ht="20.25">
      <c r="DV1972">
        <v>119</v>
      </c>
      <c r="DW1972" t="s">
        <v>83</v>
      </c>
      <c r="DX1972" s="8">
        <v>43915</v>
      </c>
      <c r="DY1972">
        <v>8</v>
      </c>
      <c r="EA1972">
        <v>1</v>
      </c>
    </row>
    <row r="1973" spans="1:325" ht="20.25">
      <c r="DV1973">
        <v>119</v>
      </c>
      <c r="DW1973" t="s">
        <v>83</v>
      </c>
      <c r="DX1973" s="8">
        <v>43916</v>
      </c>
      <c r="DY1973">
        <v>9</v>
      </c>
      <c r="EA1973">
        <v>1</v>
      </c>
    </row>
    <row r="1974" spans="1:325" ht="20.25">
      <c r="DV1974">
        <v>119</v>
      </c>
      <c r="DW1974" t="s">
        <v>83</v>
      </c>
      <c r="DX1974" s="8">
        <v>43917</v>
      </c>
      <c r="DY1974">
        <v>11</v>
      </c>
      <c r="EA1974">
        <v>1</v>
      </c>
    </row>
    <row r="1975" spans="1:325" ht="20.25">
      <c r="DV1975">
        <v>119</v>
      </c>
      <c r="DW1975" t="s">
        <v>83</v>
      </c>
      <c r="DX1975" s="8">
        <v>43918</v>
      </c>
      <c r="DY1975">
        <v>14</v>
      </c>
      <c r="EA1975">
        <v>1</v>
      </c>
    </row>
    <row r="1976" spans="1:325" ht="20.25">
      <c r="DV1976">
        <v>119</v>
      </c>
      <c r="DW1976" t="s">
        <v>83</v>
      </c>
      <c r="DX1976" s="8">
        <v>43919</v>
      </c>
      <c r="DY1976">
        <v>14</v>
      </c>
      <c r="EA1976">
        <v>1</v>
      </c>
    </row>
    <row r="1977" spans="1:325" ht="20.25">
      <c r="DV1977">
        <v>119</v>
      </c>
      <c r="DW1977" t="s">
        <v>83</v>
      </c>
      <c r="DX1977" s="8">
        <v>43920</v>
      </c>
      <c r="DY1977">
        <v>15</v>
      </c>
      <c r="EA1977">
        <v>1</v>
      </c>
    </row>
    <row r="1978" spans="1:325" ht="20.25">
      <c r="DV1978">
        <v>119</v>
      </c>
      <c r="DW1978" t="s">
        <v>83</v>
      </c>
      <c r="DX1978" s="8">
        <v>43921</v>
      </c>
      <c r="DY1978">
        <v>17</v>
      </c>
      <c r="EA1978">
        <v>1</v>
      </c>
    </row>
    <row r="1979" spans="1:325" ht="20.25">
      <c r="DV1979">
        <v>119</v>
      </c>
      <c r="DW1979" t="s">
        <v>83</v>
      </c>
      <c r="DX1979" s="8">
        <v>43922</v>
      </c>
      <c r="DY1979">
        <v>20</v>
      </c>
      <c r="EA1979">
        <v>1</v>
      </c>
    </row>
    <row r="1980" spans="1:325" ht="20.25">
      <c r="DV1980">
        <v>119</v>
      </c>
      <c r="DW1980" t="s">
        <v>83</v>
      </c>
      <c r="DX1980" s="8">
        <v>43923</v>
      </c>
      <c r="DY1980">
        <v>22</v>
      </c>
      <c r="EA1980">
        <v>1</v>
      </c>
    </row>
    <row r="1981" spans="1:325" ht="20.25">
      <c r="DV1981">
        <v>119</v>
      </c>
      <c r="DW1981" t="s">
        <v>83</v>
      </c>
      <c r="DX1981" s="8">
        <v>43924</v>
      </c>
      <c r="DY1981">
        <v>26</v>
      </c>
      <c r="EA1981">
        <v>1</v>
      </c>
    </row>
    <row r="1982" spans="1:325" ht="20.25">
      <c r="DV1982">
        <v>119</v>
      </c>
      <c r="DW1982" t="s">
        <v>83</v>
      </c>
      <c r="DX1982" s="8">
        <v>43925</v>
      </c>
      <c r="DY1982">
        <v>28</v>
      </c>
      <c r="EA1982">
        <v>1</v>
      </c>
    </row>
    <row r="1983" spans="1:325" ht="20.25">
      <c r="DV1983">
        <v>119</v>
      </c>
      <c r="DW1983" t="s">
        <v>83</v>
      </c>
      <c r="DX1983" s="8">
        <v>43926</v>
      </c>
      <c r="DY1983">
        <v>29</v>
      </c>
      <c r="EA1983">
        <v>1</v>
      </c>
    </row>
    <row r="1984" spans="1:325" ht="20.25">
      <c r="DV1984">
        <v>119</v>
      </c>
      <c r="DW1984" t="s">
        <v>83</v>
      </c>
      <c r="DX1984" s="8">
        <v>43927</v>
      </c>
      <c r="DY1984">
        <v>31</v>
      </c>
      <c r="EA1984">
        <v>1</v>
      </c>
    </row>
    <row r="1985" spans="1:325" ht="20.25">
      <c r="DV1985">
        <v>119</v>
      </c>
      <c r="DW1985" t="s">
        <v>83</v>
      </c>
      <c r="DX1985" s="8">
        <v>43928</v>
      </c>
      <c r="DY1985">
        <v>45</v>
      </c>
      <c r="EA1985">
        <v>4</v>
      </c>
    </row>
    <row r="1986" spans="1:325" ht="20.25">
      <c r="DV1986">
        <v>119</v>
      </c>
      <c r="DW1986" t="s">
        <v>83</v>
      </c>
      <c r="DX1986" s="8">
        <v>43929</v>
      </c>
      <c r="DY1986">
        <v>50</v>
      </c>
      <c r="EA1986">
        <v>5</v>
      </c>
    </row>
    <row r="1987" spans="1:325" ht="20.25">
      <c r="DV1987">
        <v>119</v>
      </c>
      <c r="DW1987" t="s">
        <v>83</v>
      </c>
      <c r="DX1987" s="8">
        <v>43930</v>
      </c>
      <c r="DY1987">
        <v>58</v>
      </c>
      <c r="EA1987">
        <v>5</v>
      </c>
    </row>
    <row r="1988" spans="1:325" ht="20.25">
      <c r="DV1988">
        <v>119</v>
      </c>
      <c r="DW1988" t="s">
        <v>83</v>
      </c>
      <c r="DX1988" s="8">
        <v>43931</v>
      </c>
      <c r="DY1988">
        <v>62</v>
      </c>
      <c r="EA1988">
        <v>5</v>
      </c>
    </row>
    <row r="1989" spans="1:325" ht="20.25">
      <c r="DV1989">
        <v>119</v>
      </c>
      <c r="DW1989" t="s">
        <v>83</v>
      </c>
      <c r="DX1989" s="8">
        <v>43932</v>
      </c>
      <c r="DY1989">
        <v>63</v>
      </c>
      <c r="EA1989">
        <v>5</v>
      </c>
    </row>
    <row r="1990" spans="1:325" ht="20.25">
      <c r="DV1990">
        <v>119</v>
      </c>
      <c r="DW1990" t="s">
        <v>83</v>
      </c>
      <c r="DX1990" s="8">
        <v>43933</v>
      </c>
      <c r="DY1990">
        <v>65</v>
      </c>
      <c r="EA1990">
        <v>6</v>
      </c>
    </row>
    <row r="1991" spans="1:325" ht="20.25">
      <c r="DV1991">
        <v>119</v>
      </c>
      <c r="DW1991" t="s">
        <v>83</v>
      </c>
      <c r="DX1991" s="8">
        <v>43934</v>
      </c>
      <c r="DY1991">
        <v>77</v>
      </c>
      <c r="EA1991">
        <v>6</v>
      </c>
    </row>
    <row r="1992" spans="1:325" ht="20.25">
      <c r="DV1992">
        <v>119</v>
      </c>
      <c r="DW1992" t="s">
        <v>83</v>
      </c>
      <c r="DX1992" s="8">
        <v>43935</v>
      </c>
      <c r="DY1992">
        <v>84</v>
      </c>
      <c r="EA1992">
        <v>10</v>
      </c>
    </row>
    <row r="1993" spans="1:325" ht="20.25">
      <c r="DV1993">
        <v>119</v>
      </c>
      <c r="DW1993" t="s">
        <v>83</v>
      </c>
      <c r="DX1993" s="8">
        <v>43936</v>
      </c>
      <c r="DY1993">
        <v>101</v>
      </c>
      <c r="EA1993">
        <v>12</v>
      </c>
    </row>
    <row r="1994" spans="1:325" ht="20.25">
      <c r="DV1994">
        <v>119</v>
      </c>
      <c r="DW1994" t="s">
        <v>83</v>
      </c>
      <c r="DX1994" s="8">
        <v>43937</v>
      </c>
      <c r="DY1994">
        <v>104</v>
      </c>
      <c r="DZ1994">
        <v>516</v>
      </c>
      <c r="EA1994">
        <v>13</v>
      </c>
    </row>
    <row r="1995" spans="1:325" ht="20.25">
      <c r="DV1995">
        <v>119</v>
      </c>
      <c r="DW1995" t="s">
        <v>83</v>
      </c>
      <c r="DX1995" s="8">
        <v>43938</v>
      </c>
      <c r="DY1995">
        <v>108</v>
      </c>
      <c r="DZ1995">
        <v>536</v>
      </c>
      <c r="EA1995">
        <v>13</v>
      </c>
    </row>
    <row r="1996" spans="1:325" ht="20.25">
      <c r="DV1996">
        <v>119</v>
      </c>
      <c r="DW1996" t="s">
        <v>83</v>
      </c>
      <c r="DX1996" s="8">
        <v>43939</v>
      </c>
      <c r="DY1996">
        <v>121</v>
      </c>
      <c r="DZ1996">
        <v>601</v>
      </c>
      <c r="EA1996">
        <v>15</v>
      </c>
    </row>
    <row r="1997" spans="1:325" ht="20.25">
      <c r="DV1997">
        <v>119</v>
      </c>
      <c r="DW1997" t="s">
        <v>83</v>
      </c>
      <c r="DX1997" s="8">
        <v>43940</v>
      </c>
      <c r="DY1997">
        <v>130</v>
      </c>
      <c r="DZ1997">
        <v>645</v>
      </c>
      <c r="EA1997">
        <v>15</v>
      </c>
    </row>
    <row r="1998" spans="1:325" ht="20.25">
      <c r="DV1998">
        <v>119</v>
      </c>
      <c r="DW1998" t="s">
        <v>83</v>
      </c>
      <c r="DX1998" s="8">
        <v>43941</v>
      </c>
      <c r="DY1998">
        <v>159</v>
      </c>
      <c r="DZ1998">
        <v>789</v>
      </c>
      <c r="EA1998">
        <v>16</v>
      </c>
    </row>
    <row r="1999" spans="1:325" ht="20.25">
      <c r="DV1999">
        <v>119</v>
      </c>
      <c r="DW1999" t="s">
        <v>83</v>
      </c>
      <c r="DX1999" s="8">
        <v>43942</v>
      </c>
      <c r="DY1999">
        <v>169</v>
      </c>
      <c r="DZ1999">
        <v>839</v>
      </c>
      <c r="EA1999">
        <v>20</v>
      </c>
    </row>
    <row r="2000" spans="1:325" ht="20.25">
      <c r="DV2000">
        <v>119</v>
      </c>
      <c r="DW2000" t="s">
        <v>83</v>
      </c>
      <c r="DX2000" s="8">
        <v>43943</v>
      </c>
      <c r="DY2000">
        <v>180</v>
      </c>
      <c r="DZ2000">
        <v>894</v>
      </c>
      <c r="EA2000">
        <v>24</v>
      </c>
    </row>
    <row r="2001" spans="1:325" ht="20.25">
      <c r="DV2001">
        <v>119</v>
      </c>
      <c r="DW2001" t="s">
        <v>83</v>
      </c>
      <c r="DX2001" s="8">
        <v>43944</v>
      </c>
      <c r="DY2001">
        <v>184</v>
      </c>
      <c r="DZ2001">
        <v>913</v>
      </c>
      <c r="EA2001">
        <v>25</v>
      </c>
    </row>
    <row r="2002" spans="1:325" ht="20.25">
      <c r="DV2002">
        <v>119</v>
      </c>
      <c r="DW2002" t="s">
        <v>83</v>
      </c>
      <c r="DX2002" s="8">
        <v>43945</v>
      </c>
      <c r="DY2002">
        <v>199</v>
      </c>
      <c r="DZ2002">
        <v>988</v>
      </c>
      <c r="EA2002">
        <v>28</v>
      </c>
    </row>
    <row r="2003" spans="1:325" ht="20.25">
      <c r="DV2003">
        <v>119</v>
      </c>
      <c r="DW2003" t="s">
        <v>83</v>
      </c>
      <c r="DX2003" s="8">
        <v>43946</v>
      </c>
      <c r="DY2003">
        <v>202</v>
      </c>
      <c r="DZ2003">
        <v>1003</v>
      </c>
      <c r="EA2003">
        <v>31</v>
      </c>
    </row>
    <row r="2004" spans="1:325" ht="20.25">
      <c r="DV2004">
        <v>119</v>
      </c>
      <c r="DW2004" t="s">
        <v>83</v>
      </c>
      <c r="DX2004" s="8">
        <v>43947</v>
      </c>
      <c r="DY2004">
        <v>205</v>
      </c>
      <c r="DZ2004">
        <v>1018</v>
      </c>
      <c r="EA2004">
        <v>31</v>
      </c>
    </row>
    <row r="2005" spans="1:325" ht="20.25">
      <c r="DV2005">
        <v>119</v>
      </c>
      <c r="DW2005" t="s">
        <v>83</v>
      </c>
      <c r="DX2005" s="8">
        <v>43948</v>
      </c>
      <c r="DY2005">
        <v>214</v>
      </c>
      <c r="DZ2005">
        <v>1062</v>
      </c>
      <c r="EA2005">
        <v>33</v>
      </c>
    </row>
    <row r="2006" spans="1:325" ht="20.25">
      <c r="DV2006">
        <v>119</v>
      </c>
      <c r="DW2006" t="s">
        <v>83</v>
      </c>
      <c r="DX2006" s="8">
        <v>43949</v>
      </c>
      <c r="DY2006">
        <v>215</v>
      </c>
      <c r="DZ2006">
        <v>1067</v>
      </c>
      <c r="EA2006">
        <v>33</v>
      </c>
    </row>
    <row r="2007" spans="1:325" ht="20.25">
      <c r="DV2007">
        <v>119</v>
      </c>
      <c r="DW2007" t="s">
        <v>83</v>
      </c>
      <c r="DX2007" s="8">
        <v>43950</v>
      </c>
      <c r="DY2007">
        <v>217</v>
      </c>
      <c r="DZ2007">
        <v>1077</v>
      </c>
      <c r="EA2007">
        <v>35</v>
      </c>
    </row>
    <row r="2008" spans="1:325" ht="20.25">
      <c r="DV2008">
        <v>119</v>
      </c>
      <c r="DW2008" t="s">
        <v>83</v>
      </c>
      <c r="DX2008" s="8">
        <v>43951</v>
      </c>
      <c r="DY2008">
        <v>225</v>
      </c>
      <c r="DZ2008">
        <v>1117</v>
      </c>
      <c r="EA2008">
        <v>40</v>
      </c>
    </row>
    <row r="2009" spans="1:325" ht="20.25">
      <c r="DV2009">
        <v>119</v>
      </c>
      <c r="DW2009" t="s">
        <v>83</v>
      </c>
      <c r="DX2009" s="8">
        <v>43952</v>
      </c>
      <c r="DY2009">
        <v>228</v>
      </c>
      <c r="DZ2009">
        <v>1132</v>
      </c>
      <c r="EA2009">
        <v>40</v>
      </c>
    </row>
    <row r="2010" spans="1:325" ht="20.25">
      <c r="DV2010">
        <v>119</v>
      </c>
      <c r="DW2010" t="s">
        <v>83</v>
      </c>
      <c r="DX2010" s="8">
        <v>43953</v>
      </c>
      <c r="DY2010">
        <v>232</v>
      </c>
      <c r="DZ2010">
        <v>1152</v>
      </c>
      <c r="EA2010">
        <v>42</v>
      </c>
    </row>
    <row r="2011" spans="1:325" ht="20.25">
      <c r="DV2011">
        <v>119</v>
      </c>
      <c r="DW2011" t="s">
        <v>83</v>
      </c>
      <c r="DX2011" s="8">
        <v>43954</v>
      </c>
      <c r="DY2011">
        <v>234</v>
      </c>
      <c r="DZ2011">
        <v>1162</v>
      </c>
      <c r="EA2011">
        <v>43</v>
      </c>
    </row>
    <row r="2012" spans="1:325" ht="20.25">
      <c r="DV2012">
        <v>119</v>
      </c>
      <c r="DW2012" t="s">
        <v>83</v>
      </c>
      <c r="DX2012" s="8">
        <v>43955</v>
      </c>
      <c r="DY2012">
        <v>242</v>
      </c>
      <c r="DZ2012">
        <v>1201</v>
      </c>
      <c r="EA2012">
        <v>44</v>
      </c>
    </row>
    <row r="2013" spans="1:325" ht="20.25">
      <c r="DV2013">
        <v>119</v>
      </c>
      <c r="DW2013" t="s">
        <v>83</v>
      </c>
      <c r="DX2013" s="8">
        <v>43956</v>
      </c>
      <c r="DY2013">
        <v>257</v>
      </c>
      <c r="DZ2013">
        <v>1276</v>
      </c>
      <c r="EA2013">
        <v>50</v>
      </c>
    </row>
    <row r="2014" spans="1:325" ht="20.25">
      <c r="DV2014">
        <v>119</v>
      </c>
      <c r="DW2014" t="s">
        <v>83</v>
      </c>
      <c r="DX2014" s="8">
        <v>43957</v>
      </c>
      <c r="DY2014">
        <v>268</v>
      </c>
      <c r="DZ2014">
        <v>1330</v>
      </c>
      <c r="EA2014">
        <v>54</v>
      </c>
    </row>
    <row r="2015" spans="1:325" ht="20.25">
      <c r="DV2015">
        <v>119</v>
      </c>
      <c r="DW2015" t="s">
        <v>83</v>
      </c>
      <c r="DX2015" s="8">
        <v>43958</v>
      </c>
      <c r="DY2015">
        <v>272</v>
      </c>
      <c r="DZ2015">
        <v>1350</v>
      </c>
      <c r="EA2015">
        <v>55</v>
      </c>
    </row>
    <row r="2016" spans="1:325" ht="20.25">
      <c r="DV2016">
        <v>119</v>
      </c>
      <c r="DW2016" t="s">
        <v>83</v>
      </c>
      <c r="DX2016" s="8">
        <v>43959</v>
      </c>
      <c r="DY2016">
        <v>282</v>
      </c>
      <c r="DZ2016">
        <v>1400</v>
      </c>
      <c r="EA2016">
        <v>59</v>
      </c>
    </row>
    <row r="2017" spans="1:325" ht="20.25">
      <c r="DV2017">
        <v>119</v>
      </c>
      <c r="DW2017" t="s">
        <v>83</v>
      </c>
      <c r="DX2017" s="8">
        <v>43960</v>
      </c>
      <c r="DY2017">
        <v>286</v>
      </c>
      <c r="DZ2017">
        <v>1420</v>
      </c>
      <c r="EA2017">
        <v>60</v>
      </c>
    </row>
    <row r="2018" spans="1:325" ht="20.25">
      <c r="DV2018">
        <v>119</v>
      </c>
      <c r="DW2018" t="s">
        <v>83</v>
      </c>
      <c r="DX2018" s="8">
        <v>43961</v>
      </c>
      <c r="DY2018">
        <v>289</v>
      </c>
      <c r="DZ2018">
        <v>1435</v>
      </c>
      <c r="EA2018">
        <v>60</v>
      </c>
    </row>
    <row r="2019" spans="1:325" ht="20.25">
      <c r="DV2019">
        <v>119</v>
      </c>
      <c r="DW2019" t="s">
        <v>83</v>
      </c>
      <c r="DX2019" s="8">
        <v>43962</v>
      </c>
      <c r="DY2019">
        <v>294</v>
      </c>
      <c r="DZ2019">
        <v>1459</v>
      </c>
      <c r="EA2019">
        <v>61</v>
      </c>
    </row>
    <row r="2020" spans="1:325" ht="20.25">
      <c r="DV2020">
        <v>119</v>
      </c>
      <c r="DW2020" t="s">
        <v>83</v>
      </c>
      <c r="DX2020" s="8">
        <v>43963</v>
      </c>
      <c r="DY2020">
        <v>303</v>
      </c>
      <c r="DZ2020">
        <v>1504</v>
      </c>
      <c r="EA2020">
        <v>66</v>
      </c>
    </row>
    <row r="2021" spans="1:325" ht="20.25">
      <c r="DV2021">
        <v>119</v>
      </c>
      <c r="DW2021" t="s">
        <v>83</v>
      </c>
      <c r="DX2021" s="8">
        <v>43964</v>
      </c>
      <c r="DY2021">
        <v>312</v>
      </c>
      <c r="DZ2021">
        <v>1549</v>
      </c>
      <c r="EA2021">
        <v>70</v>
      </c>
    </row>
    <row r="2022" spans="1:325" ht="20.25">
      <c r="DV2022">
        <v>119</v>
      </c>
      <c r="DW2022" t="s">
        <v>83</v>
      </c>
      <c r="DX2022" s="8">
        <v>43965</v>
      </c>
      <c r="DY2022">
        <v>322</v>
      </c>
      <c r="DZ2022">
        <v>1598</v>
      </c>
      <c r="EA2022">
        <v>71</v>
      </c>
    </row>
    <row r="2023" spans="1:325" ht="20.25">
      <c r="DV2023">
        <v>119</v>
      </c>
      <c r="DW2023" t="s">
        <v>83</v>
      </c>
      <c r="DX2023" s="8">
        <v>43966</v>
      </c>
      <c r="DY2023">
        <v>333</v>
      </c>
      <c r="DZ2023">
        <v>1653</v>
      </c>
      <c r="EA2023">
        <v>73</v>
      </c>
    </row>
    <row r="2024" spans="1:325" ht="20.25">
      <c r="DV2024">
        <v>128</v>
      </c>
      <c r="DW2024" t="s">
        <v>84</v>
      </c>
      <c r="DX2024" s="8">
        <v>43914</v>
      </c>
      <c r="DY2024">
        <v>0</v>
      </c>
      <c r="EA2024">
        <v>0</v>
      </c>
    </row>
    <row r="2025" spans="1:325" ht="20.25">
      <c r="DV2025">
        <v>128</v>
      </c>
      <c r="DW2025" t="s">
        <v>84</v>
      </c>
      <c r="DX2025" s="8">
        <v>43915</v>
      </c>
      <c r="DY2025">
        <v>3</v>
      </c>
      <c r="EA2025">
        <v>0</v>
      </c>
    </row>
    <row r="2026" spans="1:325" ht="20.25">
      <c r="DV2026">
        <v>128</v>
      </c>
      <c r="DW2026" t="s">
        <v>84</v>
      </c>
      <c r="DX2026" s="8">
        <v>43916</v>
      </c>
      <c r="DY2026">
        <v>3</v>
      </c>
      <c r="EA2026">
        <v>0</v>
      </c>
    </row>
    <row r="2027" spans="1:325" ht="20.25">
      <c r="DV2027">
        <v>128</v>
      </c>
      <c r="DW2027" t="s">
        <v>84</v>
      </c>
      <c r="DX2027" s="8">
        <v>43917</v>
      </c>
      <c r="DY2027">
        <v>4</v>
      </c>
      <c r="EA2027">
        <v>0</v>
      </c>
    </row>
    <row r="2028" spans="1:325" ht="20.25">
      <c r="DV2028">
        <v>128</v>
      </c>
      <c r="DW2028" t="s">
        <v>84</v>
      </c>
      <c r="DX2028" s="8">
        <v>43918</v>
      </c>
      <c r="DY2028">
        <v>5</v>
      </c>
      <c r="EA2028">
        <v>0</v>
      </c>
    </row>
    <row r="2029" spans="1:325" ht="20.25">
      <c r="DV2029">
        <v>128</v>
      </c>
      <c r="DW2029" t="s">
        <v>84</v>
      </c>
      <c r="DX2029" s="8">
        <v>43919</v>
      </c>
      <c r="DY2029">
        <v>5</v>
      </c>
      <c r="EA2029">
        <v>0</v>
      </c>
    </row>
    <row r="2030" spans="1:325" ht="20.25">
      <c r="DV2030">
        <v>128</v>
      </c>
      <c r="DW2030" t="s">
        <v>84</v>
      </c>
      <c r="DX2030" s="8">
        <v>43920</v>
      </c>
      <c r="DY2030">
        <v>5</v>
      </c>
      <c r="EA2030">
        <v>0</v>
      </c>
    </row>
    <row r="2031" spans="1:325" ht="20.25">
      <c r="DV2031">
        <v>128</v>
      </c>
      <c r="DW2031" t="s">
        <v>84</v>
      </c>
      <c r="DX2031" s="8">
        <v>43921</v>
      </c>
      <c r="DY2031">
        <v>7</v>
      </c>
      <c r="EA2031">
        <v>0</v>
      </c>
    </row>
    <row r="2032" spans="1:325" ht="20.25">
      <c r="DV2032">
        <v>128</v>
      </c>
      <c r="DW2032" t="s">
        <v>84</v>
      </c>
      <c r="DX2032" s="8">
        <v>43922</v>
      </c>
      <c r="DY2032">
        <v>9</v>
      </c>
      <c r="EA2032">
        <v>0</v>
      </c>
    </row>
    <row r="2033" spans="1:325" ht="20.25">
      <c r="DV2033">
        <v>128</v>
      </c>
      <c r="DW2033" t="s">
        <v>84</v>
      </c>
      <c r="DX2033" s="8">
        <v>43923</v>
      </c>
      <c r="DY2033">
        <v>9</v>
      </c>
      <c r="EA2033">
        <v>0</v>
      </c>
    </row>
    <row r="2034" spans="1:325" ht="20.25">
      <c r="DV2034">
        <v>128</v>
      </c>
      <c r="DW2034" t="s">
        <v>84</v>
      </c>
      <c r="DX2034" s="8">
        <v>43924</v>
      </c>
      <c r="DY2034">
        <v>9</v>
      </c>
      <c r="EA2034">
        <v>0</v>
      </c>
    </row>
    <row r="2035" spans="1:325" ht="20.25">
      <c r="DV2035">
        <v>128</v>
      </c>
      <c r="DW2035" t="s">
        <v>84</v>
      </c>
      <c r="DX2035" s="8">
        <v>43925</v>
      </c>
      <c r="DY2035">
        <v>10</v>
      </c>
      <c r="EA2035">
        <v>0</v>
      </c>
    </row>
    <row r="2036" spans="1:325" ht="20.25">
      <c r="DV2036">
        <v>128</v>
      </c>
      <c r="DW2036" t="s">
        <v>84</v>
      </c>
      <c r="DX2036" s="8">
        <v>43926</v>
      </c>
      <c r="DY2036">
        <v>10</v>
      </c>
      <c r="EA2036">
        <v>0</v>
      </c>
    </row>
    <row r="2037" spans="1:325" ht="20.25">
      <c r="DV2037">
        <v>128</v>
      </c>
      <c r="DW2037" t="s">
        <v>84</v>
      </c>
      <c r="DX2037" s="8">
        <v>43927</v>
      </c>
      <c r="DY2037">
        <v>11</v>
      </c>
      <c r="EA2037">
        <v>0</v>
      </c>
    </row>
    <row r="2038" spans="1:325" ht="20.25">
      <c r="DV2038">
        <v>128</v>
      </c>
      <c r="DW2038" t="s">
        <v>84</v>
      </c>
      <c r="DX2038" s="8">
        <v>43928</v>
      </c>
      <c r="DY2038">
        <v>15</v>
      </c>
      <c r="EA2038">
        <v>0</v>
      </c>
    </row>
    <row r="2039" spans="1:325" ht="20.25">
      <c r="DV2039">
        <v>128</v>
      </c>
      <c r="DW2039" t="s">
        <v>84</v>
      </c>
      <c r="DX2039" s="8">
        <v>43929</v>
      </c>
      <c r="DY2039">
        <v>21</v>
      </c>
      <c r="EA2039">
        <v>0</v>
      </c>
    </row>
    <row r="2040" spans="1:325" ht="20.25">
      <c r="DV2040">
        <v>128</v>
      </c>
      <c r="DW2040" t="s">
        <v>84</v>
      </c>
      <c r="DX2040" s="8">
        <v>43930</v>
      </c>
      <c r="DY2040">
        <v>21</v>
      </c>
      <c r="EA2040">
        <v>0</v>
      </c>
    </row>
    <row r="2041" spans="1:325" ht="20.25">
      <c r="DV2041">
        <v>128</v>
      </c>
      <c r="DW2041" t="s">
        <v>84</v>
      </c>
      <c r="DX2041" s="8">
        <v>43931</v>
      </c>
      <c r="DY2041">
        <v>22</v>
      </c>
      <c r="EA2041">
        <v>0</v>
      </c>
    </row>
    <row r="2042" spans="1:325" ht="20.25">
      <c r="DV2042">
        <v>128</v>
      </c>
      <c r="DW2042" t="s">
        <v>84</v>
      </c>
      <c r="DX2042" s="8">
        <v>43932</v>
      </c>
      <c r="DY2042">
        <v>22</v>
      </c>
      <c r="EA2042">
        <v>0</v>
      </c>
    </row>
    <row r="2043" spans="1:325" ht="20.25">
      <c r="DV2043">
        <v>128</v>
      </c>
      <c r="DW2043" t="s">
        <v>84</v>
      </c>
      <c r="DX2043" s="8">
        <v>43933</v>
      </c>
      <c r="DY2043">
        <v>22</v>
      </c>
      <c r="EA2043">
        <v>0</v>
      </c>
    </row>
    <row r="2044" spans="1:325" ht="20.25">
      <c r="DV2044">
        <v>128</v>
      </c>
      <c r="DW2044" t="s">
        <v>84</v>
      </c>
      <c r="DX2044" s="8">
        <v>43934</v>
      </c>
      <c r="DY2044">
        <v>33</v>
      </c>
      <c r="EA2044">
        <v>0</v>
      </c>
    </row>
    <row r="2045" spans="1:325" ht="20.25">
      <c r="DV2045">
        <v>128</v>
      </c>
      <c r="DW2045" t="s">
        <v>84</v>
      </c>
      <c r="DX2045" s="8">
        <v>43935</v>
      </c>
      <c r="DY2045">
        <v>35</v>
      </c>
      <c r="EA2045">
        <v>0</v>
      </c>
    </row>
    <row r="2046" spans="1:325" ht="20.25">
      <c r="DV2046">
        <v>128</v>
      </c>
      <c r="DW2046" t="s">
        <v>84</v>
      </c>
      <c r="DX2046" s="8">
        <v>43936</v>
      </c>
      <c r="DY2046">
        <v>41</v>
      </c>
      <c r="EA2046">
        <v>2</v>
      </c>
    </row>
    <row r="2047" spans="1:325" ht="20.25">
      <c r="DV2047">
        <v>128</v>
      </c>
      <c r="DW2047" t="s">
        <v>84</v>
      </c>
      <c r="DX2047" s="8">
        <v>43937</v>
      </c>
      <c r="DY2047">
        <v>42</v>
      </c>
      <c r="DZ2047">
        <v>168</v>
      </c>
      <c r="EA2047">
        <v>2</v>
      </c>
    </row>
    <row r="2048" spans="1:325" ht="20.25">
      <c r="DV2048">
        <v>128</v>
      </c>
      <c r="DW2048" t="s">
        <v>84</v>
      </c>
      <c r="DX2048" s="8">
        <v>43938</v>
      </c>
      <c r="DY2048">
        <v>43</v>
      </c>
      <c r="DZ2048">
        <v>172</v>
      </c>
      <c r="EA2048">
        <v>3</v>
      </c>
    </row>
    <row r="2049" spans="1:325" ht="20.25">
      <c r="DV2049">
        <v>128</v>
      </c>
      <c r="DW2049" t="s">
        <v>84</v>
      </c>
      <c r="DX2049" s="8">
        <v>43939</v>
      </c>
      <c r="DY2049">
        <v>45</v>
      </c>
      <c r="DZ2049">
        <v>180</v>
      </c>
      <c r="EA2049">
        <v>3</v>
      </c>
    </row>
    <row r="2050" spans="1:325" ht="20.25">
      <c r="DV2050">
        <v>128</v>
      </c>
      <c r="DW2050" t="s">
        <v>84</v>
      </c>
      <c r="DX2050" s="8">
        <v>43940</v>
      </c>
      <c r="DY2050">
        <v>47</v>
      </c>
      <c r="DZ2050">
        <v>188</v>
      </c>
      <c r="EA2050">
        <v>3</v>
      </c>
    </row>
    <row r="2051" spans="1:325" ht="20.25">
      <c r="DV2051">
        <v>128</v>
      </c>
      <c r="DW2051" t="s">
        <v>84</v>
      </c>
      <c r="DX2051" s="8">
        <v>43941</v>
      </c>
      <c r="DY2051">
        <v>56</v>
      </c>
      <c r="DZ2051">
        <v>224</v>
      </c>
      <c r="EA2051">
        <v>3</v>
      </c>
    </row>
    <row r="2052" spans="1:325" ht="20.25">
      <c r="DV2052">
        <v>128</v>
      </c>
      <c r="DW2052" t="s">
        <v>84</v>
      </c>
      <c r="DX2052" s="8">
        <v>43942</v>
      </c>
      <c r="DY2052">
        <v>56</v>
      </c>
      <c r="DZ2052">
        <v>224</v>
      </c>
      <c r="EA2052">
        <v>3</v>
      </c>
    </row>
    <row r="2053" spans="1:325" ht="20.25">
      <c r="DV2053">
        <v>128</v>
      </c>
      <c r="DW2053" t="s">
        <v>84</v>
      </c>
      <c r="DX2053" s="8">
        <v>43943</v>
      </c>
      <c r="DY2053">
        <v>59</v>
      </c>
      <c r="DZ2053">
        <v>236</v>
      </c>
      <c r="EA2053">
        <v>3</v>
      </c>
    </row>
    <row r="2054" spans="1:325" ht="20.25">
      <c r="DV2054">
        <v>128</v>
      </c>
      <c r="DW2054" t="s">
        <v>84</v>
      </c>
      <c r="DX2054" s="8">
        <v>43944</v>
      </c>
      <c r="DY2054">
        <v>59</v>
      </c>
      <c r="DZ2054">
        <v>236</v>
      </c>
      <c r="EA2054">
        <v>3</v>
      </c>
    </row>
    <row r="2055" spans="1:325" ht="20.25">
      <c r="DV2055">
        <v>128</v>
      </c>
      <c r="DW2055" t="s">
        <v>84</v>
      </c>
      <c r="DX2055" s="8">
        <v>43945</v>
      </c>
      <c r="DY2055">
        <v>60</v>
      </c>
      <c r="DZ2055">
        <v>240</v>
      </c>
      <c r="EA2055">
        <v>3</v>
      </c>
    </row>
    <row r="2056" spans="1:325" ht="20.25">
      <c r="DV2056">
        <v>128</v>
      </c>
      <c r="DW2056" t="s">
        <v>84</v>
      </c>
      <c r="DX2056" s="8">
        <v>43946</v>
      </c>
      <c r="DY2056">
        <v>61</v>
      </c>
      <c r="DZ2056">
        <v>244</v>
      </c>
      <c r="EA2056">
        <v>3</v>
      </c>
    </row>
    <row r="2057" spans="1:325" ht="20.25">
      <c r="DV2057">
        <v>128</v>
      </c>
      <c r="DW2057" t="s">
        <v>84</v>
      </c>
      <c r="DX2057" s="8">
        <v>43947</v>
      </c>
      <c r="DY2057">
        <v>62</v>
      </c>
      <c r="DZ2057">
        <v>248</v>
      </c>
      <c r="EA2057">
        <v>3</v>
      </c>
    </row>
    <row r="2058" spans="1:325" ht="20.25">
      <c r="DV2058">
        <v>128</v>
      </c>
      <c r="DW2058" t="s">
        <v>84</v>
      </c>
      <c r="DX2058" s="8">
        <v>43948</v>
      </c>
      <c r="DY2058">
        <v>63</v>
      </c>
      <c r="DZ2058">
        <v>252</v>
      </c>
      <c r="EA2058">
        <v>3</v>
      </c>
    </row>
    <row r="2059" spans="1:325" ht="20.25">
      <c r="DV2059">
        <v>128</v>
      </c>
      <c r="DW2059" t="s">
        <v>84</v>
      </c>
      <c r="DX2059" s="8">
        <v>43949</v>
      </c>
      <c r="DY2059">
        <v>63</v>
      </c>
      <c r="DZ2059">
        <v>252</v>
      </c>
      <c r="EA2059">
        <v>5</v>
      </c>
    </row>
    <row r="2060" spans="1:325" ht="20.25">
      <c r="DV2060">
        <v>128</v>
      </c>
      <c r="DW2060" t="s">
        <v>84</v>
      </c>
      <c r="DX2060" s="8">
        <v>43950</v>
      </c>
      <c r="DY2060">
        <v>67</v>
      </c>
      <c r="DZ2060">
        <v>268</v>
      </c>
      <c r="EA2060">
        <v>5</v>
      </c>
    </row>
    <row r="2061" spans="1:325" ht="20.25">
      <c r="DV2061">
        <v>128</v>
      </c>
      <c r="DW2061" t="s">
        <v>84</v>
      </c>
      <c r="DX2061" s="8">
        <v>43951</v>
      </c>
      <c r="DY2061">
        <v>69</v>
      </c>
      <c r="DZ2061">
        <v>276</v>
      </c>
      <c r="EA2061">
        <v>6</v>
      </c>
    </row>
    <row r="2062" spans="1:325" ht="20.25">
      <c r="DV2062">
        <v>128</v>
      </c>
      <c r="DW2062" t="s">
        <v>84</v>
      </c>
      <c r="DX2062" s="8">
        <v>43952</v>
      </c>
      <c r="DY2062">
        <v>74</v>
      </c>
      <c r="DZ2062">
        <v>296</v>
      </c>
      <c r="EA2062">
        <v>6</v>
      </c>
    </row>
    <row r="2063" spans="1:325" ht="20.25">
      <c r="DV2063">
        <v>128</v>
      </c>
      <c r="DW2063" t="s">
        <v>84</v>
      </c>
      <c r="DX2063" s="8">
        <v>43953</v>
      </c>
      <c r="DY2063">
        <v>75</v>
      </c>
      <c r="DZ2063">
        <v>300</v>
      </c>
      <c r="EA2063">
        <v>6</v>
      </c>
    </row>
    <row r="2064" spans="1:325" ht="20.25">
      <c r="DV2064">
        <v>128</v>
      </c>
      <c r="DW2064" t="s">
        <v>84</v>
      </c>
      <c r="DX2064" s="8">
        <v>43954</v>
      </c>
      <c r="DY2064">
        <v>76</v>
      </c>
      <c r="DZ2064">
        <v>304</v>
      </c>
      <c r="EA2064">
        <v>7</v>
      </c>
    </row>
    <row r="2065" spans="1:325" ht="20.25">
      <c r="DV2065">
        <v>128</v>
      </c>
      <c r="DW2065" t="s">
        <v>84</v>
      </c>
      <c r="DX2065" s="8">
        <v>43955</v>
      </c>
      <c r="DY2065">
        <v>77</v>
      </c>
      <c r="DZ2065">
        <v>308</v>
      </c>
      <c r="EA2065">
        <v>7</v>
      </c>
    </row>
    <row r="2066" spans="1:325" ht="20.25">
      <c r="DV2066">
        <v>128</v>
      </c>
      <c r="DW2066" t="s">
        <v>84</v>
      </c>
      <c r="DX2066" s="8">
        <v>43956</v>
      </c>
      <c r="DY2066">
        <v>78</v>
      </c>
      <c r="DZ2066">
        <v>312</v>
      </c>
      <c r="EA2066">
        <v>8</v>
      </c>
    </row>
    <row r="2067" spans="1:325" ht="20.25">
      <c r="DV2067">
        <v>128</v>
      </c>
      <c r="DW2067" t="s">
        <v>84</v>
      </c>
      <c r="DX2067" s="8">
        <v>43957</v>
      </c>
      <c r="DY2067">
        <v>81</v>
      </c>
      <c r="DZ2067">
        <v>324</v>
      </c>
      <c r="EA2067">
        <v>8</v>
      </c>
    </row>
    <row r="2068" spans="1:325" ht="20.25">
      <c r="DV2068">
        <v>128</v>
      </c>
      <c r="DW2068" t="s">
        <v>84</v>
      </c>
      <c r="DX2068" s="8">
        <v>43958</v>
      </c>
      <c r="DY2068">
        <v>83</v>
      </c>
      <c r="DZ2068">
        <v>332</v>
      </c>
      <c r="EA2068">
        <v>8</v>
      </c>
    </row>
    <row r="2069" spans="1:325" ht="20.25">
      <c r="DV2069">
        <v>128</v>
      </c>
      <c r="DW2069" t="s">
        <v>84</v>
      </c>
      <c r="DX2069" s="8">
        <v>43959</v>
      </c>
      <c r="DY2069">
        <v>85</v>
      </c>
      <c r="DZ2069">
        <v>340</v>
      </c>
      <c r="EA2069">
        <v>8</v>
      </c>
    </row>
    <row r="2070" spans="1:325" ht="20.25">
      <c r="DV2070">
        <v>128</v>
      </c>
      <c r="DW2070" t="s">
        <v>84</v>
      </c>
      <c r="DX2070" s="8">
        <v>43960</v>
      </c>
      <c r="DY2070">
        <v>86</v>
      </c>
      <c r="DZ2070">
        <v>344</v>
      </c>
      <c r="EA2070">
        <v>9</v>
      </c>
    </row>
    <row r="2071" spans="1:325" ht="20.25">
      <c r="DV2071">
        <v>128</v>
      </c>
      <c r="DW2071" t="s">
        <v>84</v>
      </c>
      <c r="DX2071" s="8">
        <v>43961</v>
      </c>
      <c r="DY2071">
        <v>87</v>
      </c>
      <c r="DZ2071">
        <v>348</v>
      </c>
      <c r="EA2071">
        <v>9</v>
      </c>
    </row>
    <row r="2072" spans="1:325" ht="20.25">
      <c r="DV2072">
        <v>128</v>
      </c>
      <c r="DW2072" t="s">
        <v>84</v>
      </c>
      <c r="DX2072" s="8">
        <v>43962</v>
      </c>
      <c r="DY2072">
        <v>87</v>
      </c>
      <c r="DZ2072">
        <v>348</v>
      </c>
      <c r="EA2072">
        <v>9</v>
      </c>
    </row>
    <row r="2073" spans="1:325" ht="20.25">
      <c r="DV2073">
        <v>128</v>
      </c>
      <c r="DW2073" t="s">
        <v>84</v>
      </c>
      <c r="DX2073" s="8">
        <v>43963</v>
      </c>
      <c r="DY2073">
        <v>88</v>
      </c>
      <c r="DZ2073">
        <v>352</v>
      </c>
      <c r="EA2073">
        <v>10</v>
      </c>
    </row>
    <row r="2074" spans="1:325" ht="20.25">
      <c r="DV2074">
        <v>128</v>
      </c>
      <c r="DW2074" t="s">
        <v>84</v>
      </c>
      <c r="DX2074" s="8">
        <v>43964</v>
      </c>
      <c r="DY2074">
        <v>89</v>
      </c>
      <c r="DZ2074">
        <v>356</v>
      </c>
      <c r="EA2074">
        <v>10</v>
      </c>
    </row>
    <row r="2075" spans="1:325" ht="20.25">
      <c r="DV2075">
        <v>128</v>
      </c>
      <c r="DW2075" t="s">
        <v>84</v>
      </c>
      <c r="DX2075" s="8">
        <v>43965</v>
      </c>
      <c r="DY2075">
        <v>96</v>
      </c>
      <c r="DZ2075">
        <v>384</v>
      </c>
      <c r="EA2075">
        <v>10</v>
      </c>
    </row>
    <row r="2076" spans="1:325" ht="20.25">
      <c r="DV2076">
        <v>128</v>
      </c>
      <c r="DW2076" t="s">
        <v>84</v>
      </c>
      <c r="DX2076" s="8">
        <v>43966</v>
      </c>
      <c r="DY2076">
        <v>99</v>
      </c>
      <c r="DZ2076">
        <v>396</v>
      </c>
      <c r="EA2076">
        <v>10</v>
      </c>
    </row>
    <row r="2077" spans="1:325" ht="20.25">
      <c r="DV2077">
        <v>132</v>
      </c>
      <c r="DW2077" t="s">
        <v>86</v>
      </c>
      <c r="DX2077" s="8">
        <v>43914</v>
      </c>
      <c r="DY2077">
        <v>3</v>
      </c>
      <c r="EA2077">
        <v>0</v>
      </c>
    </row>
    <row r="2078" spans="1:325" ht="20.25">
      <c r="DV2078">
        <v>132</v>
      </c>
      <c r="DW2078" t="s">
        <v>86</v>
      </c>
      <c r="DX2078" s="8">
        <v>43915</v>
      </c>
      <c r="DY2078">
        <v>3</v>
      </c>
      <c r="EA2078">
        <v>0</v>
      </c>
    </row>
    <row r="2079" spans="1:325" ht="20.25">
      <c r="DV2079">
        <v>132</v>
      </c>
      <c r="DW2079" t="s">
        <v>86</v>
      </c>
      <c r="DX2079" s="8">
        <v>43916</v>
      </c>
      <c r="DY2079">
        <v>4</v>
      </c>
      <c r="EA2079">
        <v>0</v>
      </c>
    </row>
    <row r="2080" spans="1:325" ht="20.25">
      <c r="DV2080">
        <v>132</v>
      </c>
      <c r="DW2080" t="s">
        <v>86</v>
      </c>
      <c r="DX2080" s="8">
        <v>43917</v>
      </c>
      <c r="DY2080">
        <v>4</v>
      </c>
      <c r="EA2080">
        <v>0</v>
      </c>
    </row>
    <row r="2081" spans="1:325" ht="20.25">
      <c r="DV2081">
        <v>132</v>
      </c>
      <c r="DW2081" t="s">
        <v>86</v>
      </c>
      <c r="DX2081" s="8">
        <v>43918</v>
      </c>
      <c r="DY2081">
        <v>4</v>
      </c>
      <c r="EA2081">
        <v>0</v>
      </c>
    </row>
    <row r="2082" spans="1:325" ht="20.25">
      <c r="DV2082">
        <v>132</v>
      </c>
      <c r="DW2082" t="s">
        <v>86</v>
      </c>
      <c r="DX2082" s="8">
        <v>43919</v>
      </c>
      <c r="DY2082">
        <v>7</v>
      </c>
      <c r="EA2082">
        <v>0</v>
      </c>
    </row>
    <row r="2083" spans="1:325" ht="20.25">
      <c r="DV2083">
        <v>132</v>
      </c>
      <c r="DW2083" t="s">
        <v>86</v>
      </c>
      <c r="DX2083" s="8">
        <v>43920</v>
      </c>
      <c r="DY2083">
        <v>8</v>
      </c>
      <c r="EA2083">
        <v>0</v>
      </c>
    </row>
    <row r="2084" spans="1:325" ht="20.25">
      <c r="DV2084">
        <v>132</v>
      </c>
      <c r="DW2084" t="s">
        <v>86</v>
      </c>
      <c r="DX2084" s="8">
        <v>43921</v>
      </c>
      <c r="DY2084">
        <v>9</v>
      </c>
      <c r="EA2084">
        <v>0</v>
      </c>
    </row>
    <row r="2085" spans="1:325" ht="20.25">
      <c r="DV2085">
        <v>132</v>
      </c>
      <c r="DW2085" t="s">
        <v>86</v>
      </c>
      <c r="DX2085" s="8">
        <v>43922</v>
      </c>
      <c r="DY2085">
        <v>10</v>
      </c>
      <c r="EA2085">
        <v>0</v>
      </c>
    </row>
    <row r="2086" spans="1:325" ht="20.25">
      <c r="DV2086">
        <v>132</v>
      </c>
      <c r="DW2086" t="s">
        <v>86</v>
      </c>
      <c r="DX2086" s="8">
        <v>43923</v>
      </c>
      <c r="DY2086">
        <v>12</v>
      </c>
      <c r="EA2086">
        <v>0</v>
      </c>
    </row>
    <row r="2087" spans="1:325" ht="20.25">
      <c r="DV2087">
        <v>132</v>
      </c>
      <c r="DW2087" t="s">
        <v>86</v>
      </c>
      <c r="DX2087" s="8">
        <v>43924</v>
      </c>
      <c r="DY2087">
        <v>15</v>
      </c>
      <c r="EA2087">
        <v>0</v>
      </c>
    </row>
    <row r="2088" spans="1:325" ht="20.25">
      <c r="DV2088">
        <v>132</v>
      </c>
      <c r="DW2088" t="s">
        <v>86</v>
      </c>
      <c r="DX2088" s="8">
        <v>43925</v>
      </c>
      <c r="DY2088">
        <v>14</v>
      </c>
      <c r="EA2088">
        <v>0</v>
      </c>
    </row>
    <row r="2089" spans="1:325" ht="20.25">
      <c r="DV2089">
        <v>132</v>
      </c>
      <c r="DW2089" t="s">
        <v>86</v>
      </c>
      <c r="DX2089" s="8">
        <v>43926</v>
      </c>
      <c r="DY2089">
        <v>14</v>
      </c>
      <c r="EA2089">
        <v>0</v>
      </c>
    </row>
    <row r="2090" spans="1:325" ht="20.25">
      <c r="DV2090">
        <v>132</v>
      </c>
      <c r="DW2090" t="s">
        <v>86</v>
      </c>
      <c r="DX2090" s="8">
        <v>43927</v>
      </c>
      <c r="DY2090">
        <v>16</v>
      </c>
      <c r="EA2090">
        <v>0</v>
      </c>
    </row>
    <row r="2091" spans="1:325" ht="20.25">
      <c r="DV2091">
        <v>132</v>
      </c>
      <c r="DW2091" t="s">
        <v>86</v>
      </c>
      <c r="DX2091" s="8">
        <v>43928</v>
      </c>
      <c r="DY2091">
        <v>18</v>
      </c>
      <c r="EA2091">
        <v>0</v>
      </c>
    </row>
    <row r="2092" spans="1:325" ht="20.25">
      <c r="DV2092">
        <v>132</v>
      </c>
      <c r="DW2092" t="s">
        <v>86</v>
      </c>
      <c r="DX2092" s="8">
        <v>43929</v>
      </c>
      <c r="DY2092">
        <v>22</v>
      </c>
      <c r="EA2092">
        <v>0</v>
      </c>
    </row>
    <row r="2093" spans="1:325" ht="20.25">
      <c r="DV2093">
        <v>132</v>
      </c>
      <c r="DW2093" t="s">
        <v>86</v>
      </c>
      <c r="DX2093" s="8">
        <v>43930</v>
      </c>
      <c r="DY2093">
        <v>27</v>
      </c>
      <c r="EA2093">
        <v>0</v>
      </c>
    </row>
    <row r="2094" spans="1:325" ht="20.25">
      <c r="DV2094">
        <v>132</v>
      </c>
      <c r="DW2094" t="s">
        <v>86</v>
      </c>
      <c r="DX2094" s="8">
        <v>43931</v>
      </c>
      <c r="DY2094">
        <v>28</v>
      </c>
      <c r="EA2094">
        <v>1</v>
      </c>
    </row>
    <row r="2095" spans="1:325" ht="20.25">
      <c r="DV2095">
        <v>132</v>
      </c>
      <c r="DW2095" t="s">
        <v>86</v>
      </c>
      <c r="DX2095" s="8">
        <v>43932</v>
      </c>
      <c r="DY2095">
        <v>30</v>
      </c>
      <c r="EA2095">
        <v>1</v>
      </c>
    </row>
    <row r="2096" spans="1:325" ht="20.25">
      <c r="DV2096">
        <v>132</v>
      </c>
      <c r="DW2096" t="s">
        <v>86</v>
      </c>
      <c r="DX2096" s="8">
        <v>43933</v>
      </c>
      <c r="DY2096">
        <v>32</v>
      </c>
      <c r="EA2096">
        <v>1</v>
      </c>
    </row>
    <row r="2097" spans="1:325" ht="20.25">
      <c r="DV2097">
        <v>132</v>
      </c>
      <c r="DW2097" t="s">
        <v>86</v>
      </c>
      <c r="DX2097" s="8">
        <v>43934</v>
      </c>
      <c r="DY2097">
        <v>37</v>
      </c>
      <c r="EA2097">
        <v>1</v>
      </c>
    </row>
    <row r="2098" spans="1:325" ht="20.25">
      <c r="DV2098">
        <v>132</v>
      </c>
      <c r="DW2098" t="s">
        <v>86</v>
      </c>
      <c r="DX2098" s="8">
        <v>43935</v>
      </c>
      <c r="DY2098">
        <v>37</v>
      </c>
      <c r="EA2098">
        <v>1</v>
      </c>
    </row>
    <row r="2099" spans="1:325" ht="20.25">
      <c r="DV2099">
        <v>132</v>
      </c>
      <c r="DW2099" t="s">
        <v>86</v>
      </c>
      <c r="DX2099" s="8">
        <v>43936</v>
      </c>
      <c r="DY2099">
        <v>41</v>
      </c>
      <c r="EA2099">
        <v>1</v>
      </c>
    </row>
    <row r="2100" spans="1:325" ht="20.25">
      <c r="DV2100">
        <v>132</v>
      </c>
      <c r="DW2100" t="s">
        <v>86</v>
      </c>
      <c r="DX2100" s="8">
        <v>43937</v>
      </c>
      <c r="DY2100">
        <v>46</v>
      </c>
      <c r="DZ2100">
        <v>177</v>
      </c>
      <c r="EA2100">
        <v>2</v>
      </c>
    </row>
    <row r="2101" spans="1:325" ht="20.25">
      <c r="DV2101">
        <v>132</v>
      </c>
      <c r="DW2101" t="s">
        <v>86</v>
      </c>
      <c r="DX2101" s="8">
        <v>43938</v>
      </c>
      <c r="DY2101">
        <v>48</v>
      </c>
      <c r="DZ2101">
        <v>184</v>
      </c>
      <c r="EA2101">
        <v>2</v>
      </c>
    </row>
    <row r="2102" spans="1:325" ht="20.25">
      <c r="DV2102">
        <v>132</v>
      </c>
      <c r="DW2102" t="s">
        <v>86</v>
      </c>
      <c r="DX2102" s="8">
        <v>43939</v>
      </c>
      <c r="DY2102">
        <v>47</v>
      </c>
      <c r="DZ2102">
        <v>180</v>
      </c>
      <c r="EA2102">
        <v>3</v>
      </c>
    </row>
    <row r="2103" spans="1:325" ht="20.25">
      <c r="DV2103">
        <v>132</v>
      </c>
      <c r="DW2103" t="s">
        <v>86</v>
      </c>
      <c r="DX2103" s="8">
        <v>43940</v>
      </c>
      <c r="DY2103">
        <v>48</v>
      </c>
      <c r="DZ2103">
        <v>184</v>
      </c>
      <c r="EA2103">
        <v>3</v>
      </c>
    </row>
    <row r="2104" spans="1:325" ht="20.25">
      <c r="DV2104">
        <v>132</v>
      </c>
      <c r="DW2104" t="s">
        <v>86</v>
      </c>
      <c r="DX2104" s="8">
        <v>43941</v>
      </c>
      <c r="DY2104">
        <v>57</v>
      </c>
      <c r="DZ2104">
        <v>219</v>
      </c>
      <c r="EA2104">
        <v>5</v>
      </c>
    </row>
    <row r="2105" spans="1:325" ht="20.25">
      <c r="DV2105">
        <v>132</v>
      </c>
      <c r="DW2105" t="s">
        <v>86</v>
      </c>
      <c r="DX2105" s="8">
        <v>43942</v>
      </c>
      <c r="DY2105">
        <v>57</v>
      </c>
      <c r="DZ2105">
        <v>219</v>
      </c>
      <c r="EA2105">
        <v>5</v>
      </c>
    </row>
    <row r="2106" spans="1:325" ht="20.25">
      <c r="DV2106">
        <v>132</v>
      </c>
      <c r="DW2106" t="s">
        <v>86</v>
      </c>
      <c r="DX2106" s="8">
        <v>43943</v>
      </c>
      <c r="DY2106">
        <v>65</v>
      </c>
      <c r="DZ2106">
        <v>249</v>
      </c>
      <c r="EA2106">
        <v>8</v>
      </c>
    </row>
    <row r="2107" spans="1:325" ht="20.25">
      <c r="DV2107">
        <v>132</v>
      </c>
      <c r="DW2107" t="s">
        <v>86</v>
      </c>
      <c r="DX2107" s="8">
        <v>43944</v>
      </c>
      <c r="DY2107">
        <v>69</v>
      </c>
      <c r="DZ2107">
        <v>265</v>
      </c>
      <c r="EA2107">
        <v>8</v>
      </c>
    </row>
    <row r="2108" spans="1:325" ht="20.25">
      <c r="DV2108">
        <v>132</v>
      </c>
      <c r="DW2108" t="s">
        <v>86</v>
      </c>
      <c r="DX2108" s="8">
        <v>43945</v>
      </c>
      <c r="DY2108">
        <v>74</v>
      </c>
      <c r="DZ2108">
        <v>284</v>
      </c>
      <c r="EA2108">
        <v>12</v>
      </c>
    </row>
    <row r="2109" spans="1:325" ht="20.25">
      <c r="DV2109">
        <v>132</v>
      </c>
      <c r="DW2109" t="s">
        <v>86</v>
      </c>
      <c r="DX2109" s="8">
        <v>43946</v>
      </c>
      <c r="DY2109">
        <v>75</v>
      </c>
      <c r="DZ2109">
        <v>288</v>
      </c>
      <c r="EA2109">
        <v>12</v>
      </c>
    </row>
    <row r="2110" spans="1:325" ht="20.25">
      <c r="DV2110">
        <v>132</v>
      </c>
      <c r="DW2110" t="s">
        <v>86</v>
      </c>
      <c r="DX2110" s="8">
        <v>43947</v>
      </c>
      <c r="DY2110">
        <v>78</v>
      </c>
      <c r="DZ2110">
        <v>299</v>
      </c>
      <c r="EA2110">
        <v>12</v>
      </c>
    </row>
    <row r="2111" spans="1:325" ht="20.25">
      <c r="DV2111">
        <v>132</v>
      </c>
      <c r="DW2111" t="s">
        <v>86</v>
      </c>
      <c r="DX2111" s="8">
        <v>43948</v>
      </c>
      <c r="DY2111">
        <v>80</v>
      </c>
      <c r="DZ2111">
        <v>307</v>
      </c>
      <c r="EA2111">
        <v>15</v>
      </c>
    </row>
    <row r="2112" spans="1:325" ht="20.25">
      <c r="DV2112">
        <v>132</v>
      </c>
      <c r="DW2112" t="s">
        <v>86</v>
      </c>
      <c r="DX2112" s="8">
        <v>43949</v>
      </c>
      <c r="DY2112">
        <v>80</v>
      </c>
      <c r="DZ2112">
        <v>307</v>
      </c>
      <c r="EA2112">
        <v>16</v>
      </c>
    </row>
    <row r="2113" spans="1:325" ht="20.25">
      <c r="DV2113">
        <v>132</v>
      </c>
      <c r="DW2113" t="s">
        <v>86</v>
      </c>
      <c r="DX2113" s="8">
        <v>43950</v>
      </c>
      <c r="DY2113">
        <v>82</v>
      </c>
      <c r="DZ2113">
        <v>315</v>
      </c>
      <c r="EA2113">
        <v>18</v>
      </c>
    </row>
    <row r="2114" spans="1:325" ht="20.25">
      <c r="DV2114">
        <v>132</v>
      </c>
      <c r="DW2114" t="s">
        <v>86</v>
      </c>
      <c r="DX2114" s="8">
        <v>43951</v>
      </c>
      <c r="DY2114">
        <v>83</v>
      </c>
      <c r="DZ2114">
        <v>319</v>
      </c>
      <c r="EA2114">
        <v>18</v>
      </c>
    </row>
    <row r="2115" spans="1:325" ht="20.25">
      <c r="DV2115">
        <v>132</v>
      </c>
      <c r="DW2115" t="s">
        <v>86</v>
      </c>
      <c r="DX2115" s="8">
        <v>43952</v>
      </c>
      <c r="DY2115">
        <v>91</v>
      </c>
      <c r="DZ2115">
        <v>349</v>
      </c>
      <c r="EA2115">
        <v>20</v>
      </c>
    </row>
    <row r="2116" spans="1:325" ht="20.25">
      <c r="DV2116">
        <v>132</v>
      </c>
      <c r="DW2116" t="s">
        <v>86</v>
      </c>
      <c r="DX2116" s="8">
        <v>43953</v>
      </c>
      <c r="DY2116">
        <v>95</v>
      </c>
      <c r="DZ2116">
        <v>365</v>
      </c>
      <c r="EA2116">
        <v>21</v>
      </c>
    </row>
    <row r="2117" spans="1:325" ht="20.25">
      <c r="DV2117">
        <v>132</v>
      </c>
      <c r="DW2117" t="s">
        <v>86</v>
      </c>
      <c r="DX2117" s="8">
        <v>43954</v>
      </c>
      <c r="DY2117">
        <v>93</v>
      </c>
      <c r="DZ2117">
        <v>357</v>
      </c>
      <c r="EA2117">
        <v>21</v>
      </c>
    </row>
    <row r="2118" spans="1:325" ht="20.25">
      <c r="DV2118">
        <v>132</v>
      </c>
      <c r="DW2118" t="s">
        <v>86</v>
      </c>
      <c r="DX2118" s="8">
        <v>43955</v>
      </c>
      <c r="DY2118">
        <v>97</v>
      </c>
      <c r="DZ2118">
        <v>372</v>
      </c>
      <c r="EA2118">
        <v>22</v>
      </c>
    </row>
    <row r="2119" spans="1:325" ht="20.25">
      <c r="DV2119">
        <v>132</v>
      </c>
      <c r="DW2119" t="s">
        <v>86</v>
      </c>
      <c r="DX2119" s="8">
        <v>43956</v>
      </c>
      <c r="DY2119">
        <v>102</v>
      </c>
      <c r="DZ2119">
        <v>391</v>
      </c>
      <c r="EA2119">
        <v>26</v>
      </c>
    </row>
    <row r="2120" spans="1:325" ht="20.25">
      <c r="DV2120">
        <v>132</v>
      </c>
      <c r="DW2120" t="s">
        <v>86</v>
      </c>
      <c r="DX2120" s="8">
        <v>43957</v>
      </c>
      <c r="DY2120">
        <v>106</v>
      </c>
      <c r="DZ2120">
        <v>407</v>
      </c>
      <c r="EA2120">
        <v>26</v>
      </c>
    </row>
    <row r="2121" spans="1:325" ht="20.25">
      <c r="DV2121">
        <v>132</v>
      </c>
      <c r="DW2121" t="s">
        <v>86</v>
      </c>
      <c r="DX2121" s="8">
        <v>43958</v>
      </c>
      <c r="DY2121">
        <v>110</v>
      </c>
      <c r="DZ2121">
        <v>422</v>
      </c>
      <c r="EA2121">
        <v>27</v>
      </c>
    </row>
    <row r="2122" spans="1:325" ht="20.25">
      <c r="DV2122">
        <v>132</v>
      </c>
      <c r="DW2122" t="s">
        <v>86</v>
      </c>
      <c r="DX2122" s="8">
        <v>43959</v>
      </c>
      <c r="DY2122">
        <v>111</v>
      </c>
      <c r="DZ2122">
        <v>426</v>
      </c>
      <c r="EA2122">
        <v>27</v>
      </c>
    </row>
    <row r="2123" spans="1:325" ht="20.25">
      <c r="DV2123">
        <v>132</v>
      </c>
      <c r="DW2123" t="s">
        <v>86</v>
      </c>
      <c r="DX2123" s="8">
        <v>43960</v>
      </c>
      <c r="DY2123">
        <v>114</v>
      </c>
      <c r="DZ2123">
        <v>438</v>
      </c>
      <c r="EA2123">
        <v>26</v>
      </c>
    </row>
    <row r="2124" spans="1:325" ht="20.25">
      <c r="DV2124">
        <v>132</v>
      </c>
      <c r="DW2124" t="s">
        <v>86</v>
      </c>
      <c r="DX2124" s="8">
        <v>43961</v>
      </c>
      <c r="DY2124">
        <v>114</v>
      </c>
      <c r="DZ2124">
        <v>438</v>
      </c>
      <c r="EA2124">
        <v>26</v>
      </c>
    </row>
    <row r="2125" spans="1:325" ht="20.25">
      <c r="DV2125">
        <v>132</v>
      </c>
      <c r="DW2125" t="s">
        <v>86</v>
      </c>
      <c r="DX2125" s="8">
        <v>43962</v>
      </c>
      <c r="DY2125">
        <v>118</v>
      </c>
      <c r="DZ2125">
        <v>453</v>
      </c>
      <c r="EA2125">
        <v>26</v>
      </c>
    </row>
    <row r="2126" spans="1:325" ht="20.25">
      <c r="DV2126">
        <v>132</v>
      </c>
      <c r="DW2126" t="s">
        <v>86</v>
      </c>
      <c r="DX2126" s="8">
        <v>43963</v>
      </c>
      <c r="DY2126">
        <v>120</v>
      </c>
      <c r="DZ2126">
        <v>461</v>
      </c>
      <c r="EA2126">
        <v>26</v>
      </c>
    </row>
    <row r="2127" spans="1:325" ht="20.25">
      <c r="DV2127">
        <v>132</v>
      </c>
      <c r="DW2127" t="s">
        <v>86</v>
      </c>
      <c r="DX2127" s="8">
        <v>43964</v>
      </c>
      <c r="DY2127">
        <v>122</v>
      </c>
      <c r="DZ2127">
        <v>468</v>
      </c>
      <c r="EA2127">
        <v>27</v>
      </c>
    </row>
    <row r="2128" spans="1:325" ht="20.25">
      <c r="DV2128">
        <v>132</v>
      </c>
      <c r="DW2128" t="s">
        <v>86</v>
      </c>
      <c r="DX2128" s="8">
        <v>43965</v>
      </c>
      <c r="DY2128">
        <v>125</v>
      </c>
      <c r="DZ2128">
        <v>480</v>
      </c>
      <c r="EA2128">
        <v>27</v>
      </c>
    </row>
    <row r="2129" spans="1:325" ht="20.25">
      <c r="DV2129">
        <v>132</v>
      </c>
      <c r="DW2129" t="s">
        <v>86</v>
      </c>
      <c r="DX2129" s="8">
        <v>43966</v>
      </c>
      <c r="DY2129">
        <v>125</v>
      </c>
      <c r="DZ2129">
        <v>480</v>
      </c>
      <c r="EA2129">
        <v>27</v>
      </c>
    </row>
    <row r="2130" spans="1:325" ht="20.25">
      <c r="DV2130">
        <v>137</v>
      </c>
      <c r="DW2130" t="s">
        <v>88</v>
      </c>
      <c r="DX2130" s="8">
        <v>43914</v>
      </c>
      <c r="DY2130">
        <v>1</v>
      </c>
      <c r="EA2130">
        <v>0</v>
      </c>
    </row>
    <row r="2131" spans="1:325" ht="20.25">
      <c r="DV2131">
        <v>137</v>
      </c>
      <c r="DW2131" t="s">
        <v>88</v>
      </c>
      <c r="DX2131" s="8">
        <v>43915</v>
      </c>
      <c r="DY2131">
        <v>1</v>
      </c>
      <c r="EA2131">
        <v>0</v>
      </c>
    </row>
    <row r="2132" spans="1:325" ht="20.25">
      <c r="DV2132">
        <v>137</v>
      </c>
      <c r="DW2132" t="s">
        <v>88</v>
      </c>
      <c r="DX2132" s="8">
        <v>43916</v>
      </c>
      <c r="DY2132">
        <v>1</v>
      </c>
      <c r="EA2132">
        <v>0</v>
      </c>
    </row>
    <row r="2133" spans="1:325" ht="20.25">
      <c r="DV2133">
        <v>137</v>
      </c>
      <c r="DW2133" t="s">
        <v>88</v>
      </c>
      <c r="DX2133" s="8">
        <v>43917</v>
      </c>
      <c r="DY2133">
        <v>1</v>
      </c>
      <c r="EA2133">
        <v>0</v>
      </c>
    </row>
    <row r="2134" spans="1:325" ht="20.25">
      <c r="DV2134">
        <v>137</v>
      </c>
      <c r="DW2134" t="s">
        <v>88</v>
      </c>
      <c r="DX2134" s="8">
        <v>43918</v>
      </c>
      <c r="DY2134">
        <v>1</v>
      </c>
      <c r="EA2134">
        <v>0</v>
      </c>
    </row>
    <row r="2135" spans="1:325" ht="20.25">
      <c r="DV2135">
        <v>137</v>
      </c>
      <c r="DW2135" t="s">
        <v>88</v>
      </c>
      <c r="DX2135" s="8">
        <v>43919</v>
      </c>
      <c r="DY2135">
        <v>1</v>
      </c>
      <c r="EA2135">
        <v>0</v>
      </c>
    </row>
    <row r="2136" spans="1:325" ht="20.25">
      <c r="DV2136">
        <v>137</v>
      </c>
      <c r="DW2136" t="s">
        <v>88</v>
      </c>
      <c r="DX2136" s="8">
        <v>43920</v>
      </c>
      <c r="DY2136">
        <v>1</v>
      </c>
      <c r="EA2136">
        <v>0</v>
      </c>
    </row>
    <row r="2137" spans="1:325" ht="20.25">
      <c r="DV2137">
        <v>137</v>
      </c>
      <c r="DW2137" t="s">
        <v>88</v>
      </c>
      <c r="DX2137" s="8">
        <v>43921</v>
      </c>
      <c r="DY2137">
        <v>2</v>
      </c>
      <c r="EA2137">
        <v>0</v>
      </c>
    </row>
    <row r="2138" spans="1:325" ht="20.25">
      <c r="DV2138">
        <v>137</v>
      </c>
      <c r="DW2138" t="s">
        <v>88</v>
      </c>
      <c r="DX2138" s="8">
        <v>43922</v>
      </c>
      <c r="DY2138">
        <v>2</v>
      </c>
      <c r="EA2138">
        <v>0</v>
      </c>
    </row>
    <row r="2139" spans="1:325" ht="20.25">
      <c r="DV2139">
        <v>137</v>
      </c>
      <c r="DW2139" t="s">
        <v>88</v>
      </c>
      <c r="DX2139" s="8">
        <v>43923</v>
      </c>
      <c r="DY2139">
        <v>2</v>
      </c>
      <c r="EA2139">
        <v>0</v>
      </c>
    </row>
    <row r="2140" spans="1:325" ht="20.25">
      <c r="DV2140">
        <v>137</v>
      </c>
      <c r="DW2140" t="s">
        <v>88</v>
      </c>
      <c r="DX2140" s="8">
        <v>43924</v>
      </c>
      <c r="DY2140">
        <v>3</v>
      </c>
      <c r="EA2140">
        <v>1</v>
      </c>
    </row>
    <row r="2141" spans="1:325" ht="20.25">
      <c r="DV2141">
        <v>137</v>
      </c>
      <c r="DW2141" t="s">
        <v>88</v>
      </c>
      <c r="DX2141" s="8">
        <v>43925</v>
      </c>
      <c r="DY2141">
        <v>6</v>
      </c>
      <c r="EA2141">
        <v>1</v>
      </c>
    </row>
    <row r="2142" spans="1:325" ht="20.25">
      <c r="DV2142">
        <v>137</v>
      </c>
      <c r="DW2142" t="s">
        <v>88</v>
      </c>
      <c r="DX2142" s="8">
        <v>43926</v>
      </c>
      <c r="DY2142">
        <v>6</v>
      </c>
      <c r="EA2142">
        <v>2</v>
      </c>
    </row>
    <row r="2143" spans="1:325" ht="20.25">
      <c r="DV2143">
        <v>137</v>
      </c>
      <c r="DW2143" t="s">
        <v>88</v>
      </c>
      <c r="DX2143" s="8">
        <v>43927</v>
      </c>
      <c r="DY2143">
        <v>6</v>
      </c>
      <c r="EA2143">
        <v>2</v>
      </c>
    </row>
    <row r="2144" spans="1:325" ht="20.25">
      <c r="DV2144">
        <v>137</v>
      </c>
      <c r="DW2144" t="s">
        <v>88</v>
      </c>
      <c r="DX2144" s="8">
        <v>43928</v>
      </c>
      <c r="DY2144">
        <v>9</v>
      </c>
      <c r="EA2144">
        <v>2</v>
      </c>
    </row>
    <row r="2145" spans="1:325" ht="20.25">
      <c r="DV2145">
        <v>137</v>
      </c>
      <c r="DW2145" t="s">
        <v>88</v>
      </c>
      <c r="DX2145" s="8">
        <v>43929</v>
      </c>
      <c r="DY2145">
        <v>15</v>
      </c>
      <c r="EA2145">
        <v>2</v>
      </c>
    </row>
    <row r="2146" spans="1:325" ht="20.25">
      <c r="DV2146">
        <v>137</v>
      </c>
      <c r="DW2146" t="s">
        <v>88</v>
      </c>
      <c r="DX2146" s="8">
        <v>43930</v>
      </c>
      <c r="DY2146">
        <v>14</v>
      </c>
      <c r="EA2146">
        <v>2</v>
      </c>
    </row>
    <row r="2147" spans="1:325" ht="20.25">
      <c r="DV2147">
        <v>137</v>
      </c>
      <c r="DW2147" t="s">
        <v>88</v>
      </c>
      <c r="DX2147" s="8">
        <v>43931</v>
      </c>
      <c r="DY2147">
        <v>13</v>
      </c>
      <c r="EA2147">
        <v>2</v>
      </c>
    </row>
    <row r="2148" spans="1:325" ht="20.25">
      <c r="DV2148">
        <v>137</v>
      </c>
      <c r="DW2148" t="s">
        <v>88</v>
      </c>
      <c r="DX2148" s="8">
        <v>43932</v>
      </c>
      <c r="DY2148">
        <v>19</v>
      </c>
      <c r="EA2148">
        <v>2</v>
      </c>
    </row>
    <row r="2149" spans="1:325" ht="20.25">
      <c r="DV2149">
        <v>137</v>
      </c>
      <c r="DW2149" t="s">
        <v>88</v>
      </c>
      <c r="DX2149" s="8">
        <v>43933</v>
      </c>
      <c r="DY2149">
        <v>19</v>
      </c>
      <c r="EA2149">
        <v>2</v>
      </c>
    </row>
    <row r="2150" spans="1:325" ht="20.25">
      <c r="DV2150">
        <v>137</v>
      </c>
      <c r="DW2150" t="s">
        <v>88</v>
      </c>
      <c r="DX2150" s="8">
        <v>43934</v>
      </c>
      <c r="DY2150">
        <v>19</v>
      </c>
      <c r="EA2150">
        <v>2</v>
      </c>
    </row>
    <row r="2151" spans="1:325" ht="20.25">
      <c r="DV2151">
        <v>137</v>
      </c>
      <c r="DW2151" t="s">
        <v>88</v>
      </c>
      <c r="DX2151" s="8">
        <v>43935</v>
      </c>
      <c r="DY2151">
        <v>18</v>
      </c>
      <c r="EA2151">
        <v>2</v>
      </c>
    </row>
    <row r="2152" spans="1:325" ht="20.25">
      <c r="DV2152">
        <v>137</v>
      </c>
      <c r="DW2152" t="s">
        <v>88</v>
      </c>
      <c r="DX2152" s="8">
        <v>43936</v>
      </c>
      <c r="DY2152">
        <v>21</v>
      </c>
      <c r="EA2152">
        <v>1</v>
      </c>
    </row>
    <row r="2153" spans="1:325" ht="20.25">
      <c r="DV2153">
        <v>137</v>
      </c>
      <c r="DW2153" t="s">
        <v>88</v>
      </c>
      <c r="DX2153" s="8">
        <v>43937</v>
      </c>
      <c r="DY2153">
        <v>18</v>
      </c>
      <c r="DZ2153">
        <v>98</v>
      </c>
      <c r="EA2153">
        <v>1</v>
      </c>
    </row>
    <row r="2154" spans="1:325" ht="20.25">
      <c r="DV2154">
        <v>137</v>
      </c>
      <c r="DW2154" t="s">
        <v>88</v>
      </c>
      <c r="DX2154" s="8">
        <v>43938</v>
      </c>
      <c r="DY2154">
        <v>18</v>
      </c>
      <c r="DZ2154">
        <v>98</v>
      </c>
      <c r="EA2154">
        <v>1</v>
      </c>
    </row>
    <row r="2155" spans="1:325" ht="20.25">
      <c r="DV2155">
        <v>137</v>
      </c>
      <c r="DW2155" t="s">
        <v>88</v>
      </c>
      <c r="DX2155" s="8">
        <v>43939</v>
      </c>
      <c r="DY2155">
        <v>18</v>
      </c>
      <c r="DZ2155">
        <v>98</v>
      </c>
      <c r="EA2155">
        <v>1</v>
      </c>
    </row>
    <row r="2156" spans="1:325" ht="20.25">
      <c r="DV2156">
        <v>137</v>
      </c>
      <c r="DW2156" t="s">
        <v>88</v>
      </c>
      <c r="DX2156" s="8">
        <v>43940</v>
      </c>
      <c r="DY2156">
        <v>20</v>
      </c>
      <c r="DZ2156">
        <v>108</v>
      </c>
      <c r="EA2156">
        <v>1</v>
      </c>
    </row>
    <row r="2157" spans="1:325" ht="20.25">
      <c r="DV2157">
        <v>137</v>
      </c>
      <c r="DW2157" t="s">
        <v>88</v>
      </c>
      <c r="DX2157" s="8">
        <v>43941</v>
      </c>
      <c r="DY2157">
        <v>23</v>
      </c>
      <c r="DZ2157">
        <v>125</v>
      </c>
      <c r="EA2157">
        <v>2</v>
      </c>
    </row>
    <row r="2158" spans="1:325" ht="20.25">
      <c r="DV2158">
        <v>137</v>
      </c>
      <c r="DW2158" t="s">
        <v>88</v>
      </c>
      <c r="DX2158" s="8">
        <v>43942</v>
      </c>
      <c r="DY2158">
        <v>23</v>
      </c>
      <c r="DZ2158">
        <v>125</v>
      </c>
      <c r="EA2158">
        <v>2</v>
      </c>
    </row>
    <row r="2159" spans="1:325" ht="20.25">
      <c r="DV2159">
        <v>137</v>
      </c>
      <c r="DW2159" t="s">
        <v>88</v>
      </c>
      <c r="DX2159" s="8">
        <v>43943</v>
      </c>
      <c r="DY2159">
        <v>24</v>
      </c>
      <c r="DZ2159">
        <v>130</v>
      </c>
      <c r="EA2159">
        <v>2</v>
      </c>
    </row>
    <row r="2160" spans="1:325" ht="20.25">
      <c r="DV2160">
        <v>137</v>
      </c>
      <c r="DW2160" t="s">
        <v>88</v>
      </c>
      <c r="DX2160" s="8">
        <v>43944</v>
      </c>
      <c r="DY2160">
        <v>24</v>
      </c>
      <c r="DZ2160">
        <v>130</v>
      </c>
      <c r="EA2160">
        <v>2</v>
      </c>
    </row>
    <row r="2161" spans="1:325" ht="20.25">
      <c r="DV2161">
        <v>137</v>
      </c>
      <c r="DW2161" t="s">
        <v>88</v>
      </c>
      <c r="DX2161" s="8">
        <v>43945</v>
      </c>
      <c r="DY2161">
        <v>26</v>
      </c>
      <c r="DZ2161">
        <v>141</v>
      </c>
      <c r="EA2161">
        <v>2</v>
      </c>
    </row>
    <row r="2162" spans="1:325" ht="20.25">
      <c r="DV2162">
        <v>137</v>
      </c>
      <c r="DW2162" t="s">
        <v>88</v>
      </c>
      <c r="DX2162" s="8">
        <v>43946</v>
      </c>
      <c r="DY2162">
        <v>27</v>
      </c>
      <c r="DZ2162">
        <v>146</v>
      </c>
      <c r="EA2162">
        <v>2</v>
      </c>
    </row>
    <row r="2163" spans="1:325" ht="20.25">
      <c r="DV2163">
        <v>137</v>
      </c>
      <c r="DW2163" t="s">
        <v>88</v>
      </c>
      <c r="DX2163" s="8">
        <v>43947</v>
      </c>
      <c r="DY2163">
        <v>27</v>
      </c>
      <c r="DZ2163">
        <v>146</v>
      </c>
      <c r="EA2163">
        <v>4</v>
      </c>
    </row>
    <row r="2164" spans="1:325" ht="20.25">
      <c r="DV2164">
        <v>137</v>
      </c>
      <c r="DW2164" t="s">
        <v>88</v>
      </c>
      <c r="DX2164" s="8">
        <v>43948</v>
      </c>
      <c r="DY2164">
        <v>27</v>
      </c>
      <c r="DZ2164">
        <v>146</v>
      </c>
      <c r="EA2164">
        <v>5</v>
      </c>
    </row>
    <row r="2165" spans="1:325" ht="20.25">
      <c r="DV2165">
        <v>137</v>
      </c>
      <c r="DW2165" t="s">
        <v>88</v>
      </c>
      <c r="DX2165" s="8">
        <v>43949</v>
      </c>
      <c r="DY2165">
        <v>26</v>
      </c>
      <c r="DZ2165">
        <v>141</v>
      </c>
      <c r="EA2165">
        <v>4</v>
      </c>
    </row>
    <row r="2166" spans="1:325" ht="20.25">
      <c r="DV2166">
        <v>137</v>
      </c>
      <c r="DW2166" t="s">
        <v>88</v>
      </c>
      <c r="DX2166" s="8">
        <v>43950</v>
      </c>
      <c r="DY2166">
        <v>26</v>
      </c>
      <c r="DZ2166">
        <v>141</v>
      </c>
      <c r="EA2166">
        <v>4</v>
      </c>
    </row>
    <row r="2167" spans="1:325" ht="20.25">
      <c r="DV2167">
        <v>137</v>
      </c>
      <c r="DW2167" t="s">
        <v>88</v>
      </c>
      <c r="DX2167" s="8">
        <v>43951</v>
      </c>
      <c r="DY2167">
        <v>26</v>
      </c>
      <c r="DZ2167">
        <v>141</v>
      </c>
      <c r="EA2167">
        <v>4</v>
      </c>
    </row>
    <row r="2168" spans="1:325" ht="20.25">
      <c r="DV2168">
        <v>137</v>
      </c>
      <c r="DW2168" t="s">
        <v>88</v>
      </c>
      <c r="DX2168" s="8">
        <v>43952</v>
      </c>
      <c r="DY2168">
        <v>26</v>
      </c>
      <c r="DZ2168">
        <v>141</v>
      </c>
      <c r="EA2168">
        <v>4</v>
      </c>
    </row>
    <row r="2169" spans="1:325" ht="20.25">
      <c r="DV2169">
        <v>137</v>
      </c>
      <c r="DW2169" t="s">
        <v>88</v>
      </c>
      <c r="DX2169" s="8">
        <v>43953</v>
      </c>
      <c r="DY2169">
        <v>27</v>
      </c>
      <c r="DZ2169">
        <v>146</v>
      </c>
      <c r="EA2169">
        <v>5</v>
      </c>
    </row>
    <row r="2170" spans="1:325" ht="20.25">
      <c r="DV2170">
        <v>137</v>
      </c>
      <c r="DW2170" t="s">
        <v>88</v>
      </c>
      <c r="DX2170" s="8">
        <v>43954</v>
      </c>
      <c r="DY2170">
        <v>28</v>
      </c>
      <c r="DZ2170">
        <v>152</v>
      </c>
      <c r="EA2170">
        <v>6</v>
      </c>
    </row>
    <row r="2171" spans="1:325" ht="20.25">
      <c r="DV2171">
        <v>137</v>
      </c>
      <c r="DW2171" t="s">
        <v>88</v>
      </c>
      <c r="DX2171" s="8">
        <v>43955</v>
      </c>
      <c r="DY2171">
        <v>27</v>
      </c>
      <c r="DZ2171">
        <v>146</v>
      </c>
      <c r="EA2171">
        <v>6</v>
      </c>
    </row>
    <row r="2172" spans="1:325" ht="20.25">
      <c r="DV2172">
        <v>137</v>
      </c>
      <c r="DW2172" t="s">
        <v>88</v>
      </c>
      <c r="DX2172" s="8">
        <v>43956</v>
      </c>
      <c r="DY2172">
        <v>29</v>
      </c>
      <c r="DZ2172">
        <v>157</v>
      </c>
      <c r="EA2172">
        <v>6</v>
      </c>
    </row>
    <row r="2173" spans="1:325" ht="20.25">
      <c r="DV2173">
        <v>137</v>
      </c>
      <c r="DW2173" t="s">
        <v>88</v>
      </c>
      <c r="DX2173" s="8">
        <v>43957</v>
      </c>
      <c r="DY2173">
        <v>29</v>
      </c>
      <c r="DZ2173">
        <v>157</v>
      </c>
      <c r="EA2173">
        <v>6</v>
      </c>
    </row>
    <row r="2174" spans="1:325" ht="20.25">
      <c r="DV2174">
        <v>137</v>
      </c>
      <c r="DW2174" t="s">
        <v>88</v>
      </c>
      <c r="DX2174" s="8">
        <v>43958</v>
      </c>
      <c r="DY2174">
        <v>30</v>
      </c>
      <c r="DZ2174">
        <v>163</v>
      </c>
      <c r="EA2174">
        <v>6</v>
      </c>
    </row>
    <row r="2175" spans="1:325" ht="20.25">
      <c r="DV2175">
        <v>137</v>
      </c>
      <c r="DW2175" t="s">
        <v>88</v>
      </c>
      <c r="DX2175" s="8">
        <v>43959</v>
      </c>
      <c r="DY2175">
        <v>30</v>
      </c>
      <c r="DZ2175">
        <v>163</v>
      </c>
      <c r="EA2175">
        <v>5</v>
      </c>
    </row>
    <row r="2176" spans="1:325" ht="20.25">
      <c r="DV2176">
        <v>137</v>
      </c>
      <c r="DW2176" t="s">
        <v>88</v>
      </c>
      <c r="DX2176" s="8">
        <v>43960</v>
      </c>
      <c r="DY2176">
        <v>26</v>
      </c>
      <c r="DZ2176">
        <v>141</v>
      </c>
      <c r="EA2176">
        <v>1</v>
      </c>
    </row>
    <row r="2177" spans="1:325" ht="20.25">
      <c r="DV2177">
        <v>137</v>
      </c>
      <c r="DW2177" t="s">
        <v>88</v>
      </c>
      <c r="DX2177" s="8">
        <v>43961</v>
      </c>
      <c r="DY2177">
        <v>27</v>
      </c>
      <c r="DZ2177">
        <v>146</v>
      </c>
      <c r="EA2177">
        <v>2</v>
      </c>
    </row>
    <row r="2178" spans="1:325" ht="20.25">
      <c r="DV2178">
        <v>137</v>
      </c>
      <c r="DW2178" t="s">
        <v>88</v>
      </c>
      <c r="DX2178" s="8">
        <v>43962</v>
      </c>
      <c r="DY2178">
        <v>27</v>
      </c>
      <c r="DZ2178">
        <v>146</v>
      </c>
      <c r="EA2178">
        <v>2</v>
      </c>
    </row>
    <row r="2179" spans="1:325" ht="20.25">
      <c r="DV2179">
        <v>137</v>
      </c>
      <c r="DW2179" t="s">
        <v>88</v>
      </c>
      <c r="DX2179" s="8">
        <v>43963</v>
      </c>
      <c r="DY2179">
        <v>27</v>
      </c>
      <c r="DZ2179">
        <v>146</v>
      </c>
      <c r="EA2179">
        <v>2</v>
      </c>
    </row>
    <row r="2180" spans="1:325" ht="20.25">
      <c r="DV2180">
        <v>137</v>
      </c>
      <c r="DW2180" t="s">
        <v>88</v>
      </c>
      <c r="DX2180" s="8">
        <v>43964</v>
      </c>
      <c r="DY2180">
        <v>27</v>
      </c>
      <c r="DZ2180">
        <v>146</v>
      </c>
      <c r="EA2180">
        <v>2</v>
      </c>
    </row>
    <row r="2181" spans="1:325" ht="20.25">
      <c r="DV2181">
        <v>137</v>
      </c>
      <c r="DW2181" t="s">
        <v>88</v>
      </c>
      <c r="DX2181" s="8">
        <v>43965</v>
      </c>
      <c r="DY2181">
        <v>27</v>
      </c>
      <c r="DZ2181">
        <v>146</v>
      </c>
      <c r="EA2181">
        <v>2</v>
      </c>
    </row>
    <row r="2182" spans="1:325" ht="20.25">
      <c r="DV2182">
        <v>137</v>
      </c>
      <c r="DW2182" t="s">
        <v>88</v>
      </c>
      <c r="DX2182" s="8">
        <v>43966</v>
      </c>
      <c r="DY2182">
        <v>29</v>
      </c>
      <c r="DZ2182">
        <v>157</v>
      </c>
      <c r="EA2182">
        <v>2</v>
      </c>
    </row>
    <row r="2183" spans="1:325" ht="20.25">
      <c r="DV2183">
        <v>143</v>
      </c>
      <c r="DW2183" t="s">
        <v>61</v>
      </c>
      <c r="DX2183" s="8">
        <v>43914</v>
      </c>
      <c r="DY2183">
        <v>2</v>
      </c>
      <c r="EA2183">
        <v>0</v>
      </c>
    </row>
    <row r="2184" spans="1:325" ht="20.25">
      <c r="DV2184">
        <v>143</v>
      </c>
      <c r="DW2184" t="s">
        <v>61</v>
      </c>
      <c r="DX2184" s="8">
        <v>43915</v>
      </c>
      <c r="DY2184">
        <v>4</v>
      </c>
      <c r="EA2184">
        <v>0</v>
      </c>
    </row>
    <row r="2185" spans="1:325" ht="20.25">
      <c r="DV2185">
        <v>143</v>
      </c>
      <c r="DW2185" t="s">
        <v>61</v>
      </c>
      <c r="DX2185" s="8">
        <v>43916</v>
      </c>
      <c r="DY2185">
        <v>7</v>
      </c>
      <c r="EA2185">
        <v>0</v>
      </c>
    </row>
    <row r="2186" spans="1:325" ht="20.25">
      <c r="DV2186">
        <v>143</v>
      </c>
      <c r="DW2186" t="s">
        <v>61</v>
      </c>
      <c r="DX2186" s="8">
        <v>43917</v>
      </c>
      <c r="DY2186">
        <v>8</v>
      </c>
      <c r="EA2186">
        <v>0</v>
      </c>
    </row>
    <row r="2187" spans="1:325" ht="20.25">
      <c r="DV2187">
        <v>143</v>
      </c>
      <c r="DW2187" t="s">
        <v>61</v>
      </c>
      <c r="DX2187" s="8">
        <v>43918</v>
      </c>
      <c r="DY2187">
        <v>13</v>
      </c>
      <c r="EA2187">
        <v>0</v>
      </c>
    </row>
    <row r="2188" spans="1:325" ht="20.25">
      <c r="DV2188">
        <v>143</v>
      </c>
      <c r="DW2188" t="s">
        <v>61</v>
      </c>
      <c r="DX2188" s="8">
        <v>43919</v>
      </c>
      <c r="DY2188">
        <v>14</v>
      </c>
      <c r="EA2188">
        <v>0</v>
      </c>
    </row>
    <row r="2189" spans="1:325" ht="20.25">
      <c r="DV2189">
        <v>143</v>
      </c>
      <c r="DW2189" t="s">
        <v>61</v>
      </c>
      <c r="DX2189" s="8">
        <v>43920</v>
      </c>
      <c r="DY2189">
        <v>18</v>
      </c>
      <c r="EA2189">
        <v>1</v>
      </c>
    </row>
    <row r="2190" spans="1:325" ht="20.25">
      <c r="DV2190">
        <v>143</v>
      </c>
      <c r="DW2190" t="s">
        <v>61</v>
      </c>
      <c r="DX2190" s="8">
        <v>43921</v>
      </c>
      <c r="DY2190">
        <v>20</v>
      </c>
      <c r="EA2190">
        <v>1</v>
      </c>
    </row>
    <row r="2191" spans="1:325" ht="20.25">
      <c r="DV2191">
        <v>143</v>
      </c>
      <c r="DW2191" t="s">
        <v>61</v>
      </c>
      <c r="DX2191" s="8">
        <v>43922</v>
      </c>
      <c r="DY2191">
        <v>22</v>
      </c>
      <c r="EA2191">
        <v>1</v>
      </c>
    </row>
    <row r="2192" spans="1:325" ht="20.25">
      <c r="DV2192">
        <v>143</v>
      </c>
      <c r="DW2192" t="s">
        <v>61</v>
      </c>
      <c r="DX2192" s="8">
        <v>43923</v>
      </c>
      <c r="DY2192">
        <v>24</v>
      </c>
      <c r="EA2192">
        <v>1</v>
      </c>
    </row>
    <row r="2193" spans="1:325" ht="20.25">
      <c r="DV2193">
        <v>143</v>
      </c>
      <c r="DW2193" t="s">
        <v>61</v>
      </c>
      <c r="DX2193" s="8">
        <v>43924</v>
      </c>
      <c r="DY2193">
        <v>30</v>
      </c>
      <c r="EA2193">
        <v>2</v>
      </c>
    </row>
    <row r="2194" spans="1:325" ht="20.25">
      <c r="DV2194">
        <v>143</v>
      </c>
      <c r="DW2194" t="s">
        <v>61</v>
      </c>
      <c r="DX2194" s="8">
        <v>43925</v>
      </c>
      <c r="DY2194">
        <v>31</v>
      </c>
      <c r="EA2194">
        <v>3</v>
      </c>
    </row>
    <row r="2195" spans="1:325" ht="20.25">
      <c r="DV2195">
        <v>143</v>
      </c>
      <c r="DW2195" t="s">
        <v>61</v>
      </c>
      <c r="DX2195" s="8">
        <v>43926</v>
      </c>
      <c r="DY2195">
        <v>32</v>
      </c>
      <c r="EA2195">
        <v>3</v>
      </c>
    </row>
    <row r="2196" spans="1:325" ht="20.25">
      <c r="DV2196">
        <v>143</v>
      </c>
      <c r="DW2196" t="s">
        <v>61</v>
      </c>
      <c r="DX2196" s="8">
        <v>43927</v>
      </c>
      <c r="DY2196">
        <v>44</v>
      </c>
      <c r="EA2196">
        <v>4</v>
      </c>
    </row>
    <row r="2197" spans="1:325" ht="20.25">
      <c r="DV2197">
        <v>143</v>
      </c>
      <c r="DW2197" t="s">
        <v>61</v>
      </c>
      <c r="DX2197" s="8">
        <v>43928</v>
      </c>
      <c r="DY2197">
        <v>50</v>
      </c>
      <c r="EA2197">
        <v>6</v>
      </c>
    </row>
    <row r="2198" spans="1:325" ht="20.25">
      <c r="DV2198">
        <v>143</v>
      </c>
      <c r="DW2198" t="s">
        <v>61</v>
      </c>
      <c r="DX2198" s="8">
        <v>43929</v>
      </c>
      <c r="DY2198">
        <v>62</v>
      </c>
      <c r="EA2198">
        <v>7</v>
      </c>
    </row>
    <row r="2199" spans="1:325" ht="20.25">
      <c r="DV2199">
        <v>143</v>
      </c>
      <c r="DW2199" t="s">
        <v>61</v>
      </c>
      <c r="DX2199" s="8">
        <v>43930</v>
      </c>
      <c r="DY2199">
        <v>71</v>
      </c>
      <c r="EA2199">
        <v>8</v>
      </c>
    </row>
    <row r="2200" spans="1:325" ht="20.25">
      <c r="DV2200">
        <v>143</v>
      </c>
      <c r="DW2200" t="s">
        <v>61</v>
      </c>
      <c r="DX2200" s="8">
        <v>43931</v>
      </c>
      <c r="DY2200">
        <v>87</v>
      </c>
      <c r="EA2200">
        <v>10</v>
      </c>
    </row>
    <row r="2201" spans="1:325" ht="20.25">
      <c r="DV2201">
        <v>143</v>
      </c>
      <c r="DW2201" t="s">
        <v>61</v>
      </c>
      <c r="DX2201" s="8">
        <v>43932</v>
      </c>
      <c r="DY2201">
        <v>104</v>
      </c>
      <c r="EA2201">
        <v>13</v>
      </c>
    </row>
    <row r="2202" spans="1:325" ht="20.25">
      <c r="DV2202">
        <v>143</v>
      </c>
      <c r="DW2202" t="s">
        <v>61</v>
      </c>
      <c r="DX2202" s="8">
        <v>43933</v>
      </c>
      <c r="DY2202">
        <v>110</v>
      </c>
      <c r="EA2202">
        <v>15</v>
      </c>
    </row>
    <row r="2203" spans="1:325" ht="20.25">
      <c r="DV2203">
        <v>143</v>
      </c>
      <c r="DW2203" t="s">
        <v>61</v>
      </c>
      <c r="DX2203" s="8">
        <v>43934</v>
      </c>
      <c r="DY2203">
        <v>120</v>
      </c>
      <c r="EA2203">
        <v>15</v>
      </c>
    </row>
    <row r="2204" spans="1:325" ht="20.25">
      <c r="DV2204">
        <v>143</v>
      </c>
      <c r="DW2204" t="s">
        <v>61</v>
      </c>
      <c r="DX2204" s="8">
        <v>43935</v>
      </c>
      <c r="DY2204">
        <v>129</v>
      </c>
      <c r="EA2204">
        <v>18</v>
      </c>
    </row>
    <row r="2205" spans="1:325" ht="20.25">
      <c r="DV2205">
        <v>143</v>
      </c>
      <c r="DW2205" t="s">
        <v>61</v>
      </c>
      <c r="DX2205" s="8">
        <v>43936</v>
      </c>
      <c r="DY2205">
        <v>152</v>
      </c>
      <c r="EA2205">
        <v>24</v>
      </c>
    </row>
    <row r="2206" spans="1:325" ht="20.25">
      <c r="DV2206">
        <v>143</v>
      </c>
      <c r="DW2206" t="s">
        <v>61</v>
      </c>
      <c r="DX2206" s="8">
        <v>43937</v>
      </c>
      <c r="DY2206">
        <v>174</v>
      </c>
      <c r="DZ2206">
        <v>508</v>
      </c>
      <c r="EA2206">
        <v>28</v>
      </c>
    </row>
    <row r="2207" spans="1:325" ht="20.25">
      <c r="DV2207">
        <v>143</v>
      </c>
      <c r="DW2207" t="s">
        <v>61</v>
      </c>
      <c r="DX2207" s="8">
        <v>43938</v>
      </c>
      <c r="DY2207">
        <v>187</v>
      </c>
      <c r="DZ2207">
        <v>546</v>
      </c>
      <c r="EA2207">
        <v>30</v>
      </c>
    </row>
    <row r="2208" spans="1:325" ht="20.25">
      <c r="DV2208">
        <v>143</v>
      </c>
      <c r="DW2208" t="s">
        <v>61</v>
      </c>
      <c r="DX2208" s="8">
        <v>43939</v>
      </c>
      <c r="DY2208">
        <v>196</v>
      </c>
      <c r="DZ2208">
        <v>573</v>
      </c>
      <c r="EA2208">
        <v>32</v>
      </c>
    </row>
    <row r="2209" spans="1:325" ht="20.25">
      <c r="DV2209">
        <v>143</v>
      </c>
      <c r="DW2209" t="s">
        <v>61</v>
      </c>
      <c r="DX2209" s="8">
        <v>43940</v>
      </c>
      <c r="DY2209">
        <v>200</v>
      </c>
      <c r="DZ2209">
        <v>584</v>
      </c>
      <c r="EA2209">
        <v>32</v>
      </c>
    </row>
    <row r="2210" spans="1:325" ht="20.25">
      <c r="DV2210">
        <v>143</v>
      </c>
      <c r="DW2210" t="s">
        <v>61</v>
      </c>
      <c r="DX2210" s="8">
        <v>43941</v>
      </c>
      <c r="DY2210">
        <v>215</v>
      </c>
      <c r="DZ2210">
        <v>628</v>
      </c>
      <c r="EA2210">
        <v>39</v>
      </c>
    </row>
    <row r="2211" spans="1:325" ht="20.25">
      <c r="DV2211">
        <v>143</v>
      </c>
      <c r="DW2211" t="s">
        <v>61</v>
      </c>
      <c r="DX2211" s="8">
        <v>43942</v>
      </c>
      <c r="DY2211">
        <v>216</v>
      </c>
      <c r="DZ2211">
        <v>631</v>
      </c>
      <c r="EA2211">
        <v>40</v>
      </c>
    </row>
    <row r="2212" spans="1:325" ht="20.25">
      <c r="DV2212">
        <v>143</v>
      </c>
      <c r="DW2212" t="s">
        <v>61</v>
      </c>
      <c r="DX2212" s="8">
        <v>43943</v>
      </c>
      <c r="DY2212">
        <v>230</v>
      </c>
      <c r="DZ2212">
        <v>672</v>
      </c>
      <c r="EA2212">
        <v>43</v>
      </c>
    </row>
    <row r="2213" spans="1:325" ht="20.25">
      <c r="DV2213">
        <v>143</v>
      </c>
      <c r="DW2213" t="s">
        <v>61</v>
      </c>
      <c r="DX2213" s="8">
        <v>43944</v>
      </c>
      <c r="DY2213">
        <v>242</v>
      </c>
      <c r="DZ2213">
        <v>707</v>
      </c>
      <c r="EA2213">
        <v>45</v>
      </c>
    </row>
    <row r="2214" spans="1:325" ht="20.25">
      <c r="DV2214">
        <v>143</v>
      </c>
      <c r="DW2214" t="s">
        <v>61</v>
      </c>
      <c r="DX2214" s="8">
        <v>43945</v>
      </c>
      <c r="DY2214">
        <v>265</v>
      </c>
      <c r="DZ2214">
        <v>774</v>
      </c>
      <c r="EA2214">
        <v>46</v>
      </c>
    </row>
    <row r="2215" spans="1:325" ht="20.25">
      <c r="DV2215">
        <v>143</v>
      </c>
      <c r="DW2215" t="s">
        <v>61</v>
      </c>
      <c r="DX2215" s="8">
        <v>43946</v>
      </c>
      <c r="DY2215">
        <v>273</v>
      </c>
      <c r="DZ2215">
        <v>798</v>
      </c>
      <c r="EA2215">
        <v>49</v>
      </c>
    </row>
    <row r="2216" spans="1:325" ht="20.25">
      <c r="DV2216">
        <v>143</v>
      </c>
      <c r="DW2216" t="s">
        <v>61</v>
      </c>
      <c r="DX2216" s="8">
        <v>43947</v>
      </c>
      <c r="DY2216">
        <v>278</v>
      </c>
      <c r="DZ2216">
        <v>812</v>
      </c>
      <c r="EA2216">
        <v>49</v>
      </c>
    </row>
    <row r="2217" spans="1:325" ht="20.25">
      <c r="DV2217">
        <v>143</v>
      </c>
      <c r="DW2217" t="s">
        <v>61</v>
      </c>
      <c r="DX2217" s="8">
        <v>43948</v>
      </c>
      <c r="DY2217">
        <v>288</v>
      </c>
      <c r="DZ2217">
        <v>841</v>
      </c>
      <c r="EA2217">
        <v>49</v>
      </c>
    </row>
    <row r="2218" spans="1:325" ht="20.25">
      <c r="DV2218">
        <v>143</v>
      </c>
      <c r="DW2218" t="s">
        <v>61</v>
      </c>
      <c r="DX2218" s="8">
        <v>43949</v>
      </c>
      <c r="DY2218">
        <v>294</v>
      </c>
      <c r="DZ2218">
        <v>859</v>
      </c>
      <c r="EA2218">
        <v>49</v>
      </c>
    </row>
    <row r="2219" spans="1:325" ht="20.25">
      <c r="DV2219">
        <v>143</v>
      </c>
      <c r="DW2219" t="s">
        <v>61</v>
      </c>
      <c r="DX2219" s="8">
        <v>43950</v>
      </c>
      <c r="DY2219">
        <v>304</v>
      </c>
      <c r="DZ2219">
        <v>888</v>
      </c>
      <c r="EA2219">
        <v>52</v>
      </c>
    </row>
    <row r="2220" spans="1:325" ht="20.25">
      <c r="DV2220">
        <v>143</v>
      </c>
      <c r="DW2220" t="s">
        <v>61</v>
      </c>
      <c r="DX2220" s="8">
        <v>43951</v>
      </c>
      <c r="DY2220">
        <v>320</v>
      </c>
      <c r="DZ2220">
        <v>935</v>
      </c>
      <c r="EA2220">
        <v>53</v>
      </c>
    </row>
    <row r="2221" spans="1:325" ht="20.25">
      <c r="DV2221">
        <v>143</v>
      </c>
      <c r="DW2221" t="s">
        <v>61</v>
      </c>
      <c r="DX2221" s="8">
        <v>43952</v>
      </c>
      <c r="DY2221">
        <v>344</v>
      </c>
      <c r="DZ2221">
        <v>1005</v>
      </c>
      <c r="EA2221">
        <v>57</v>
      </c>
    </row>
    <row r="2222" spans="1:325" ht="20.25">
      <c r="DV2222">
        <v>143</v>
      </c>
      <c r="DW2222" t="s">
        <v>61</v>
      </c>
      <c r="DX2222" s="8">
        <v>43953</v>
      </c>
      <c r="DY2222">
        <v>358</v>
      </c>
      <c r="DZ2222">
        <v>1046</v>
      </c>
      <c r="EA2222">
        <v>59</v>
      </c>
    </row>
    <row r="2223" spans="1:325" ht="20.25">
      <c r="DV2223">
        <v>143</v>
      </c>
      <c r="DW2223" t="s">
        <v>61</v>
      </c>
      <c r="DX2223" s="8">
        <v>43954</v>
      </c>
      <c r="DY2223">
        <v>363</v>
      </c>
      <c r="DZ2223">
        <v>1061</v>
      </c>
      <c r="EA2223">
        <v>62</v>
      </c>
    </row>
    <row r="2224" spans="1:325" ht="20.25">
      <c r="DV2224">
        <v>143</v>
      </c>
      <c r="DW2224" t="s">
        <v>61</v>
      </c>
      <c r="DX2224" s="8">
        <v>43955</v>
      </c>
      <c r="DY2224">
        <v>368</v>
      </c>
      <c r="DZ2224">
        <v>1075</v>
      </c>
      <c r="EA2224">
        <v>64</v>
      </c>
    </row>
    <row r="2225" spans="1:325" ht="20.25">
      <c r="DV2225">
        <v>143</v>
      </c>
      <c r="DW2225" t="s">
        <v>61</v>
      </c>
      <c r="DX2225" s="8">
        <v>43956</v>
      </c>
      <c r="DY2225">
        <v>380</v>
      </c>
      <c r="DZ2225">
        <v>1110</v>
      </c>
      <c r="EA2225">
        <v>67</v>
      </c>
    </row>
    <row r="2226" spans="1:325" ht="20.25">
      <c r="DV2226">
        <v>143</v>
      </c>
      <c r="DW2226" t="s">
        <v>61</v>
      </c>
      <c r="DX2226" s="8">
        <v>43957</v>
      </c>
      <c r="DY2226">
        <v>394</v>
      </c>
      <c r="DZ2226">
        <v>1151</v>
      </c>
      <c r="EA2226">
        <v>69</v>
      </c>
    </row>
    <row r="2227" spans="1:325" ht="20.25">
      <c r="DV2227">
        <v>143</v>
      </c>
      <c r="DW2227" t="s">
        <v>61</v>
      </c>
      <c r="DX2227" s="8">
        <v>43958</v>
      </c>
      <c r="DY2227">
        <v>401</v>
      </c>
      <c r="DZ2227">
        <v>1172</v>
      </c>
      <c r="EA2227">
        <v>68</v>
      </c>
    </row>
    <row r="2228" spans="1:325" ht="20.25">
      <c r="DV2228">
        <v>143</v>
      </c>
      <c r="DW2228" t="s">
        <v>61</v>
      </c>
      <c r="DX2228" s="8">
        <v>43959</v>
      </c>
      <c r="DY2228">
        <v>412</v>
      </c>
      <c r="DZ2228">
        <v>1204</v>
      </c>
      <c r="EA2228">
        <v>69</v>
      </c>
    </row>
    <row r="2229" spans="1:325" ht="20.25">
      <c r="DV2229">
        <v>143</v>
      </c>
      <c r="DW2229" t="s">
        <v>61</v>
      </c>
      <c r="DX2229" s="8">
        <v>43960</v>
      </c>
      <c r="DY2229">
        <v>422</v>
      </c>
      <c r="DZ2229">
        <v>1233</v>
      </c>
      <c r="EA2229">
        <v>70</v>
      </c>
    </row>
    <row r="2230" spans="1:325" ht="20.25">
      <c r="DV2230">
        <v>143</v>
      </c>
      <c r="DW2230" t="s">
        <v>61</v>
      </c>
      <c r="DX2230" s="8">
        <v>43961</v>
      </c>
      <c r="DY2230">
        <v>422</v>
      </c>
      <c r="DZ2230">
        <v>1233</v>
      </c>
      <c r="EA2230">
        <v>71</v>
      </c>
    </row>
    <row r="2231" spans="1:325" ht="20.25">
      <c r="DV2231">
        <v>143</v>
      </c>
      <c r="DW2231" t="s">
        <v>61</v>
      </c>
      <c r="DX2231" s="8">
        <v>43962</v>
      </c>
      <c r="DY2231">
        <v>428</v>
      </c>
      <c r="DZ2231">
        <v>1250</v>
      </c>
      <c r="EA2231">
        <v>71</v>
      </c>
    </row>
    <row r="2232" spans="1:325" ht="20.25">
      <c r="DV2232">
        <v>143</v>
      </c>
      <c r="DW2232" t="s">
        <v>61</v>
      </c>
      <c r="DX2232" s="8">
        <v>43963</v>
      </c>
      <c r="DY2232">
        <v>428</v>
      </c>
      <c r="DZ2232">
        <v>1250</v>
      </c>
      <c r="EA2232">
        <v>73</v>
      </c>
    </row>
    <row r="2233" spans="1:325" ht="20.25">
      <c r="DV2233">
        <v>143</v>
      </c>
      <c r="DW2233" t="s">
        <v>61</v>
      </c>
      <c r="DX2233" s="8">
        <v>43964</v>
      </c>
      <c r="DY2233">
        <v>438</v>
      </c>
      <c r="DZ2233">
        <v>1280</v>
      </c>
      <c r="EA2233">
        <v>76</v>
      </c>
    </row>
    <row r="2234" spans="1:325" ht="20.25">
      <c r="DV2234">
        <v>143</v>
      </c>
      <c r="DW2234" t="s">
        <v>61</v>
      </c>
      <c r="DX2234" s="8">
        <v>43965</v>
      </c>
      <c r="DY2234">
        <v>443</v>
      </c>
      <c r="DZ2234">
        <v>1294</v>
      </c>
      <c r="EA2234">
        <v>76</v>
      </c>
    </row>
    <row r="2235" spans="1:325" ht="20.25">
      <c r="DV2235">
        <v>143</v>
      </c>
      <c r="DW2235" t="s">
        <v>61</v>
      </c>
      <c r="DX2235" s="8">
        <v>43966</v>
      </c>
      <c r="DY2235">
        <v>447</v>
      </c>
      <c r="DZ2235">
        <v>1306</v>
      </c>
      <c r="EA2235">
        <v>76</v>
      </c>
    </row>
    <row r="2236" spans="1:325" ht="20.25">
      <c r="DV2236">
        <v>146</v>
      </c>
      <c r="DW2236" t="s">
        <v>91</v>
      </c>
      <c r="DX2236" s="8">
        <v>43914</v>
      </c>
      <c r="DY2236">
        <v>3</v>
      </c>
      <c r="EA2236">
        <v>0</v>
      </c>
    </row>
    <row r="2237" spans="1:325" ht="20.25">
      <c r="DV2237">
        <v>146</v>
      </c>
      <c r="DW2237" t="s">
        <v>91</v>
      </c>
      <c r="DX2237" s="8">
        <v>43915</v>
      </c>
      <c r="DY2237">
        <v>4</v>
      </c>
      <c r="EA2237">
        <v>0</v>
      </c>
    </row>
    <row r="2238" spans="1:325" ht="20.25">
      <c r="DV2238">
        <v>146</v>
      </c>
      <c r="DW2238" t="s">
        <v>91</v>
      </c>
      <c r="DX2238" s="8">
        <v>43916</v>
      </c>
      <c r="DY2238">
        <v>5</v>
      </c>
      <c r="EA2238">
        <v>0</v>
      </c>
    </row>
    <row r="2239" spans="1:325" ht="20.25">
      <c r="DV2239">
        <v>146</v>
      </c>
      <c r="DW2239" t="s">
        <v>91</v>
      </c>
      <c r="DX2239" s="8">
        <v>43917</v>
      </c>
      <c r="DY2239">
        <v>4</v>
      </c>
      <c r="EA2239">
        <v>0</v>
      </c>
    </row>
    <row r="2240" spans="1:325" ht="20.25">
      <c r="DV2240">
        <v>146</v>
      </c>
      <c r="DW2240" t="s">
        <v>91</v>
      </c>
      <c r="DX2240" s="8">
        <v>43918</v>
      </c>
      <c r="DY2240">
        <v>7</v>
      </c>
      <c r="EA2240">
        <v>0</v>
      </c>
    </row>
    <row r="2241" spans="1:325" ht="20.25">
      <c r="DV2241">
        <v>146</v>
      </c>
      <c r="DW2241" t="s">
        <v>91</v>
      </c>
      <c r="DX2241" s="8">
        <v>43919</v>
      </c>
      <c r="DY2241">
        <v>8</v>
      </c>
      <c r="EA2241">
        <v>0</v>
      </c>
    </row>
    <row r="2242" spans="1:325" ht="20.25">
      <c r="DV2242">
        <v>146</v>
      </c>
      <c r="DW2242" t="s">
        <v>91</v>
      </c>
      <c r="DX2242" s="8">
        <v>43920</v>
      </c>
      <c r="DY2242">
        <v>10</v>
      </c>
      <c r="EA2242">
        <v>0</v>
      </c>
    </row>
    <row r="2243" spans="1:325" ht="20.25">
      <c r="DV2243">
        <v>146</v>
      </c>
      <c r="DW2243" t="s">
        <v>91</v>
      </c>
      <c r="DX2243" s="8">
        <v>43921</v>
      </c>
      <c r="DY2243">
        <v>11</v>
      </c>
      <c r="EA2243">
        <v>0</v>
      </c>
    </row>
    <row r="2244" spans="1:325" ht="20.25">
      <c r="DV2244">
        <v>146</v>
      </c>
      <c r="DW2244" t="s">
        <v>91</v>
      </c>
      <c r="DX2244" s="8">
        <v>43922</v>
      </c>
      <c r="DY2244">
        <v>13</v>
      </c>
      <c r="EA2244">
        <v>0</v>
      </c>
    </row>
    <row r="2245" spans="1:325" ht="20.25">
      <c r="DV2245">
        <v>146</v>
      </c>
      <c r="DW2245" t="s">
        <v>91</v>
      </c>
      <c r="DX2245" s="8">
        <v>43923</v>
      </c>
      <c r="DY2245">
        <v>14</v>
      </c>
      <c r="EA2245">
        <v>0</v>
      </c>
    </row>
    <row r="2246" spans="1:325" ht="20.25">
      <c r="DV2246">
        <v>146</v>
      </c>
      <c r="DW2246" t="s">
        <v>91</v>
      </c>
      <c r="DX2246" s="8">
        <v>43924</v>
      </c>
      <c r="DY2246">
        <v>15</v>
      </c>
      <c r="EA2246">
        <v>0</v>
      </c>
    </row>
    <row r="2247" spans="1:325" ht="20.25">
      <c r="DV2247">
        <v>146</v>
      </c>
      <c r="DW2247" t="s">
        <v>91</v>
      </c>
      <c r="DX2247" s="8">
        <v>43925</v>
      </c>
      <c r="DY2247">
        <v>20</v>
      </c>
      <c r="EA2247">
        <v>0</v>
      </c>
    </row>
    <row r="2248" spans="1:325" ht="20.25">
      <c r="DV2248">
        <v>146</v>
      </c>
      <c r="DW2248" t="s">
        <v>91</v>
      </c>
      <c r="DX2248" s="8">
        <v>43926</v>
      </c>
      <c r="DY2248">
        <v>21</v>
      </c>
      <c r="EA2248">
        <v>0</v>
      </c>
    </row>
    <row r="2249" spans="1:325" ht="20.25">
      <c r="DV2249">
        <v>146</v>
      </c>
      <c r="DW2249" t="s">
        <v>91</v>
      </c>
      <c r="DX2249" s="8">
        <v>43927</v>
      </c>
      <c r="DY2249">
        <v>22</v>
      </c>
      <c r="EA2249">
        <v>0</v>
      </c>
    </row>
    <row r="2250" spans="1:325" ht="20.25">
      <c r="DV2250">
        <v>146</v>
      </c>
      <c r="DW2250" t="s">
        <v>91</v>
      </c>
      <c r="DX2250" s="8">
        <v>43928</v>
      </c>
      <c r="DY2250">
        <v>24</v>
      </c>
      <c r="EA2250">
        <v>0</v>
      </c>
    </row>
    <row r="2251" spans="1:325" ht="20.25">
      <c r="DV2251">
        <v>146</v>
      </c>
      <c r="DW2251" t="s">
        <v>91</v>
      </c>
      <c r="DX2251" s="8">
        <v>43929</v>
      </c>
      <c r="DY2251">
        <v>29</v>
      </c>
      <c r="EA2251">
        <v>0</v>
      </c>
    </row>
    <row r="2252" spans="1:325" ht="20.25">
      <c r="DV2252">
        <v>146</v>
      </c>
      <c r="DW2252" t="s">
        <v>91</v>
      </c>
      <c r="DX2252" s="8">
        <v>43930</v>
      </c>
      <c r="DY2252">
        <v>33</v>
      </c>
      <c r="EA2252">
        <v>0</v>
      </c>
    </row>
    <row r="2253" spans="1:325" ht="20.25">
      <c r="DV2253">
        <v>146</v>
      </c>
      <c r="DW2253" t="s">
        <v>91</v>
      </c>
      <c r="DX2253" s="8">
        <v>43931</v>
      </c>
      <c r="DY2253">
        <v>40</v>
      </c>
      <c r="EA2253">
        <v>0</v>
      </c>
    </row>
    <row r="2254" spans="1:325" ht="20.25">
      <c r="DV2254">
        <v>146</v>
      </c>
      <c r="DW2254" t="s">
        <v>91</v>
      </c>
      <c r="DX2254" s="8">
        <v>43932</v>
      </c>
      <c r="DY2254">
        <v>44</v>
      </c>
      <c r="EA2254">
        <v>0</v>
      </c>
    </row>
    <row r="2255" spans="1:325" ht="20.25">
      <c r="DV2255">
        <v>146</v>
      </c>
      <c r="DW2255" t="s">
        <v>91</v>
      </c>
      <c r="DX2255" s="8">
        <v>43933</v>
      </c>
      <c r="DY2255">
        <v>52</v>
      </c>
      <c r="EA2255">
        <v>1</v>
      </c>
    </row>
    <row r="2256" spans="1:325" ht="20.25">
      <c r="DV2256">
        <v>146</v>
      </c>
      <c r="DW2256" t="s">
        <v>91</v>
      </c>
      <c r="DX2256" s="8">
        <v>43934</v>
      </c>
      <c r="DY2256">
        <v>60</v>
      </c>
      <c r="EA2256">
        <v>1</v>
      </c>
    </row>
    <row r="2257" spans="1:325" ht="20.25">
      <c r="DV2257">
        <v>146</v>
      </c>
      <c r="DW2257" t="s">
        <v>91</v>
      </c>
      <c r="DX2257" s="8">
        <v>43935</v>
      </c>
      <c r="DY2257">
        <v>61</v>
      </c>
      <c r="EA2257">
        <v>2</v>
      </c>
    </row>
    <row r="2258" spans="1:325" ht="20.25">
      <c r="DV2258">
        <v>146</v>
      </c>
      <c r="DW2258" t="s">
        <v>91</v>
      </c>
      <c r="DX2258" s="8">
        <v>43936</v>
      </c>
      <c r="DY2258">
        <v>67</v>
      </c>
      <c r="EA2258">
        <v>2</v>
      </c>
    </row>
    <row r="2259" spans="1:325" ht="20.25">
      <c r="DV2259">
        <v>146</v>
      </c>
      <c r="DW2259" t="s">
        <v>91</v>
      </c>
      <c r="DX2259" s="8">
        <v>43937</v>
      </c>
      <c r="DY2259">
        <v>74</v>
      </c>
      <c r="DZ2259">
        <v>253</v>
      </c>
      <c r="EA2259">
        <v>2</v>
      </c>
    </row>
    <row r="2260" spans="1:325" ht="20.25">
      <c r="DV2260">
        <v>146</v>
      </c>
      <c r="DW2260" t="s">
        <v>91</v>
      </c>
      <c r="DX2260" s="8">
        <v>43938</v>
      </c>
      <c r="DY2260">
        <v>82</v>
      </c>
      <c r="DZ2260">
        <v>280</v>
      </c>
      <c r="EA2260">
        <v>5</v>
      </c>
    </row>
    <row r="2261" spans="1:325" ht="20.25">
      <c r="DV2261">
        <v>146</v>
      </c>
      <c r="DW2261" t="s">
        <v>91</v>
      </c>
      <c r="DX2261" s="8">
        <v>43939</v>
      </c>
      <c r="DY2261">
        <v>87</v>
      </c>
      <c r="DZ2261">
        <v>297</v>
      </c>
      <c r="EA2261">
        <v>5</v>
      </c>
    </row>
    <row r="2262" spans="1:325" ht="20.25">
      <c r="DV2262">
        <v>146</v>
      </c>
      <c r="DW2262" t="s">
        <v>91</v>
      </c>
      <c r="DX2262" s="8">
        <v>43940</v>
      </c>
      <c r="DY2262">
        <v>90</v>
      </c>
      <c r="DZ2262">
        <v>307</v>
      </c>
      <c r="EA2262">
        <v>5</v>
      </c>
    </row>
    <row r="2263" spans="1:325" ht="20.25">
      <c r="DV2263">
        <v>146</v>
      </c>
      <c r="DW2263" t="s">
        <v>91</v>
      </c>
      <c r="DX2263" s="8">
        <v>43941</v>
      </c>
      <c r="DY2263">
        <v>93</v>
      </c>
      <c r="DZ2263">
        <v>317</v>
      </c>
      <c r="EA2263">
        <v>5</v>
      </c>
    </row>
    <row r="2264" spans="1:325" ht="20.25">
      <c r="DV2264">
        <v>146</v>
      </c>
      <c r="DW2264" t="s">
        <v>91</v>
      </c>
      <c r="DX2264" s="8">
        <v>43942</v>
      </c>
      <c r="DY2264">
        <v>94</v>
      </c>
      <c r="DZ2264">
        <v>321</v>
      </c>
      <c r="EA2264">
        <v>6</v>
      </c>
    </row>
    <row r="2265" spans="1:325" ht="20.25">
      <c r="DV2265">
        <v>146</v>
      </c>
      <c r="DW2265" t="s">
        <v>91</v>
      </c>
      <c r="DX2265" s="8">
        <v>43943</v>
      </c>
      <c r="DY2265">
        <v>99</v>
      </c>
      <c r="DZ2265">
        <v>338</v>
      </c>
      <c r="EA2265">
        <v>7</v>
      </c>
    </row>
    <row r="2266" spans="1:325" ht="20.25">
      <c r="DV2266">
        <v>146</v>
      </c>
      <c r="DW2266" t="s">
        <v>91</v>
      </c>
      <c r="DX2266" s="8">
        <v>43944</v>
      </c>
      <c r="DY2266">
        <v>100</v>
      </c>
      <c r="DZ2266">
        <v>341</v>
      </c>
      <c r="EA2266">
        <v>7</v>
      </c>
    </row>
    <row r="2267" spans="1:325" ht="20.25">
      <c r="DV2267">
        <v>146</v>
      </c>
      <c r="DW2267" t="s">
        <v>91</v>
      </c>
      <c r="DX2267" s="8">
        <v>43945</v>
      </c>
      <c r="DY2267">
        <v>100</v>
      </c>
      <c r="DZ2267">
        <v>341</v>
      </c>
      <c r="EA2267">
        <v>6</v>
      </c>
    </row>
    <row r="2268" spans="1:325" ht="20.25">
      <c r="DV2268">
        <v>146</v>
      </c>
      <c r="DW2268" t="s">
        <v>91</v>
      </c>
      <c r="DX2268" s="8">
        <v>43946</v>
      </c>
      <c r="DY2268">
        <v>104</v>
      </c>
      <c r="DZ2268">
        <v>355</v>
      </c>
      <c r="EA2268">
        <v>7</v>
      </c>
    </row>
    <row r="2269" spans="1:325" ht="20.25">
      <c r="DV2269">
        <v>146</v>
      </c>
      <c r="DW2269" t="s">
        <v>91</v>
      </c>
      <c r="DX2269" s="8">
        <v>43947</v>
      </c>
      <c r="DY2269">
        <v>120</v>
      </c>
      <c r="DZ2269">
        <v>410</v>
      </c>
      <c r="EA2269">
        <v>7</v>
      </c>
    </row>
    <row r="2270" spans="1:325" ht="20.25">
      <c r="DV2270">
        <v>146</v>
      </c>
      <c r="DW2270" t="s">
        <v>91</v>
      </c>
      <c r="DX2270" s="8">
        <v>43948</v>
      </c>
      <c r="DY2270">
        <v>122</v>
      </c>
      <c r="DZ2270">
        <v>416</v>
      </c>
      <c r="EA2270">
        <v>7</v>
      </c>
    </row>
    <row r="2271" spans="1:325" ht="20.25">
      <c r="DV2271">
        <v>146</v>
      </c>
      <c r="DW2271" t="s">
        <v>91</v>
      </c>
      <c r="DX2271" s="8">
        <v>43949</v>
      </c>
      <c r="DY2271">
        <v>122</v>
      </c>
      <c r="DZ2271">
        <v>416</v>
      </c>
      <c r="EA2271">
        <v>8</v>
      </c>
    </row>
    <row r="2272" spans="1:325" ht="20.25">
      <c r="DV2272">
        <v>146</v>
      </c>
      <c r="DW2272" t="s">
        <v>91</v>
      </c>
      <c r="DX2272" s="8">
        <v>43950</v>
      </c>
      <c r="DY2272">
        <v>124</v>
      </c>
      <c r="DZ2272">
        <v>423</v>
      </c>
      <c r="EA2272">
        <v>8</v>
      </c>
    </row>
    <row r="2273" spans="1:325" ht="20.25">
      <c r="DV2273">
        <v>146</v>
      </c>
      <c r="DW2273" t="s">
        <v>91</v>
      </c>
      <c r="DX2273" s="8">
        <v>43951</v>
      </c>
      <c r="DY2273">
        <v>124</v>
      </c>
      <c r="DZ2273">
        <v>423</v>
      </c>
      <c r="EA2273">
        <v>8</v>
      </c>
    </row>
    <row r="2274" spans="1:325" ht="20.25">
      <c r="DV2274">
        <v>146</v>
      </c>
      <c r="DW2274" t="s">
        <v>91</v>
      </c>
      <c r="DX2274" s="8">
        <v>43952</v>
      </c>
      <c r="DY2274">
        <v>132</v>
      </c>
      <c r="DZ2274">
        <v>450</v>
      </c>
      <c r="EA2274">
        <v>10</v>
      </c>
    </row>
    <row r="2275" spans="1:325" ht="20.25">
      <c r="DV2275">
        <v>146</v>
      </c>
      <c r="DW2275" t="s">
        <v>91</v>
      </c>
      <c r="DX2275" s="8">
        <v>43953</v>
      </c>
      <c r="DY2275">
        <v>134</v>
      </c>
      <c r="DZ2275">
        <v>457</v>
      </c>
      <c r="EA2275">
        <v>10</v>
      </c>
    </row>
    <row r="2276" spans="1:325" ht="20.25">
      <c r="DV2276">
        <v>146</v>
      </c>
      <c r="DW2276" t="s">
        <v>91</v>
      </c>
      <c r="DX2276" s="8">
        <v>43954</v>
      </c>
      <c r="DY2276">
        <v>136</v>
      </c>
      <c r="DZ2276">
        <v>464</v>
      </c>
      <c r="EA2276">
        <v>10</v>
      </c>
    </row>
    <row r="2277" spans="1:325" ht="20.25">
      <c r="DV2277">
        <v>146</v>
      </c>
      <c r="DW2277" t="s">
        <v>91</v>
      </c>
      <c r="DX2277" s="8">
        <v>43955</v>
      </c>
      <c r="DY2277">
        <v>142</v>
      </c>
      <c r="DZ2277">
        <v>485</v>
      </c>
      <c r="EA2277">
        <v>11</v>
      </c>
    </row>
    <row r="2278" spans="1:325" ht="20.25">
      <c r="DV2278">
        <v>146</v>
      </c>
      <c r="DW2278" t="s">
        <v>91</v>
      </c>
      <c r="DX2278" s="8">
        <v>43956</v>
      </c>
      <c r="DY2278">
        <v>144</v>
      </c>
      <c r="DZ2278">
        <v>491</v>
      </c>
      <c r="EA2278">
        <v>11</v>
      </c>
    </row>
    <row r="2279" spans="1:325" ht="20.25">
      <c r="DV2279">
        <v>146</v>
      </c>
      <c r="DW2279" t="s">
        <v>91</v>
      </c>
      <c r="DX2279" s="8">
        <v>43957</v>
      </c>
      <c r="DY2279">
        <v>145</v>
      </c>
      <c r="DZ2279">
        <v>495</v>
      </c>
      <c r="EA2279">
        <v>12</v>
      </c>
    </row>
    <row r="2280" spans="1:325" ht="20.25">
      <c r="DV2280">
        <v>146</v>
      </c>
      <c r="DW2280" t="s">
        <v>91</v>
      </c>
      <c r="DX2280" s="8">
        <v>43958</v>
      </c>
      <c r="DY2280">
        <v>145</v>
      </c>
      <c r="DZ2280">
        <v>495</v>
      </c>
      <c r="EA2280">
        <v>12</v>
      </c>
    </row>
    <row r="2281" spans="1:325" ht="20.25">
      <c r="DV2281">
        <v>146</v>
      </c>
      <c r="DW2281" t="s">
        <v>91</v>
      </c>
      <c r="DX2281" s="8">
        <v>43959</v>
      </c>
      <c r="DY2281">
        <v>150</v>
      </c>
      <c r="DZ2281">
        <v>512</v>
      </c>
      <c r="EA2281">
        <v>12</v>
      </c>
    </row>
    <row r="2282" spans="1:325" ht="20.25">
      <c r="DV2282">
        <v>146</v>
      </c>
      <c r="DW2282" t="s">
        <v>91</v>
      </c>
      <c r="DX2282" s="8">
        <v>43960</v>
      </c>
      <c r="DY2282">
        <v>151</v>
      </c>
      <c r="DZ2282">
        <v>515</v>
      </c>
      <c r="EA2282">
        <v>13</v>
      </c>
    </row>
    <row r="2283" spans="1:325" ht="20.25">
      <c r="DV2283">
        <v>146</v>
      </c>
      <c r="DW2283" t="s">
        <v>91</v>
      </c>
      <c r="DX2283" s="8">
        <v>43961</v>
      </c>
      <c r="DY2283">
        <v>151</v>
      </c>
      <c r="DZ2283">
        <v>515</v>
      </c>
      <c r="EA2283">
        <v>13</v>
      </c>
    </row>
    <row r="2284" spans="1:325" ht="20.25">
      <c r="DV2284">
        <v>146</v>
      </c>
      <c r="DW2284" t="s">
        <v>91</v>
      </c>
      <c r="DX2284" s="8">
        <v>43962</v>
      </c>
      <c r="DY2284">
        <v>155</v>
      </c>
      <c r="DZ2284">
        <v>529</v>
      </c>
      <c r="EA2284">
        <v>13</v>
      </c>
    </row>
    <row r="2285" spans="1:325" ht="20.25">
      <c r="DV2285">
        <v>146</v>
      </c>
      <c r="DW2285" t="s">
        <v>91</v>
      </c>
      <c r="DX2285" s="8">
        <v>43963</v>
      </c>
      <c r="DY2285">
        <v>155</v>
      </c>
      <c r="DZ2285">
        <v>529</v>
      </c>
      <c r="EA2285">
        <v>15</v>
      </c>
    </row>
    <row r="2286" spans="1:325" ht="20.25">
      <c r="DV2286">
        <v>146</v>
      </c>
      <c r="DW2286" t="s">
        <v>91</v>
      </c>
      <c r="DX2286" s="8">
        <v>43964</v>
      </c>
      <c r="DY2286">
        <v>156</v>
      </c>
      <c r="DZ2286">
        <v>532</v>
      </c>
      <c r="EA2286">
        <v>15</v>
      </c>
    </row>
    <row r="2287" spans="1:325" ht="20.25">
      <c r="DV2287">
        <v>146</v>
      </c>
      <c r="DW2287" t="s">
        <v>91</v>
      </c>
      <c r="DX2287" s="8">
        <v>43965</v>
      </c>
      <c r="DY2287">
        <v>160</v>
      </c>
      <c r="DZ2287">
        <v>546</v>
      </c>
      <c r="EA2287">
        <v>15</v>
      </c>
    </row>
    <row r="2288" spans="1:325" ht="20.25">
      <c r="DV2288">
        <v>146</v>
      </c>
      <c r="DW2288" t="s">
        <v>91</v>
      </c>
      <c r="DX2288" s="8">
        <v>43966</v>
      </c>
      <c r="DY2288">
        <v>163</v>
      </c>
      <c r="DZ2288">
        <v>556</v>
      </c>
      <c r="EA2288">
        <v>15</v>
      </c>
    </row>
    <row r="2289" spans="1:325" ht="20.25">
      <c r="DV2289">
        <v>148</v>
      </c>
      <c r="DW2289" t="s">
        <v>93</v>
      </c>
      <c r="DX2289" s="8">
        <v>43914</v>
      </c>
      <c r="DY2289">
        <v>0</v>
      </c>
      <c r="EA2289">
        <v>0</v>
      </c>
    </row>
    <row r="2290" spans="1:325" ht="20.25">
      <c r="DV2290">
        <v>148</v>
      </c>
      <c r="DW2290" t="s">
        <v>93</v>
      </c>
      <c r="DX2290" s="8">
        <v>43915</v>
      </c>
      <c r="DY2290">
        <v>2</v>
      </c>
      <c r="EA2290">
        <v>0</v>
      </c>
    </row>
    <row r="2291" spans="1:325" ht="20.25">
      <c r="DV2291">
        <v>148</v>
      </c>
      <c r="DW2291" t="s">
        <v>93</v>
      </c>
      <c r="DX2291" s="8">
        <v>43916</v>
      </c>
      <c r="DY2291">
        <v>2</v>
      </c>
      <c r="EA2291">
        <v>0</v>
      </c>
    </row>
    <row r="2292" spans="1:325" ht="20.25">
      <c r="DV2292">
        <v>148</v>
      </c>
      <c r="DW2292" t="s">
        <v>93</v>
      </c>
      <c r="DX2292" s="8">
        <v>43917</v>
      </c>
      <c r="DY2292">
        <v>2</v>
      </c>
      <c r="EA2292">
        <v>0</v>
      </c>
    </row>
    <row r="2293" spans="1:325" ht="20.25">
      <c r="DV2293">
        <v>148</v>
      </c>
      <c r="DW2293" t="s">
        <v>93</v>
      </c>
      <c r="DX2293" s="8">
        <v>43918</v>
      </c>
      <c r="DY2293">
        <v>3</v>
      </c>
      <c r="EA2293">
        <v>0</v>
      </c>
    </row>
    <row r="2294" spans="1:325" ht="20.25">
      <c r="DV2294">
        <v>148</v>
      </c>
      <c r="DW2294" t="s">
        <v>93</v>
      </c>
      <c r="DX2294" s="8">
        <v>43919</v>
      </c>
      <c r="DY2294">
        <v>5</v>
      </c>
      <c r="EA2294">
        <v>0</v>
      </c>
    </row>
    <row r="2295" spans="1:325" ht="20.25">
      <c r="DV2295">
        <v>148</v>
      </c>
      <c r="DW2295" t="s">
        <v>93</v>
      </c>
      <c r="DX2295" s="8">
        <v>43920</v>
      </c>
      <c r="DY2295">
        <v>8</v>
      </c>
      <c r="EA2295">
        <v>0</v>
      </c>
    </row>
    <row r="2296" spans="1:325" ht="20.25">
      <c r="DV2296">
        <v>148</v>
      </c>
      <c r="DW2296" t="s">
        <v>93</v>
      </c>
      <c r="DX2296" s="8">
        <v>43921</v>
      </c>
      <c r="DY2296">
        <v>10</v>
      </c>
      <c r="EA2296">
        <v>1</v>
      </c>
    </row>
    <row r="2297" spans="1:325" ht="20.25">
      <c r="DV2297">
        <v>148</v>
      </c>
      <c r="DW2297" t="s">
        <v>93</v>
      </c>
      <c r="DX2297" s="8">
        <v>43922</v>
      </c>
      <c r="DY2297">
        <v>14</v>
      </c>
      <c r="EA2297">
        <v>1</v>
      </c>
    </row>
    <row r="2298" spans="1:325" ht="20.25">
      <c r="DV2298">
        <v>148</v>
      </c>
      <c r="DW2298" t="s">
        <v>93</v>
      </c>
      <c r="DX2298" s="8">
        <v>43923</v>
      </c>
      <c r="DY2298">
        <v>18</v>
      </c>
      <c r="EA2298">
        <v>1</v>
      </c>
    </row>
    <row r="2299" spans="1:325" ht="20.25">
      <c r="DV2299">
        <v>148</v>
      </c>
      <c r="DW2299" t="s">
        <v>93</v>
      </c>
      <c r="DX2299" s="8">
        <v>43924</v>
      </c>
      <c r="DY2299">
        <v>24</v>
      </c>
      <c r="EA2299">
        <v>0</v>
      </c>
    </row>
    <row r="2300" spans="1:325" ht="20.25">
      <c r="DV2300">
        <v>148</v>
      </c>
      <c r="DW2300" t="s">
        <v>93</v>
      </c>
      <c r="DX2300" s="8">
        <v>43925</v>
      </c>
      <c r="DY2300">
        <v>23</v>
      </c>
      <c r="EA2300">
        <v>2</v>
      </c>
    </row>
    <row r="2301" spans="1:325" ht="20.25">
      <c r="DV2301">
        <v>148</v>
      </c>
      <c r="DW2301" t="s">
        <v>93</v>
      </c>
      <c r="DX2301" s="8">
        <v>43926</v>
      </c>
      <c r="DY2301">
        <v>23</v>
      </c>
      <c r="EA2301">
        <v>2</v>
      </c>
    </row>
    <row r="2302" spans="1:325" ht="20.25">
      <c r="DV2302">
        <v>148</v>
      </c>
      <c r="DW2302" t="s">
        <v>93</v>
      </c>
      <c r="DX2302" s="8">
        <v>43927</v>
      </c>
      <c r="DY2302">
        <v>30</v>
      </c>
      <c r="EA2302">
        <v>2</v>
      </c>
    </row>
    <row r="2303" spans="1:325" ht="20.25">
      <c r="DV2303">
        <v>148</v>
      </c>
      <c r="DW2303" t="s">
        <v>93</v>
      </c>
      <c r="DX2303" s="8">
        <v>43928</v>
      </c>
      <c r="DY2303">
        <v>36</v>
      </c>
      <c r="EA2303">
        <v>2</v>
      </c>
    </row>
    <row r="2304" spans="1:325" ht="20.25">
      <c r="DV2304">
        <v>148</v>
      </c>
      <c r="DW2304" t="s">
        <v>93</v>
      </c>
      <c r="DX2304" s="8">
        <v>43929</v>
      </c>
      <c r="DY2304">
        <v>42</v>
      </c>
      <c r="EA2304">
        <v>2</v>
      </c>
    </row>
    <row r="2305" spans="1:325" ht="20.25">
      <c r="DV2305">
        <v>148</v>
      </c>
      <c r="DW2305" t="s">
        <v>93</v>
      </c>
      <c r="DX2305" s="8">
        <v>43930</v>
      </c>
      <c r="DY2305">
        <v>52</v>
      </c>
      <c r="EA2305">
        <v>2</v>
      </c>
    </row>
    <row r="2306" spans="1:325" ht="20.25">
      <c r="DV2306">
        <v>148</v>
      </c>
      <c r="DW2306" t="s">
        <v>93</v>
      </c>
      <c r="DX2306" s="8">
        <v>43931</v>
      </c>
      <c r="DY2306">
        <v>57</v>
      </c>
      <c r="EA2306">
        <v>3</v>
      </c>
    </row>
    <row r="2307" spans="1:325" ht="20.25">
      <c r="DV2307">
        <v>148</v>
      </c>
      <c r="DW2307" t="s">
        <v>93</v>
      </c>
      <c r="DX2307" s="8">
        <v>43932</v>
      </c>
      <c r="DY2307">
        <v>69</v>
      </c>
      <c r="EA2307">
        <v>3</v>
      </c>
    </row>
    <row r="2308" spans="1:325" ht="20.25">
      <c r="DV2308">
        <v>148</v>
      </c>
      <c r="DW2308" t="s">
        <v>93</v>
      </c>
      <c r="DX2308" s="8">
        <v>43933</v>
      </c>
      <c r="DY2308">
        <v>70</v>
      </c>
      <c r="EA2308">
        <v>3</v>
      </c>
    </row>
    <row r="2309" spans="1:325" ht="20.25">
      <c r="DV2309">
        <v>148</v>
      </c>
      <c r="DW2309" t="s">
        <v>93</v>
      </c>
      <c r="DX2309" s="8">
        <v>43934</v>
      </c>
      <c r="DY2309">
        <v>79</v>
      </c>
      <c r="EA2309">
        <v>3</v>
      </c>
    </row>
    <row r="2310" spans="1:325" ht="20.25">
      <c r="DV2310">
        <v>148</v>
      </c>
      <c r="DW2310" t="s">
        <v>93</v>
      </c>
      <c r="DX2310" s="8">
        <v>43935</v>
      </c>
      <c r="DY2310">
        <v>86</v>
      </c>
      <c r="EA2310">
        <v>3</v>
      </c>
    </row>
    <row r="2311" spans="1:325" ht="20.25">
      <c r="DV2311">
        <v>148</v>
      </c>
      <c r="DW2311" t="s">
        <v>93</v>
      </c>
      <c r="DX2311" s="8">
        <v>43936</v>
      </c>
      <c r="DY2311">
        <v>88</v>
      </c>
      <c r="EA2311">
        <v>3</v>
      </c>
    </row>
    <row r="2312" spans="1:325" ht="20.25">
      <c r="DV2312">
        <v>148</v>
      </c>
      <c r="DW2312" t="s">
        <v>93</v>
      </c>
      <c r="DX2312" s="8">
        <v>43937</v>
      </c>
      <c r="DY2312">
        <v>99</v>
      </c>
      <c r="DZ2312">
        <v>222</v>
      </c>
      <c r="EA2312">
        <v>4</v>
      </c>
    </row>
    <row r="2313" spans="1:325" ht="20.25">
      <c r="DV2313">
        <v>148</v>
      </c>
      <c r="DW2313" t="s">
        <v>93</v>
      </c>
      <c r="DX2313" s="8">
        <v>43938</v>
      </c>
      <c r="DY2313">
        <v>109</v>
      </c>
      <c r="DZ2313">
        <v>245</v>
      </c>
      <c r="EA2313">
        <v>5</v>
      </c>
    </row>
    <row r="2314" spans="1:325" ht="20.25">
      <c r="DV2314">
        <v>148</v>
      </c>
      <c r="DW2314" t="s">
        <v>93</v>
      </c>
      <c r="DX2314" s="8">
        <v>43939</v>
      </c>
      <c r="DY2314">
        <v>114</v>
      </c>
      <c r="DZ2314">
        <v>256</v>
      </c>
      <c r="EA2314">
        <v>5</v>
      </c>
    </row>
    <row r="2315" spans="1:325" ht="20.25">
      <c r="DV2315">
        <v>148</v>
      </c>
      <c r="DW2315" t="s">
        <v>93</v>
      </c>
      <c r="DX2315" s="8">
        <v>43940</v>
      </c>
      <c r="DY2315">
        <v>124</v>
      </c>
      <c r="DZ2315">
        <v>278</v>
      </c>
      <c r="EA2315">
        <v>6</v>
      </c>
    </row>
    <row r="2316" spans="1:325" ht="20.25">
      <c r="DV2316">
        <v>148</v>
      </c>
      <c r="DW2316" t="s">
        <v>93</v>
      </c>
      <c r="DX2316" s="8">
        <v>43941</v>
      </c>
      <c r="DY2316">
        <v>137</v>
      </c>
      <c r="DZ2316">
        <v>308</v>
      </c>
      <c r="EA2316">
        <v>8</v>
      </c>
    </row>
    <row r="2317" spans="1:325" ht="20.25">
      <c r="DV2317">
        <v>148</v>
      </c>
      <c r="DW2317" t="s">
        <v>93</v>
      </c>
      <c r="DX2317" s="8">
        <v>43942</v>
      </c>
      <c r="DY2317">
        <v>143</v>
      </c>
      <c r="DZ2317">
        <v>321</v>
      </c>
      <c r="EA2317">
        <v>8</v>
      </c>
    </row>
    <row r="2318" spans="1:325" ht="20.25">
      <c r="DV2318">
        <v>148</v>
      </c>
      <c r="DW2318" t="s">
        <v>93</v>
      </c>
      <c r="DX2318" s="8">
        <v>43943</v>
      </c>
      <c r="DY2318">
        <v>157</v>
      </c>
      <c r="DZ2318">
        <v>353</v>
      </c>
      <c r="EA2318">
        <v>8</v>
      </c>
    </row>
    <row r="2319" spans="1:325" ht="20.25">
      <c r="DV2319">
        <v>148</v>
      </c>
      <c r="DW2319" t="s">
        <v>93</v>
      </c>
      <c r="DX2319" s="8">
        <v>43944</v>
      </c>
      <c r="DY2319">
        <v>164</v>
      </c>
      <c r="DZ2319">
        <v>368</v>
      </c>
      <c r="EA2319">
        <v>8</v>
      </c>
    </row>
    <row r="2320" spans="1:325" ht="20.25">
      <c r="DV2320">
        <v>148</v>
      </c>
      <c r="DW2320" t="s">
        <v>93</v>
      </c>
      <c r="DX2320" s="8">
        <v>43945</v>
      </c>
      <c r="DY2320">
        <v>185</v>
      </c>
      <c r="DZ2320">
        <v>415</v>
      </c>
      <c r="EA2320">
        <v>11</v>
      </c>
    </row>
    <row r="2321" spans="1:325" ht="20.25">
      <c r="DV2321">
        <v>148</v>
      </c>
      <c r="DW2321" t="s">
        <v>93</v>
      </c>
      <c r="DX2321" s="8">
        <v>43946</v>
      </c>
      <c r="DY2321">
        <v>186</v>
      </c>
      <c r="DZ2321">
        <v>418</v>
      </c>
      <c r="EA2321">
        <v>11</v>
      </c>
    </row>
    <row r="2322" spans="1:325" ht="20.25">
      <c r="DV2322">
        <v>148</v>
      </c>
      <c r="DW2322" t="s">
        <v>93</v>
      </c>
      <c r="DX2322" s="8">
        <v>43947</v>
      </c>
      <c r="DY2322">
        <v>198</v>
      </c>
      <c r="DZ2322">
        <v>445</v>
      </c>
      <c r="EA2322">
        <v>14</v>
      </c>
    </row>
    <row r="2323" spans="1:325" ht="20.25">
      <c r="DV2323">
        <v>148</v>
      </c>
      <c r="DW2323" t="s">
        <v>93</v>
      </c>
      <c r="DX2323" s="8">
        <v>43948</v>
      </c>
      <c r="DY2323">
        <v>210</v>
      </c>
      <c r="DZ2323">
        <v>472</v>
      </c>
      <c r="EA2323">
        <v>15</v>
      </c>
    </row>
    <row r="2324" spans="1:325" ht="20.25">
      <c r="DV2324">
        <v>148</v>
      </c>
      <c r="DW2324" t="s">
        <v>93</v>
      </c>
      <c r="DX2324" s="8">
        <v>43949</v>
      </c>
      <c r="DY2324">
        <v>220</v>
      </c>
      <c r="DZ2324">
        <v>494</v>
      </c>
      <c r="EA2324">
        <v>18</v>
      </c>
    </row>
    <row r="2325" spans="1:325" ht="20.25">
      <c r="DV2325">
        <v>148</v>
      </c>
      <c r="DW2325" t="s">
        <v>93</v>
      </c>
      <c r="DX2325" s="8">
        <v>43950</v>
      </c>
      <c r="DY2325">
        <v>226</v>
      </c>
      <c r="DZ2325">
        <v>507</v>
      </c>
      <c r="EA2325">
        <v>19</v>
      </c>
    </row>
    <row r="2326" spans="1:325" ht="20.25">
      <c r="DV2326">
        <v>148</v>
      </c>
      <c r="DW2326" t="s">
        <v>93</v>
      </c>
      <c r="DX2326" s="8">
        <v>43951</v>
      </c>
      <c r="DY2326">
        <v>249</v>
      </c>
      <c r="DZ2326">
        <v>559</v>
      </c>
      <c r="EA2326">
        <v>20</v>
      </c>
    </row>
    <row r="2327" spans="1:325" ht="20.25">
      <c r="DV2327">
        <v>148</v>
      </c>
      <c r="DW2327" t="s">
        <v>93</v>
      </c>
      <c r="DX2327" s="8">
        <v>43952</v>
      </c>
      <c r="DY2327">
        <v>274</v>
      </c>
      <c r="DZ2327">
        <v>615</v>
      </c>
      <c r="EA2327">
        <v>20</v>
      </c>
    </row>
    <row r="2328" spans="1:325" ht="20.25">
      <c r="DV2328">
        <v>148</v>
      </c>
      <c r="DW2328" t="s">
        <v>93</v>
      </c>
      <c r="DX2328" s="8">
        <v>43953</v>
      </c>
      <c r="DY2328">
        <v>282</v>
      </c>
      <c r="DZ2328">
        <v>633</v>
      </c>
      <c r="EA2328">
        <v>24</v>
      </c>
    </row>
    <row r="2329" spans="1:325" ht="20.25">
      <c r="DV2329">
        <v>148</v>
      </c>
      <c r="DW2329" t="s">
        <v>93</v>
      </c>
      <c r="DX2329" s="8">
        <v>43954</v>
      </c>
      <c r="DY2329">
        <v>283</v>
      </c>
      <c r="DZ2329">
        <v>635</v>
      </c>
      <c r="EA2329">
        <v>24</v>
      </c>
    </row>
    <row r="2330" spans="1:325" ht="20.25">
      <c r="DV2330">
        <v>148</v>
      </c>
      <c r="DW2330" t="s">
        <v>93</v>
      </c>
      <c r="DX2330" s="8">
        <v>43955</v>
      </c>
      <c r="DY2330">
        <v>305</v>
      </c>
      <c r="DZ2330">
        <v>685</v>
      </c>
      <c r="EA2330">
        <v>28</v>
      </c>
    </row>
    <row r="2331" spans="1:325" ht="20.25">
      <c r="DV2331">
        <v>148</v>
      </c>
      <c r="DW2331" t="s">
        <v>93</v>
      </c>
      <c r="DX2331" s="8">
        <v>43956</v>
      </c>
      <c r="DY2331">
        <v>311</v>
      </c>
      <c r="DZ2331">
        <v>698</v>
      </c>
      <c r="EA2331">
        <v>29</v>
      </c>
    </row>
    <row r="2332" spans="1:325" ht="20.25">
      <c r="DV2332">
        <v>148</v>
      </c>
      <c r="DW2332" t="s">
        <v>93</v>
      </c>
      <c r="DX2332" s="8">
        <v>43957</v>
      </c>
      <c r="DY2332">
        <v>324</v>
      </c>
      <c r="DZ2332">
        <v>728</v>
      </c>
      <c r="EA2332">
        <v>31</v>
      </c>
    </row>
    <row r="2333" spans="1:325" ht="20.25">
      <c r="DV2333">
        <v>148</v>
      </c>
      <c r="DW2333" t="s">
        <v>93</v>
      </c>
      <c r="DX2333" s="8">
        <v>43958</v>
      </c>
      <c r="DY2333">
        <v>333</v>
      </c>
      <c r="DZ2333">
        <v>748</v>
      </c>
      <c r="EA2333">
        <v>33</v>
      </c>
    </row>
    <row r="2334" spans="1:325" ht="20.25">
      <c r="DV2334">
        <v>148</v>
      </c>
      <c r="DW2334" t="s">
        <v>93</v>
      </c>
      <c r="DX2334" s="8">
        <v>43959</v>
      </c>
      <c r="DY2334">
        <v>343</v>
      </c>
      <c r="DZ2334">
        <v>770</v>
      </c>
      <c r="EA2334">
        <v>35</v>
      </c>
    </row>
    <row r="2335" spans="1:325" ht="20.25">
      <c r="DV2335">
        <v>148</v>
      </c>
      <c r="DW2335" t="s">
        <v>93</v>
      </c>
      <c r="DX2335" s="8">
        <v>43960</v>
      </c>
      <c r="DY2335">
        <v>348</v>
      </c>
      <c r="DZ2335">
        <v>781</v>
      </c>
      <c r="EA2335">
        <v>38</v>
      </c>
    </row>
    <row r="2336" spans="1:325" ht="20.25">
      <c r="DV2336">
        <v>148</v>
      </c>
      <c r="DW2336" t="s">
        <v>93</v>
      </c>
      <c r="DX2336" s="8">
        <v>43961</v>
      </c>
      <c r="DY2336">
        <v>348</v>
      </c>
      <c r="DZ2336">
        <v>781</v>
      </c>
      <c r="EA2336">
        <v>37</v>
      </c>
    </row>
    <row r="2337" spans="1:325" ht="20.25">
      <c r="DV2337">
        <v>148</v>
      </c>
      <c r="DW2337" t="s">
        <v>93</v>
      </c>
      <c r="DX2337" s="8">
        <v>43962</v>
      </c>
      <c r="DY2337">
        <v>356</v>
      </c>
      <c r="DZ2337">
        <v>799</v>
      </c>
      <c r="EA2337">
        <v>37</v>
      </c>
    </row>
    <row r="2338" spans="1:325" ht="20.25">
      <c r="DV2338">
        <v>148</v>
      </c>
      <c r="DW2338" t="s">
        <v>93</v>
      </c>
      <c r="DX2338" s="8">
        <v>43963</v>
      </c>
      <c r="DY2338">
        <v>368</v>
      </c>
      <c r="DZ2338">
        <v>826</v>
      </c>
      <c r="EA2338">
        <v>41</v>
      </c>
    </row>
    <row r="2339" spans="1:325" ht="20.25">
      <c r="DV2339">
        <v>148</v>
      </c>
      <c r="DW2339" t="s">
        <v>93</v>
      </c>
      <c r="DX2339" s="8">
        <v>43964</v>
      </c>
      <c r="DY2339">
        <v>370</v>
      </c>
      <c r="DZ2339">
        <v>831</v>
      </c>
      <c r="EA2339">
        <v>43</v>
      </c>
    </row>
    <row r="2340" spans="1:325" ht="20.25">
      <c r="DV2340">
        <v>148</v>
      </c>
      <c r="DW2340" t="s">
        <v>93</v>
      </c>
      <c r="DX2340" s="8">
        <v>43965</v>
      </c>
      <c r="DY2340">
        <v>377</v>
      </c>
      <c r="DZ2340">
        <v>847</v>
      </c>
      <c r="EA2340">
        <v>47</v>
      </c>
    </row>
    <row r="2341" spans="1:325" ht="20.25">
      <c r="DV2341">
        <v>148</v>
      </c>
      <c r="DW2341" t="s">
        <v>93</v>
      </c>
      <c r="DX2341" s="8">
        <v>43966</v>
      </c>
      <c r="DY2341">
        <v>382</v>
      </c>
      <c r="DZ2341">
        <v>858</v>
      </c>
      <c r="EA2341">
        <v>50</v>
      </c>
    </row>
    <row r="2342" spans="1:325" ht="20.25">
      <c r="DV2342">
        <v>151</v>
      </c>
      <c r="DW2342" t="s">
        <v>96</v>
      </c>
      <c r="DX2342" s="8">
        <v>43914</v>
      </c>
      <c r="DY2342">
        <v>10</v>
      </c>
      <c r="EA2342">
        <v>0</v>
      </c>
    </row>
    <row r="2343" spans="1:325" ht="20.25">
      <c r="DV2343">
        <v>151</v>
      </c>
      <c r="DW2343" t="s">
        <v>96</v>
      </c>
      <c r="DX2343" s="8">
        <v>43915</v>
      </c>
      <c r="DY2343">
        <v>17</v>
      </c>
      <c r="EA2343">
        <v>0</v>
      </c>
    </row>
    <row r="2344" spans="1:325" ht="20.25">
      <c r="DV2344">
        <v>151</v>
      </c>
      <c r="DW2344" t="s">
        <v>96</v>
      </c>
      <c r="DX2344" s="8">
        <v>43916</v>
      </c>
      <c r="DY2344">
        <v>30</v>
      </c>
      <c r="EA2344">
        <v>0</v>
      </c>
    </row>
    <row r="2345" spans="1:325" ht="20.25">
      <c r="DV2345">
        <v>151</v>
      </c>
      <c r="DW2345" t="s">
        <v>96</v>
      </c>
      <c r="DX2345" s="8">
        <v>43917</v>
      </c>
      <c r="DY2345">
        <v>36</v>
      </c>
      <c r="EA2345">
        <v>0</v>
      </c>
    </row>
    <row r="2346" spans="1:325" ht="20.25">
      <c r="DV2346">
        <v>151</v>
      </c>
      <c r="DW2346" t="s">
        <v>96</v>
      </c>
      <c r="DX2346" s="8">
        <v>43918</v>
      </c>
      <c r="DY2346">
        <v>38</v>
      </c>
      <c r="EA2346">
        <v>0</v>
      </c>
    </row>
    <row r="2347" spans="1:325" ht="20.25">
      <c r="DV2347">
        <v>151</v>
      </c>
      <c r="DW2347" t="s">
        <v>96</v>
      </c>
      <c r="DX2347" s="8">
        <v>43919</v>
      </c>
      <c r="DY2347">
        <v>52</v>
      </c>
      <c r="EA2347">
        <v>0</v>
      </c>
    </row>
    <row r="2348" spans="1:325" ht="20.25">
      <c r="DV2348">
        <v>151</v>
      </c>
      <c r="DW2348" t="s">
        <v>96</v>
      </c>
      <c r="DX2348" s="8">
        <v>43920</v>
      </c>
      <c r="DY2348">
        <v>69</v>
      </c>
      <c r="EA2348">
        <v>0</v>
      </c>
    </row>
    <row r="2349" spans="1:325" ht="20.25">
      <c r="DV2349">
        <v>151</v>
      </c>
      <c r="DW2349" t="s">
        <v>96</v>
      </c>
      <c r="DX2349" s="8">
        <v>43921</v>
      </c>
      <c r="DY2349">
        <v>75</v>
      </c>
      <c r="EA2349">
        <v>0</v>
      </c>
    </row>
    <row r="2350" spans="1:325" ht="20.25">
      <c r="DV2350">
        <v>151</v>
      </c>
      <c r="DW2350" t="s">
        <v>96</v>
      </c>
      <c r="DX2350" s="8">
        <v>43922</v>
      </c>
      <c r="DY2350">
        <v>86</v>
      </c>
      <c r="EA2350">
        <v>0</v>
      </c>
    </row>
    <row r="2351" spans="1:325" ht="20.25">
      <c r="DV2351">
        <v>151</v>
      </c>
      <c r="DW2351" t="s">
        <v>96</v>
      </c>
      <c r="DX2351" s="8">
        <v>43923</v>
      </c>
      <c r="DY2351">
        <v>105</v>
      </c>
      <c r="EA2351">
        <v>0</v>
      </c>
    </row>
    <row r="2352" spans="1:325" ht="20.25">
      <c r="DV2352">
        <v>151</v>
      </c>
      <c r="DW2352" t="s">
        <v>96</v>
      </c>
      <c r="DX2352" s="8">
        <v>43924</v>
      </c>
      <c r="DY2352">
        <v>160</v>
      </c>
      <c r="EA2352">
        <v>2</v>
      </c>
    </row>
    <row r="2353" spans="1:325" ht="20.25">
      <c r="DV2353">
        <v>151</v>
      </c>
      <c r="DW2353" t="s">
        <v>96</v>
      </c>
      <c r="DX2353" s="8">
        <v>43925</v>
      </c>
      <c r="DY2353">
        <v>217</v>
      </c>
      <c r="EA2353">
        <v>3</v>
      </c>
    </row>
    <row r="2354" spans="1:325" ht="20.25">
      <c r="DV2354">
        <v>151</v>
      </c>
      <c r="DW2354" t="s">
        <v>96</v>
      </c>
      <c r="DX2354" s="8">
        <v>43926</v>
      </c>
      <c r="DY2354">
        <v>236</v>
      </c>
      <c r="EA2354">
        <v>6</v>
      </c>
    </row>
    <row r="2355" spans="1:325" ht="20.25">
      <c r="DV2355">
        <v>151</v>
      </c>
      <c r="DW2355" t="s">
        <v>96</v>
      </c>
      <c r="DX2355" s="8">
        <v>43927</v>
      </c>
      <c r="DY2355">
        <v>278</v>
      </c>
      <c r="EA2355">
        <v>7</v>
      </c>
    </row>
    <row r="2356" spans="1:325" ht="20.25">
      <c r="DV2356">
        <v>151</v>
      </c>
      <c r="DW2356" t="s">
        <v>96</v>
      </c>
      <c r="DX2356" s="8">
        <v>43928</v>
      </c>
      <c r="DY2356">
        <v>299</v>
      </c>
      <c r="EA2356">
        <v>12</v>
      </c>
    </row>
    <row r="2357" spans="1:325" ht="20.25">
      <c r="DV2357">
        <v>151</v>
      </c>
      <c r="DW2357" t="s">
        <v>96</v>
      </c>
      <c r="DX2357" s="8">
        <v>43929</v>
      </c>
      <c r="DY2357">
        <v>358</v>
      </c>
      <c r="EA2357">
        <v>14</v>
      </c>
    </row>
    <row r="2358" spans="1:325" ht="20.25">
      <c r="DV2358">
        <v>151</v>
      </c>
      <c r="DW2358" t="s">
        <v>96</v>
      </c>
      <c r="DX2358" s="8">
        <v>43930</v>
      </c>
      <c r="DY2358">
        <v>400</v>
      </c>
      <c r="EA2358">
        <v>17</v>
      </c>
    </row>
    <row r="2359" spans="1:325" ht="20.25">
      <c r="DV2359">
        <v>151</v>
      </c>
      <c r="DW2359" t="s">
        <v>96</v>
      </c>
      <c r="DX2359" s="8">
        <v>43931</v>
      </c>
      <c r="DY2359">
        <v>455</v>
      </c>
      <c r="EA2359">
        <v>20</v>
      </c>
    </row>
    <row r="2360" spans="1:325" ht="20.25">
      <c r="DV2360">
        <v>151</v>
      </c>
      <c r="DW2360" t="s">
        <v>96</v>
      </c>
      <c r="DX2360" s="8">
        <v>43932</v>
      </c>
      <c r="DY2360">
        <v>490</v>
      </c>
      <c r="EA2360">
        <v>21</v>
      </c>
    </row>
    <row r="2361" spans="1:325" ht="20.25">
      <c r="DV2361">
        <v>151</v>
      </c>
      <c r="DW2361" t="s">
        <v>96</v>
      </c>
      <c r="DX2361" s="8">
        <v>43933</v>
      </c>
      <c r="DY2361">
        <v>512</v>
      </c>
      <c r="EA2361">
        <v>26</v>
      </c>
    </row>
    <row r="2362" spans="1:325" ht="20.25">
      <c r="DV2362">
        <v>151</v>
      </c>
      <c r="DW2362" t="s">
        <v>96</v>
      </c>
      <c r="DX2362" s="8">
        <v>43934</v>
      </c>
      <c r="DY2362">
        <v>594</v>
      </c>
      <c r="EA2362">
        <v>30</v>
      </c>
    </row>
    <row r="2363" spans="1:325" ht="20.25">
      <c r="DV2363">
        <v>151</v>
      </c>
      <c r="DW2363" t="s">
        <v>96</v>
      </c>
      <c r="DX2363" s="8">
        <v>43935</v>
      </c>
      <c r="DY2363">
        <v>638</v>
      </c>
      <c r="EA2363">
        <v>38</v>
      </c>
    </row>
    <row r="2364" spans="1:325" ht="20.25">
      <c r="DV2364">
        <v>151</v>
      </c>
      <c r="DW2364" t="s">
        <v>96</v>
      </c>
      <c r="DX2364" s="8">
        <v>43936</v>
      </c>
      <c r="DY2364">
        <v>676</v>
      </c>
      <c r="EA2364">
        <v>45</v>
      </c>
    </row>
    <row r="2365" spans="1:325" ht="20.25">
      <c r="DV2365">
        <v>151</v>
      </c>
      <c r="DW2365" t="s">
        <v>96</v>
      </c>
      <c r="DX2365" s="8">
        <v>43937</v>
      </c>
      <c r="DY2365">
        <v>740</v>
      </c>
      <c r="DZ2365">
        <v>685</v>
      </c>
      <c r="EA2365">
        <v>49</v>
      </c>
    </row>
    <row r="2366" spans="1:325" ht="20.25">
      <c r="DV2366">
        <v>151</v>
      </c>
      <c r="DW2366" t="s">
        <v>96</v>
      </c>
      <c r="DX2366" s="8">
        <v>43938</v>
      </c>
      <c r="DY2366">
        <v>822</v>
      </c>
      <c r="DZ2366">
        <v>760</v>
      </c>
      <c r="EA2366">
        <v>52</v>
      </c>
    </row>
    <row r="2367" spans="1:325" ht="20.25">
      <c r="DV2367">
        <v>151</v>
      </c>
      <c r="DW2367" t="s">
        <v>96</v>
      </c>
      <c r="DX2367" s="8">
        <v>43939</v>
      </c>
      <c r="DY2367">
        <v>837</v>
      </c>
      <c r="DZ2367">
        <v>774</v>
      </c>
      <c r="EA2367">
        <v>57</v>
      </c>
    </row>
    <row r="2368" spans="1:325" ht="20.25">
      <c r="DV2368">
        <v>151</v>
      </c>
      <c r="DW2368" t="s">
        <v>96</v>
      </c>
      <c r="DX2368" s="8">
        <v>43940</v>
      </c>
      <c r="DY2368">
        <v>843</v>
      </c>
      <c r="DZ2368">
        <v>780</v>
      </c>
      <c r="EA2368">
        <v>62</v>
      </c>
    </row>
    <row r="2369" spans="1:325" ht="20.25">
      <c r="DV2369">
        <v>151</v>
      </c>
      <c r="DW2369" t="s">
        <v>96</v>
      </c>
      <c r="DX2369" s="8">
        <v>43941</v>
      </c>
      <c r="DY2369">
        <v>872</v>
      </c>
      <c r="DZ2369">
        <v>807</v>
      </c>
      <c r="EA2369">
        <v>68</v>
      </c>
    </row>
    <row r="2370" spans="1:325" ht="20.25">
      <c r="DV2370">
        <v>151</v>
      </c>
      <c r="DW2370" t="s">
        <v>96</v>
      </c>
      <c r="DX2370" s="8">
        <v>43942</v>
      </c>
      <c r="DY2370">
        <v>907</v>
      </c>
      <c r="DZ2370">
        <v>839</v>
      </c>
      <c r="EA2370">
        <v>74</v>
      </c>
    </row>
    <row r="2371" spans="1:325" ht="20.25">
      <c r="DV2371">
        <v>151</v>
      </c>
      <c r="DW2371" t="s">
        <v>96</v>
      </c>
      <c r="DX2371" s="8">
        <v>43943</v>
      </c>
      <c r="DY2371">
        <v>953</v>
      </c>
      <c r="DZ2371">
        <v>882</v>
      </c>
      <c r="EA2371">
        <v>76</v>
      </c>
    </row>
    <row r="2372" spans="1:325" ht="20.25">
      <c r="DV2372">
        <v>151</v>
      </c>
      <c r="DW2372" t="s">
        <v>96</v>
      </c>
      <c r="DX2372" s="8">
        <v>43944</v>
      </c>
      <c r="DY2372">
        <v>1014</v>
      </c>
      <c r="DZ2372">
        <v>938</v>
      </c>
      <c r="EA2372">
        <v>81</v>
      </c>
    </row>
    <row r="2373" spans="1:325" ht="20.25">
      <c r="DV2373">
        <v>151</v>
      </c>
      <c r="DW2373" t="s">
        <v>96</v>
      </c>
      <c r="DX2373" s="8">
        <v>43945</v>
      </c>
      <c r="DY2373">
        <v>1062</v>
      </c>
      <c r="DZ2373">
        <v>982</v>
      </c>
      <c r="EA2373">
        <v>86</v>
      </c>
    </row>
    <row r="2374" spans="1:325" ht="20.25">
      <c r="DV2374">
        <v>151</v>
      </c>
      <c r="DW2374" t="s">
        <v>96</v>
      </c>
      <c r="DX2374" s="8">
        <v>43946</v>
      </c>
      <c r="DY2374">
        <v>1104</v>
      </c>
      <c r="DZ2374">
        <v>1021</v>
      </c>
      <c r="EA2374">
        <v>91</v>
      </c>
    </row>
    <row r="2375" spans="1:325" ht="20.25">
      <c r="DV2375">
        <v>151</v>
      </c>
      <c r="DW2375" t="s">
        <v>96</v>
      </c>
      <c r="DX2375" s="8">
        <v>43947</v>
      </c>
      <c r="DY2375">
        <v>1131</v>
      </c>
      <c r="DZ2375">
        <v>1046</v>
      </c>
      <c r="EA2375">
        <v>93</v>
      </c>
    </row>
    <row r="2376" spans="1:325" ht="20.25">
      <c r="DV2376">
        <v>151</v>
      </c>
      <c r="DW2376" t="s">
        <v>96</v>
      </c>
      <c r="DX2376" s="8">
        <v>43948</v>
      </c>
      <c r="DY2376">
        <v>1200</v>
      </c>
      <c r="DZ2376">
        <v>1110</v>
      </c>
      <c r="EA2376">
        <v>100</v>
      </c>
    </row>
    <row r="2377" spans="1:325" ht="20.25">
      <c r="DV2377">
        <v>151</v>
      </c>
      <c r="DW2377" t="s">
        <v>96</v>
      </c>
      <c r="DX2377" s="8">
        <v>43949</v>
      </c>
      <c r="DY2377">
        <v>1213</v>
      </c>
      <c r="DZ2377">
        <v>1122</v>
      </c>
      <c r="EA2377">
        <v>102</v>
      </c>
    </row>
    <row r="2378" spans="1:325" ht="20.25">
      <c r="DV2378">
        <v>151</v>
      </c>
      <c r="DW2378" t="s">
        <v>96</v>
      </c>
      <c r="DX2378" s="8">
        <v>43950</v>
      </c>
      <c r="DY2378">
        <v>1236</v>
      </c>
      <c r="DZ2378">
        <v>1143</v>
      </c>
      <c r="EA2378">
        <v>103</v>
      </c>
    </row>
    <row r="2379" spans="1:325" ht="20.25">
      <c r="DV2379">
        <v>151</v>
      </c>
      <c r="DW2379" t="s">
        <v>96</v>
      </c>
      <c r="DX2379" s="8">
        <v>43951</v>
      </c>
      <c r="DY2379">
        <v>1298</v>
      </c>
      <c r="DZ2379">
        <v>1201</v>
      </c>
      <c r="EA2379">
        <v>106</v>
      </c>
    </row>
    <row r="2380" spans="1:325" ht="20.25">
      <c r="DV2380">
        <v>151</v>
      </c>
      <c r="DW2380" t="s">
        <v>96</v>
      </c>
      <c r="DX2380" s="8">
        <v>43952</v>
      </c>
      <c r="DY2380">
        <v>1355</v>
      </c>
      <c r="DZ2380">
        <v>1254</v>
      </c>
      <c r="EA2380">
        <v>107</v>
      </c>
    </row>
    <row r="2381" spans="1:325" ht="20.25">
      <c r="DV2381">
        <v>151</v>
      </c>
      <c r="DW2381" t="s">
        <v>96</v>
      </c>
      <c r="DX2381" s="8">
        <v>43953</v>
      </c>
      <c r="DY2381">
        <v>1388</v>
      </c>
      <c r="DZ2381">
        <v>1284</v>
      </c>
      <c r="EA2381">
        <v>111</v>
      </c>
    </row>
    <row r="2382" spans="1:325" ht="20.25">
      <c r="DV2382">
        <v>151</v>
      </c>
      <c r="DW2382" t="s">
        <v>96</v>
      </c>
      <c r="DX2382" s="8">
        <v>43954</v>
      </c>
      <c r="DY2382">
        <v>1394</v>
      </c>
      <c r="DZ2382">
        <v>1290</v>
      </c>
      <c r="EA2382">
        <v>114</v>
      </c>
    </row>
    <row r="2383" spans="1:325" ht="20.25">
      <c r="DV2383">
        <v>151</v>
      </c>
      <c r="DW2383" t="s">
        <v>96</v>
      </c>
      <c r="DX2383" s="8">
        <v>43955</v>
      </c>
      <c r="DY2383">
        <v>1426</v>
      </c>
      <c r="DZ2383">
        <v>1319</v>
      </c>
      <c r="EA2383">
        <v>117</v>
      </c>
    </row>
    <row r="2384" spans="1:325" ht="20.25">
      <c r="DV2384">
        <v>151</v>
      </c>
      <c r="DW2384" t="s">
        <v>96</v>
      </c>
      <c r="DX2384" s="8">
        <v>43956</v>
      </c>
      <c r="DY2384">
        <v>1438</v>
      </c>
      <c r="DZ2384">
        <v>1330</v>
      </c>
      <c r="EA2384">
        <v>118</v>
      </c>
    </row>
    <row r="2385" spans="1:325" ht="20.25">
      <c r="DV2385">
        <v>151</v>
      </c>
      <c r="DW2385" t="s">
        <v>96</v>
      </c>
      <c r="DX2385" s="8">
        <v>43957</v>
      </c>
      <c r="DY2385">
        <v>1464</v>
      </c>
      <c r="DZ2385">
        <v>1354</v>
      </c>
      <c r="EA2385">
        <v>119</v>
      </c>
    </row>
    <row r="2386" spans="1:325" ht="20.25">
      <c r="DV2386">
        <v>151</v>
      </c>
      <c r="DW2386" t="s">
        <v>96</v>
      </c>
      <c r="DX2386" s="8">
        <v>43958</v>
      </c>
      <c r="DY2386">
        <v>1486</v>
      </c>
      <c r="DZ2386">
        <v>1375</v>
      </c>
      <c r="EA2386">
        <v>119</v>
      </c>
    </row>
    <row r="2387" spans="1:325" ht="20.25">
      <c r="DV2387">
        <v>151</v>
      </c>
      <c r="DW2387" t="s">
        <v>96</v>
      </c>
      <c r="DX2387" s="8">
        <v>43959</v>
      </c>
      <c r="DY2387">
        <v>1496</v>
      </c>
      <c r="DZ2387">
        <v>1384</v>
      </c>
      <c r="EA2387">
        <v>120</v>
      </c>
    </row>
    <row r="2388" spans="1:325" ht="20.25">
      <c r="DV2388">
        <v>151</v>
      </c>
      <c r="DW2388" t="s">
        <v>96</v>
      </c>
      <c r="DX2388" s="8">
        <v>43960</v>
      </c>
      <c r="DY2388">
        <v>1514</v>
      </c>
      <c r="DZ2388">
        <v>1401</v>
      </c>
      <c r="EA2388">
        <v>122</v>
      </c>
    </row>
    <row r="2389" spans="1:325" ht="20.25">
      <c r="DV2389">
        <v>151</v>
      </c>
      <c r="DW2389" t="s">
        <v>96</v>
      </c>
      <c r="DX2389" s="8">
        <v>43961</v>
      </c>
      <c r="DY2389">
        <v>1523</v>
      </c>
      <c r="DZ2389">
        <v>1409</v>
      </c>
      <c r="EA2389">
        <v>128</v>
      </c>
    </row>
    <row r="2390" spans="1:325" ht="20.25">
      <c r="DV2390">
        <v>151</v>
      </c>
      <c r="DW2390" t="s">
        <v>96</v>
      </c>
      <c r="DX2390" s="8">
        <v>43962</v>
      </c>
      <c r="DY2390">
        <v>1547</v>
      </c>
      <c r="DZ2390">
        <v>1431</v>
      </c>
      <c r="EA2390">
        <v>128</v>
      </c>
    </row>
    <row r="2391" spans="1:325" ht="20.25">
      <c r="DV2391">
        <v>151</v>
      </c>
      <c r="DW2391" t="s">
        <v>96</v>
      </c>
      <c r="DX2391" s="8">
        <v>43963</v>
      </c>
      <c r="DY2391">
        <v>1562</v>
      </c>
      <c r="DZ2391">
        <v>1445</v>
      </c>
      <c r="EA2391">
        <v>129</v>
      </c>
    </row>
    <row r="2392" spans="1:325" ht="20.25">
      <c r="DV2392">
        <v>151</v>
      </c>
      <c r="DW2392" t="s">
        <v>96</v>
      </c>
      <c r="DX2392" s="8">
        <v>43964</v>
      </c>
      <c r="DY2392">
        <v>1589</v>
      </c>
      <c r="DZ2392">
        <v>1470</v>
      </c>
      <c r="EA2392">
        <v>134</v>
      </c>
    </row>
    <row r="2393" spans="1:325" ht="20.25">
      <c r="DV2393">
        <v>151</v>
      </c>
      <c r="DW2393" t="s">
        <v>96</v>
      </c>
      <c r="DX2393" s="8">
        <v>43965</v>
      </c>
      <c r="DY2393">
        <v>1611</v>
      </c>
      <c r="DZ2393">
        <v>1490</v>
      </c>
      <c r="EA2393">
        <v>134</v>
      </c>
    </row>
    <row r="2394" spans="1:325" ht="20.25">
      <c r="DV2394">
        <v>151</v>
      </c>
      <c r="DW2394" t="s">
        <v>96</v>
      </c>
      <c r="DX2394" s="8">
        <v>43966</v>
      </c>
      <c r="DY2394">
        <v>1636</v>
      </c>
      <c r="DZ2394">
        <v>1514</v>
      </c>
      <c r="EA2394">
        <v>138</v>
      </c>
    </row>
    <row r="2395" spans="1:325" ht="20.25">
      <c r="DV2395">
        <v>152</v>
      </c>
      <c r="DW2395" t="s">
        <v>98</v>
      </c>
      <c r="DX2395" s="8">
        <v>43914</v>
      </c>
      <c r="DY2395">
        <v>0</v>
      </c>
      <c r="EA2395">
        <v>0</v>
      </c>
    </row>
    <row r="2396" spans="1:325" ht="20.25">
      <c r="DV2396">
        <v>152</v>
      </c>
      <c r="DW2396" t="s">
        <v>98</v>
      </c>
      <c r="DX2396" s="8">
        <v>43915</v>
      </c>
      <c r="DY2396">
        <v>0</v>
      </c>
      <c r="EA2396">
        <v>0</v>
      </c>
    </row>
    <row r="2397" spans="1:325" ht="20.25">
      <c r="DV2397">
        <v>152</v>
      </c>
      <c r="DW2397" t="s">
        <v>98</v>
      </c>
      <c r="DX2397" s="8">
        <v>43916</v>
      </c>
      <c r="DY2397">
        <v>0</v>
      </c>
      <c r="EA2397">
        <v>0</v>
      </c>
    </row>
    <row r="2398" spans="1:325" ht="20.25">
      <c r="DV2398">
        <v>152</v>
      </c>
      <c r="DW2398" t="s">
        <v>98</v>
      </c>
      <c r="DX2398" s="8">
        <v>43917</v>
      </c>
      <c r="DY2398">
        <v>0</v>
      </c>
      <c r="EA2398">
        <v>0</v>
      </c>
    </row>
    <row r="2399" spans="1:325" ht="20.25">
      <c r="DV2399">
        <v>152</v>
      </c>
      <c r="DW2399" t="s">
        <v>98</v>
      </c>
      <c r="DX2399" s="8">
        <v>43918</v>
      </c>
      <c r="DY2399">
        <v>0</v>
      </c>
      <c r="EA2399">
        <v>0</v>
      </c>
    </row>
    <row r="2400" spans="1:325" ht="20.25">
      <c r="DV2400">
        <v>152</v>
      </c>
      <c r="DW2400" t="s">
        <v>98</v>
      </c>
      <c r="DX2400" s="8">
        <v>43919</v>
      </c>
      <c r="DY2400">
        <v>0</v>
      </c>
      <c r="EA2400">
        <v>0</v>
      </c>
    </row>
    <row r="2401" spans="1:325" ht="20.25">
      <c r="DV2401">
        <v>152</v>
      </c>
      <c r="DW2401" t="s">
        <v>98</v>
      </c>
      <c r="DX2401" s="8">
        <v>43920</v>
      </c>
      <c r="DY2401">
        <v>0</v>
      </c>
      <c r="EA2401">
        <v>0</v>
      </c>
    </row>
    <row r="2402" spans="1:325" ht="20.25">
      <c r="DV2402">
        <v>152</v>
      </c>
      <c r="DW2402" t="s">
        <v>98</v>
      </c>
      <c r="DX2402" s="8">
        <v>43921</v>
      </c>
      <c r="DY2402">
        <v>0</v>
      </c>
      <c r="EA2402">
        <v>0</v>
      </c>
    </row>
    <row r="2403" spans="1:325" ht="20.25">
      <c r="DV2403">
        <v>152</v>
      </c>
      <c r="DW2403" t="s">
        <v>98</v>
      </c>
      <c r="DX2403" s="8">
        <v>43922</v>
      </c>
      <c r="DY2403">
        <v>0</v>
      </c>
      <c r="EA2403">
        <v>0</v>
      </c>
    </row>
    <row r="2404" spans="1:325" ht="20.25">
      <c r="DV2404">
        <v>152</v>
      </c>
      <c r="DW2404" t="s">
        <v>98</v>
      </c>
      <c r="DX2404" s="8">
        <v>43923</v>
      </c>
      <c r="DY2404">
        <v>0</v>
      </c>
      <c r="EA2404">
        <v>0</v>
      </c>
    </row>
    <row r="2405" spans="1:325" ht="20.25">
      <c r="DV2405">
        <v>152</v>
      </c>
      <c r="DW2405" t="s">
        <v>98</v>
      </c>
      <c r="DX2405" s="8">
        <v>43924</v>
      </c>
      <c r="DY2405">
        <v>1</v>
      </c>
      <c r="EA2405">
        <v>0</v>
      </c>
    </row>
    <row r="2406" spans="1:325" ht="20.25">
      <c r="DV2406">
        <v>152</v>
      </c>
      <c r="DW2406" t="s">
        <v>98</v>
      </c>
      <c r="DX2406" s="8">
        <v>43925</v>
      </c>
      <c r="DY2406">
        <v>4</v>
      </c>
      <c r="EA2406">
        <v>0</v>
      </c>
    </row>
    <row r="2407" spans="1:325" ht="20.25">
      <c r="DV2407">
        <v>152</v>
      </c>
      <c r="DW2407" t="s">
        <v>98</v>
      </c>
      <c r="DX2407" s="8">
        <v>43926</v>
      </c>
      <c r="DY2407">
        <v>5</v>
      </c>
      <c r="EA2407">
        <v>0</v>
      </c>
    </row>
    <row r="2408" spans="1:325" ht="20.25">
      <c r="DV2408">
        <v>152</v>
      </c>
      <c r="DW2408" t="s">
        <v>98</v>
      </c>
      <c r="DX2408" s="8">
        <v>43927</v>
      </c>
      <c r="DY2408">
        <v>5</v>
      </c>
      <c r="EA2408">
        <v>0</v>
      </c>
    </row>
    <row r="2409" spans="1:325" ht="20.25">
      <c r="DV2409">
        <v>152</v>
      </c>
      <c r="DW2409" t="s">
        <v>98</v>
      </c>
      <c r="DX2409" s="8">
        <v>43928</v>
      </c>
      <c r="DY2409">
        <v>12</v>
      </c>
      <c r="EA2409">
        <v>0</v>
      </c>
    </row>
    <row r="2410" spans="1:325" ht="20.25">
      <c r="DV2410">
        <v>152</v>
      </c>
      <c r="DW2410" t="s">
        <v>98</v>
      </c>
      <c r="DX2410" s="8">
        <v>43929</v>
      </c>
      <c r="DY2410">
        <v>17</v>
      </c>
      <c r="EA2410">
        <v>0</v>
      </c>
    </row>
    <row r="2411" spans="1:325" ht="20.25">
      <c r="DV2411">
        <v>152</v>
      </c>
      <c r="DW2411" t="s">
        <v>98</v>
      </c>
      <c r="DX2411" s="8">
        <v>43930</v>
      </c>
      <c r="DY2411">
        <v>20</v>
      </c>
      <c r="EA2411">
        <v>0</v>
      </c>
    </row>
    <row r="2412" spans="1:325" ht="20.25">
      <c r="DV2412">
        <v>152</v>
      </c>
      <c r="DW2412" t="s">
        <v>98</v>
      </c>
      <c r="DX2412" s="8">
        <v>43931</v>
      </c>
      <c r="DY2412">
        <v>32</v>
      </c>
      <c r="EA2412">
        <v>1</v>
      </c>
    </row>
    <row r="2413" spans="1:325" ht="20.25">
      <c r="DV2413">
        <v>152</v>
      </c>
      <c r="DW2413" t="s">
        <v>98</v>
      </c>
      <c r="DX2413" s="8">
        <v>43932</v>
      </c>
      <c r="DY2413">
        <v>36</v>
      </c>
      <c r="EA2413">
        <v>1</v>
      </c>
    </row>
    <row r="2414" spans="1:325" ht="20.25">
      <c r="DV2414">
        <v>152</v>
      </c>
      <c r="DW2414" t="s">
        <v>98</v>
      </c>
      <c r="DX2414" s="8">
        <v>43933</v>
      </c>
      <c r="DY2414">
        <v>38</v>
      </c>
      <c r="EA2414">
        <v>1</v>
      </c>
    </row>
    <row r="2415" spans="1:325" ht="20.25">
      <c r="DV2415">
        <v>152</v>
      </c>
      <c r="DW2415" t="s">
        <v>98</v>
      </c>
      <c r="DX2415" s="8">
        <v>43934</v>
      </c>
      <c r="DY2415">
        <v>42</v>
      </c>
      <c r="EA2415">
        <v>1</v>
      </c>
    </row>
    <row r="2416" spans="1:325" ht="20.25">
      <c r="DV2416">
        <v>152</v>
      </c>
      <c r="DW2416" t="s">
        <v>98</v>
      </c>
      <c r="DX2416" s="8">
        <v>43935</v>
      </c>
      <c r="DY2416">
        <v>43</v>
      </c>
      <c r="EA2416">
        <v>1</v>
      </c>
    </row>
    <row r="2417" spans="1:325" ht="20.25">
      <c r="DV2417">
        <v>152</v>
      </c>
      <c r="DW2417" t="s">
        <v>98</v>
      </c>
      <c r="DX2417" s="8">
        <v>43936</v>
      </c>
      <c r="DY2417">
        <v>45</v>
      </c>
      <c r="EA2417">
        <v>1</v>
      </c>
    </row>
    <row r="2418" spans="1:325" ht="20.25">
      <c r="DV2418">
        <v>152</v>
      </c>
      <c r="DW2418" t="s">
        <v>98</v>
      </c>
      <c r="DX2418" s="8">
        <v>43937</v>
      </c>
      <c r="DY2418">
        <v>50</v>
      </c>
      <c r="DZ2418">
        <v>265</v>
      </c>
      <c r="EA2418">
        <v>1</v>
      </c>
    </row>
    <row r="2419" spans="1:325" ht="20.25">
      <c r="DV2419">
        <v>152</v>
      </c>
      <c r="DW2419" t="s">
        <v>98</v>
      </c>
      <c r="DX2419" s="8">
        <v>43938</v>
      </c>
      <c r="DY2419">
        <v>54</v>
      </c>
      <c r="DZ2419">
        <v>286</v>
      </c>
      <c r="EA2419">
        <v>2</v>
      </c>
    </row>
    <row r="2420" spans="1:325" ht="20.25">
      <c r="DV2420">
        <v>152</v>
      </c>
      <c r="DW2420" t="s">
        <v>98</v>
      </c>
      <c r="DX2420" s="8">
        <v>43939</v>
      </c>
      <c r="DY2420">
        <v>66</v>
      </c>
      <c r="DZ2420">
        <v>349</v>
      </c>
      <c r="EA2420">
        <v>2</v>
      </c>
    </row>
    <row r="2421" spans="1:325" ht="20.25">
      <c r="DV2421">
        <v>152</v>
      </c>
      <c r="DW2421" t="s">
        <v>98</v>
      </c>
      <c r="DX2421" s="8">
        <v>43940</v>
      </c>
      <c r="DY2421">
        <v>78</v>
      </c>
      <c r="DZ2421">
        <v>413</v>
      </c>
      <c r="EA2421">
        <v>2</v>
      </c>
    </row>
    <row r="2422" spans="1:325" ht="20.25">
      <c r="DV2422">
        <v>152</v>
      </c>
      <c r="DW2422" t="s">
        <v>98</v>
      </c>
      <c r="DX2422" s="8">
        <v>43941</v>
      </c>
      <c r="DY2422">
        <v>82</v>
      </c>
      <c r="DZ2422">
        <v>434</v>
      </c>
      <c r="EA2422">
        <v>4</v>
      </c>
    </row>
    <row r="2423" spans="1:325" ht="20.25">
      <c r="DV2423">
        <v>152</v>
      </c>
      <c r="DW2423" t="s">
        <v>98</v>
      </c>
      <c r="DX2423" s="8">
        <v>43942</v>
      </c>
      <c r="DY2423">
        <v>83</v>
      </c>
      <c r="DZ2423">
        <v>439</v>
      </c>
      <c r="EA2423">
        <v>4</v>
      </c>
    </row>
    <row r="2424" spans="1:325" ht="20.25">
      <c r="DV2424">
        <v>152</v>
      </c>
      <c r="DW2424" t="s">
        <v>98</v>
      </c>
      <c r="DX2424" s="8">
        <v>43943</v>
      </c>
      <c r="DY2424">
        <v>84</v>
      </c>
      <c r="DZ2424">
        <v>445</v>
      </c>
      <c r="EA2424">
        <v>4</v>
      </c>
    </row>
    <row r="2425" spans="1:325" ht="20.25">
      <c r="DV2425">
        <v>152</v>
      </c>
      <c r="DW2425" t="s">
        <v>98</v>
      </c>
      <c r="DX2425" s="8">
        <v>43944</v>
      </c>
      <c r="DY2425">
        <v>91</v>
      </c>
      <c r="DZ2425">
        <v>482</v>
      </c>
      <c r="EA2425">
        <v>7</v>
      </c>
    </row>
    <row r="2426" spans="1:325" ht="20.25">
      <c r="DV2426">
        <v>152</v>
      </c>
      <c r="DW2426" t="s">
        <v>98</v>
      </c>
      <c r="DX2426" s="8">
        <v>43945</v>
      </c>
      <c r="DY2426">
        <v>94</v>
      </c>
      <c r="DZ2426">
        <v>498</v>
      </c>
      <c r="EA2426">
        <v>8</v>
      </c>
    </row>
    <row r="2427" spans="1:325" ht="20.25">
      <c r="DV2427">
        <v>152</v>
      </c>
      <c r="DW2427" t="s">
        <v>98</v>
      </c>
      <c r="DX2427" s="8">
        <v>43946</v>
      </c>
      <c r="DY2427">
        <v>99</v>
      </c>
      <c r="DZ2427">
        <v>524</v>
      </c>
      <c r="EA2427">
        <v>10</v>
      </c>
    </row>
    <row r="2428" spans="1:325" ht="20.25">
      <c r="DV2428">
        <v>152</v>
      </c>
      <c r="DW2428" t="s">
        <v>98</v>
      </c>
      <c r="DX2428" s="8">
        <v>43947</v>
      </c>
      <c r="DY2428">
        <v>99</v>
      </c>
      <c r="DZ2428">
        <v>524</v>
      </c>
      <c r="EA2428">
        <v>10</v>
      </c>
    </row>
    <row r="2429" spans="1:325" ht="20.25">
      <c r="DV2429">
        <v>152</v>
      </c>
      <c r="DW2429" t="s">
        <v>98</v>
      </c>
      <c r="DX2429" s="8">
        <v>43948</v>
      </c>
      <c r="DY2429">
        <v>102</v>
      </c>
      <c r="DZ2429">
        <v>540</v>
      </c>
      <c r="EA2429">
        <v>10</v>
      </c>
    </row>
    <row r="2430" spans="1:325" ht="20.25">
      <c r="DV2430">
        <v>152</v>
      </c>
      <c r="DW2430" t="s">
        <v>98</v>
      </c>
      <c r="DX2430" s="8">
        <v>43949</v>
      </c>
      <c r="DY2430">
        <v>109</v>
      </c>
      <c r="DZ2430">
        <v>577</v>
      </c>
      <c r="EA2430">
        <v>10</v>
      </c>
    </row>
    <row r="2431" spans="1:325" ht="20.25">
      <c r="DV2431">
        <v>152</v>
      </c>
      <c r="DW2431" t="s">
        <v>98</v>
      </c>
      <c r="DX2431" s="8">
        <v>43950</v>
      </c>
      <c r="DY2431">
        <v>111</v>
      </c>
      <c r="DZ2431">
        <v>588</v>
      </c>
      <c r="EA2431">
        <v>10</v>
      </c>
    </row>
    <row r="2432" spans="1:325" ht="20.25">
      <c r="DV2432">
        <v>152</v>
      </c>
      <c r="DW2432" t="s">
        <v>98</v>
      </c>
      <c r="DX2432" s="8">
        <v>43951</v>
      </c>
      <c r="DY2432">
        <v>114</v>
      </c>
      <c r="DZ2432">
        <v>604</v>
      </c>
      <c r="EA2432">
        <v>11</v>
      </c>
    </row>
    <row r="2433" spans="1:325" ht="20.25">
      <c r="DV2433">
        <v>152</v>
      </c>
      <c r="DW2433" t="s">
        <v>98</v>
      </c>
      <c r="DX2433" s="8">
        <v>43952</v>
      </c>
      <c r="DY2433">
        <v>118</v>
      </c>
      <c r="DZ2433">
        <v>625</v>
      </c>
      <c r="EA2433">
        <v>12</v>
      </c>
    </row>
    <row r="2434" spans="1:325" ht="20.25">
      <c r="DV2434">
        <v>152</v>
      </c>
      <c r="DW2434" t="s">
        <v>98</v>
      </c>
      <c r="DX2434" s="8">
        <v>43953</v>
      </c>
      <c r="DY2434">
        <v>117</v>
      </c>
      <c r="DZ2434">
        <v>619</v>
      </c>
      <c r="EA2434">
        <v>11</v>
      </c>
    </row>
    <row r="2435" spans="1:325" ht="20.25">
      <c r="DV2435">
        <v>152</v>
      </c>
      <c r="DW2435" t="s">
        <v>98</v>
      </c>
      <c r="DX2435" s="8">
        <v>43954</v>
      </c>
      <c r="DY2435">
        <v>119</v>
      </c>
      <c r="DZ2435">
        <v>630</v>
      </c>
      <c r="EA2435">
        <v>11</v>
      </c>
    </row>
    <row r="2436" spans="1:325" ht="20.25">
      <c r="DV2436">
        <v>152</v>
      </c>
      <c r="DW2436" t="s">
        <v>98</v>
      </c>
      <c r="DX2436" s="8">
        <v>43955</v>
      </c>
      <c r="DY2436">
        <v>136</v>
      </c>
      <c r="DZ2436">
        <v>720</v>
      </c>
      <c r="EA2436">
        <v>11</v>
      </c>
    </row>
    <row r="2437" spans="1:325" ht="20.25">
      <c r="DV2437">
        <v>152</v>
      </c>
      <c r="DW2437" t="s">
        <v>98</v>
      </c>
      <c r="DX2437" s="8">
        <v>43956</v>
      </c>
      <c r="DY2437">
        <v>136</v>
      </c>
      <c r="DZ2437">
        <v>720</v>
      </c>
      <c r="EA2437">
        <v>11</v>
      </c>
    </row>
    <row r="2438" spans="1:325" ht="20.25">
      <c r="DV2438">
        <v>152</v>
      </c>
      <c r="DW2438" t="s">
        <v>98</v>
      </c>
      <c r="DX2438" s="8">
        <v>43957</v>
      </c>
      <c r="DY2438">
        <v>137</v>
      </c>
      <c r="DZ2438">
        <v>725</v>
      </c>
      <c r="EA2438">
        <v>13</v>
      </c>
    </row>
    <row r="2439" spans="1:325" ht="20.25">
      <c r="DV2439">
        <v>152</v>
      </c>
      <c r="DW2439" t="s">
        <v>98</v>
      </c>
      <c r="DX2439" s="8">
        <v>43958</v>
      </c>
      <c r="DY2439">
        <v>137</v>
      </c>
      <c r="DZ2439">
        <v>725</v>
      </c>
      <c r="EA2439">
        <v>14</v>
      </c>
    </row>
    <row r="2440" spans="1:325" ht="20.25">
      <c r="DV2440">
        <v>152</v>
      </c>
      <c r="DW2440" t="s">
        <v>98</v>
      </c>
      <c r="DX2440" s="8">
        <v>43959</v>
      </c>
      <c r="DY2440">
        <v>138</v>
      </c>
      <c r="DZ2440">
        <v>731</v>
      </c>
      <c r="EA2440">
        <v>16</v>
      </c>
    </row>
    <row r="2441" spans="1:325" ht="20.25">
      <c r="DV2441">
        <v>152</v>
      </c>
      <c r="DW2441" t="s">
        <v>98</v>
      </c>
      <c r="DX2441" s="8">
        <v>43960</v>
      </c>
      <c r="DY2441">
        <v>139</v>
      </c>
      <c r="DZ2441">
        <v>736</v>
      </c>
      <c r="EA2441">
        <v>16</v>
      </c>
    </row>
    <row r="2442" spans="1:325" ht="20.25">
      <c r="DV2442">
        <v>152</v>
      </c>
      <c r="DW2442" t="s">
        <v>98</v>
      </c>
      <c r="DX2442" s="8">
        <v>43961</v>
      </c>
      <c r="DY2442">
        <v>139</v>
      </c>
      <c r="DZ2442">
        <v>736</v>
      </c>
      <c r="EA2442">
        <v>16</v>
      </c>
    </row>
    <row r="2443" spans="1:325" ht="20.25">
      <c r="DV2443">
        <v>152</v>
      </c>
      <c r="DW2443" t="s">
        <v>98</v>
      </c>
      <c r="DX2443" s="8">
        <v>43962</v>
      </c>
      <c r="DY2443">
        <v>141</v>
      </c>
      <c r="DZ2443">
        <v>747</v>
      </c>
      <c r="EA2443">
        <v>17</v>
      </c>
    </row>
    <row r="2444" spans="1:325" ht="20.25">
      <c r="DV2444">
        <v>152</v>
      </c>
      <c r="DW2444" t="s">
        <v>98</v>
      </c>
      <c r="DX2444" s="8">
        <v>43963</v>
      </c>
      <c r="DY2444">
        <v>144</v>
      </c>
      <c r="DZ2444">
        <v>762</v>
      </c>
      <c r="EA2444">
        <v>17</v>
      </c>
    </row>
    <row r="2445" spans="1:325" ht="20.25">
      <c r="DV2445">
        <v>152</v>
      </c>
      <c r="DW2445" t="s">
        <v>98</v>
      </c>
      <c r="DX2445" s="8">
        <v>43964</v>
      </c>
      <c r="DY2445">
        <v>144</v>
      </c>
      <c r="DZ2445">
        <v>762</v>
      </c>
      <c r="EA2445">
        <v>16</v>
      </c>
    </row>
    <row r="2446" spans="1:325" ht="20.25">
      <c r="DV2446">
        <v>152</v>
      </c>
      <c r="DW2446" t="s">
        <v>98</v>
      </c>
      <c r="DX2446" s="8">
        <v>43965</v>
      </c>
      <c r="DY2446">
        <v>145</v>
      </c>
      <c r="DZ2446">
        <v>768</v>
      </c>
      <c r="EA2446">
        <v>16</v>
      </c>
    </row>
    <row r="2447" spans="1:325" ht="20.25">
      <c r="DV2447">
        <v>152</v>
      </c>
      <c r="DW2447" t="s">
        <v>98</v>
      </c>
      <c r="DX2447" s="8">
        <v>43966</v>
      </c>
      <c r="DY2447">
        <v>147</v>
      </c>
      <c r="DZ2447">
        <v>778</v>
      </c>
      <c r="EA2447">
        <v>17</v>
      </c>
    </row>
    <row r="2448" spans="1:325" ht="20.25">
      <c r="DV2448">
        <v>153</v>
      </c>
      <c r="DW2448" t="s">
        <v>64</v>
      </c>
      <c r="DX2448" s="8">
        <v>43914</v>
      </c>
      <c r="DY2448">
        <v>1</v>
      </c>
      <c r="EA2448">
        <v>0</v>
      </c>
    </row>
    <row r="2449" spans="1:325" ht="20.25">
      <c r="DV2449">
        <v>153</v>
      </c>
      <c r="DW2449" t="s">
        <v>64</v>
      </c>
      <c r="DX2449" s="8">
        <v>43915</v>
      </c>
      <c r="DY2449">
        <v>1</v>
      </c>
      <c r="EA2449">
        <v>0</v>
      </c>
    </row>
    <row r="2450" spans="1:325" ht="20.25">
      <c r="DV2450">
        <v>153</v>
      </c>
      <c r="DW2450" t="s">
        <v>64</v>
      </c>
      <c r="DX2450" s="8">
        <v>43916</v>
      </c>
      <c r="DY2450">
        <v>1</v>
      </c>
      <c r="EA2450">
        <v>0</v>
      </c>
    </row>
    <row r="2451" spans="1:325" ht="20.25">
      <c r="DV2451">
        <v>153</v>
      </c>
      <c r="DW2451" t="s">
        <v>64</v>
      </c>
      <c r="DX2451" s="8">
        <v>43917</v>
      </c>
      <c r="DY2451">
        <v>1</v>
      </c>
      <c r="EA2451">
        <v>0</v>
      </c>
    </row>
    <row r="2452" spans="1:325" ht="20.25">
      <c r="DV2452">
        <v>153</v>
      </c>
      <c r="DW2452" t="s">
        <v>64</v>
      </c>
      <c r="DX2452" s="8">
        <v>43918</v>
      </c>
      <c r="DY2452">
        <v>3</v>
      </c>
      <c r="EA2452">
        <v>0</v>
      </c>
    </row>
    <row r="2453" spans="1:325" ht="20.25">
      <c r="DV2453">
        <v>153</v>
      </c>
      <c r="DW2453" t="s">
        <v>64</v>
      </c>
      <c r="DX2453" s="8">
        <v>43919</v>
      </c>
      <c r="DY2453">
        <v>6</v>
      </c>
      <c r="EA2453">
        <v>0</v>
      </c>
    </row>
    <row r="2454" spans="1:325" ht="20.25">
      <c r="DV2454">
        <v>153</v>
      </c>
      <c r="DW2454" t="s">
        <v>64</v>
      </c>
      <c r="DX2454" s="8">
        <v>43920</v>
      </c>
      <c r="DY2454">
        <v>6</v>
      </c>
      <c r="EA2454">
        <v>0</v>
      </c>
    </row>
    <row r="2455" spans="1:325" ht="20.25">
      <c r="DV2455">
        <v>153</v>
      </c>
      <c r="DW2455" t="s">
        <v>64</v>
      </c>
      <c r="DX2455" s="8">
        <v>43921</v>
      </c>
      <c r="DY2455">
        <v>7</v>
      </c>
      <c r="EA2455">
        <v>0</v>
      </c>
    </row>
    <row r="2456" spans="1:325" ht="20.25">
      <c r="DV2456">
        <v>153</v>
      </c>
      <c r="DW2456" t="s">
        <v>64</v>
      </c>
      <c r="DX2456" s="8">
        <v>43922</v>
      </c>
      <c r="DY2456">
        <v>10</v>
      </c>
      <c r="EA2456">
        <v>0</v>
      </c>
    </row>
    <row r="2457" spans="1:325" ht="20.25">
      <c r="DV2457">
        <v>153</v>
      </c>
      <c r="DW2457" t="s">
        <v>64</v>
      </c>
      <c r="DX2457" s="8">
        <v>43923</v>
      </c>
      <c r="DY2457">
        <v>11</v>
      </c>
      <c r="EA2457">
        <v>0</v>
      </c>
    </row>
    <row r="2458" spans="1:325" ht="20.25">
      <c r="DV2458">
        <v>153</v>
      </c>
      <c r="DW2458" t="s">
        <v>64</v>
      </c>
      <c r="DX2458" s="8">
        <v>43924</v>
      </c>
      <c r="DY2458">
        <v>14</v>
      </c>
      <c r="EA2458">
        <v>0</v>
      </c>
    </row>
    <row r="2459" spans="1:325" ht="20.25">
      <c r="DV2459">
        <v>153</v>
      </c>
      <c r="DW2459" t="s">
        <v>64</v>
      </c>
      <c r="DX2459" s="8">
        <v>43925</v>
      </c>
      <c r="DY2459">
        <v>14</v>
      </c>
      <c r="EA2459">
        <v>0</v>
      </c>
    </row>
    <row r="2460" spans="1:325" ht="20.25">
      <c r="DV2460">
        <v>153</v>
      </c>
      <c r="DW2460" t="s">
        <v>64</v>
      </c>
      <c r="DX2460" s="8">
        <v>43926</v>
      </c>
      <c r="DY2460">
        <v>15</v>
      </c>
      <c r="EA2460">
        <v>1</v>
      </c>
    </row>
    <row r="2461" spans="1:325" ht="20.25">
      <c r="DV2461">
        <v>153</v>
      </c>
      <c r="DW2461" t="s">
        <v>64</v>
      </c>
      <c r="DX2461" s="8">
        <v>43927</v>
      </c>
      <c r="DY2461">
        <v>16</v>
      </c>
      <c r="EA2461">
        <v>1</v>
      </c>
    </row>
    <row r="2462" spans="1:325" ht="20.25">
      <c r="DV2462">
        <v>153</v>
      </c>
      <c r="DW2462" t="s">
        <v>64</v>
      </c>
      <c r="DX2462" s="8">
        <v>43928</v>
      </c>
      <c r="DY2462">
        <v>19</v>
      </c>
      <c r="EA2462">
        <v>1</v>
      </c>
    </row>
    <row r="2463" spans="1:325" ht="20.25">
      <c r="DV2463">
        <v>153</v>
      </c>
      <c r="DW2463" t="s">
        <v>64</v>
      </c>
      <c r="DX2463" s="8">
        <v>43929</v>
      </c>
      <c r="DY2463">
        <v>25</v>
      </c>
      <c r="EA2463">
        <v>2</v>
      </c>
    </row>
    <row r="2464" spans="1:325" ht="20.25">
      <c r="DV2464">
        <v>153</v>
      </c>
      <c r="DW2464" t="s">
        <v>64</v>
      </c>
      <c r="DX2464" s="8">
        <v>43930</v>
      </c>
      <c r="DY2464">
        <v>28</v>
      </c>
      <c r="EA2464">
        <v>2</v>
      </c>
    </row>
    <row r="2465" spans="1:325" ht="20.25">
      <c r="DV2465">
        <v>153</v>
      </c>
      <c r="DW2465" t="s">
        <v>64</v>
      </c>
      <c r="DX2465" s="8">
        <v>43931</v>
      </c>
      <c r="DY2465">
        <v>32</v>
      </c>
      <c r="EA2465">
        <v>3</v>
      </c>
    </row>
    <row r="2466" spans="1:325" ht="20.25">
      <c r="DV2466">
        <v>153</v>
      </c>
      <c r="DW2466" t="s">
        <v>64</v>
      </c>
      <c r="DX2466" s="8">
        <v>43932</v>
      </c>
      <c r="DY2466">
        <v>38</v>
      </c>
      <c r="EA2466">
        <v>3</v>
      </c>
    </row>
    <row r="2467" spans="1:325" ht="20.25">
      <c r="DV2467">
        <v>153</v>
      </c>
      <c r="DW2467" t="s">
        <v>64</v>
      </c>
      <c r="DX2467" s="8">
        <v>43933</v>
      </c>
      <c r="DY2467">
        <v>39</v>
      </c>
      <c r="EA2467">
        <v>4</v>
      </c>
    </row>
    <row r="2468" spans="1:325" ht="20.25">
      <c r="DV2468">
        <v>153</v>
      </c>
      <c r="DW2468" t="s">
        <v>64</v>
      </c>
      <c r="DX2468" s="8">
        <v>43934</v>
      </c>
      <c r="DY2468">
        <v>46</v>
      </c>
      <c r="EA2468">
        <v>4</v>
      </c>
    </row>
    <row r="2469" spans="1:325" ht="20.25">
      <c r="DV2469">
        <v>153</v>
      </c>
      <c r="DW2469" t="s">
        <v>64</v>
      </c>
      <c r="DX2469" s="8">
        <v>43935</v>
      </c>
      <c r="DY2469">
        <v>47</v>
      </c>
      <c r="EA2469">
        <v>3</v>
      </c>
    </row>
    <row r="2470" spans="1:325" ht="20.25">
      <c r="DV2470">
        <v>153</v>
      </c>
      <c r="DW2470" t="s">
        <v>64</v>
      </c>
      <c r="DX2470" s="8">
        <v>43936</v>
      </c>
      <c r="DY2470">
        <v>48</v>
      </c>
      <c r="EA2470">
        <v>3</v>
      </c>
    </row>
    <row r="2471" spans="1:325" ht="20.25">
      <c r="DV2471">
        <v>153</v>
      </c>
      <c r="DW2471" t="s">
        <v>64</v>
      </c>
      <c r="DX2471" s="8">
        <v>43937</v>
      </c>
      <c r="DY2471">
        <v>52</v>
      </c>
      <c r="DZ2471">
        <v>240</v>
      </c>
      <c r="EA2471">
        <v>3</v>
      </c>
    </row>
    <row r="2472" spans="1:325" ht="20.25">
      <c r="DV2472">
        <v>153</v>
      </c>
      <c r="DW2472" t="s">
        <v>64</v>
      </c>
      <c r="DX2472" s="8">
        <v>43938</v>
      </c>
      <c r="DY2472">
        <v>53</v>
      </c>
      <c r="DZ2472">
        <v>245</v>
      </c>
      <c r="EA2472">
        <v>3</v>
      </c>
    </row>
    <row r="2473" spans="1:325" ht="20.25">
      <c r="DV2473">
        <v>153</v>
      </c>
      <c r="DW2473" t="s">
        <v>64</v>
      </c>
      <c r="DX2473" s="8">
        <v>43939</v>
      </c>
      <c r="DY2473">
        <v>54</v>
      </c>
      <c r="DZ2473">
        <v>250</v>
      </c>
      <c r="EA2473">
        <v>3</v>
      </c>
    </row>
    <row r="2474" spans="1:325" ht="20.25">
      <c r="DV2474">
        <v>153</v>
      </c>
      <c r="DW2474" t="s">
        <v>64</v>
      </c>
      <c r="DX2474" s="8">
        <v>43940</v>
      </c>
      <c r="DY2474">
        <v>54</v>
      </c>
      <c r="DZ2474">
        <v>250</v>
      </c>
      <c r="EA2474">
        <v>3</v>
      </c>
    </row>
    <row r="2475" spans="1:325" ht="20.25">
      <c r="DV2475">
        <v>153</v>
      </c>
      <c r="DW2475" t="s">
        <v>64</v>
      </c>
      <c r="DX2475" s="8">
        <v>43941</v>
      </c>
      <c r="DY2475">
        <v>54</v>
      </c>
      <c r="DZ2475">
        <v>250</v>
      </c>
      <c r="EA2475">
        <v>3</v>
      </c>
    </row>
    <row r="2476" spans="1:325" ht="20.25">
      <c r="DV2476">
        <v>153</v>
      </c>
      <c r="DW2476" t="s">
        <v>64</v>
      </c>
      <c r="DX2476" s="8">
        <v>43942</v>
      </c>
      <c r="DY2476">
        <v>56</v>
      </c>
      <c r="DZ2476">
        <v>259</v>
      </c>
      <c r="EA2476">
        <v>3</v>
      </c>
    </row>
    <row r="2477" spans="1:325" ht="20.25">
      <c r="DV2477">
        <v>153</v>
      </c>
      <c r="DW2477" t="s">
        <v>64</v>
      </c>
      <c r="DX2477" s="8">
        <v>43943</v>
      </c>
      <c r="DY2477">
        <v>61</v>
      </c>
      <c r="DZ2477">
        <v>282</v>
      </c>
      <c r="EA2477">
        <v>5</v>
      </c>
    </row>
    <row r="2478" spans="1:325" ht="20.25">
      <c r="DV2478">
        <v>153</v>
      </c>
      <c r="DW2478" t="s">
        <v>64</v>
      </c>
      <c r="DX2478" s="8">
        <v>43944</v>
      </c>
      <c r="DY2478">
        <v>63</v>
      </c>
      <c r="DZ2478">
        <v>291</v>
      </c>
      <c r="EA2478">
        <v>5</v>
      </c>
    </row>
    <row r="2479" spans="1:325" ht="20.25">
      <c r="DV2479">
        <v>153</v>
      </c>
      <c r="DW2479" t="s">
        <v>64</v>
      </c>
      <c r="DX2479" s="8">
        <v>43945</v>
      </c>
      <c r="DY2479">
        <v>68</v>
      </c>
      <c r="DZ2479">
        <v>314</v>
      </c>
      <c r="EA2479">
        <v>4</v>
      </c>
    </row>
    <row r="2480" spans="1:325" ht="20.25">
      <c r="DV2480">
        <v>153</v>
      </c>
      <c r="DW2480" t="s">
        <v>64</v>
      </c>
      <c r="DX2480" s="8">
        <v>43946</v>
      </c>
      <c r="DY2480">
        <v>71</v>
      </c>
      <c r="DZ2480">
        <v>328</v>
      </c>
      <c r="EA2480">
        <v>5</v>
      </c>
    </row>
    <row r="2481" spans="1:325" ht="20.25">
      <c r="DV2481">
        <v>153</v>
      </c>
      <c r="DW2481" t="s">
        <v>64</v>
      </c>
      <c r="DX2481" s="8">
        <v>43947</v>
      </c>
      <c r="DY2481">
        <v>73</v>
      </c>
      <c r="DZ2481">
        <v>337</v>
      </c>
      <c r="EA2481">
        <v>5</v>
      </c>
    </row>
    <row r="2482" spans="1:325" ht="20.25">
      <c r="DV2482">
        <v>153</v>
      </c>
      <c r="DW2482" t="s">
        <v>64</v>
      </c>
      <c r="DX2482" s="8">
        <v>43948</v>
      </c>
      <c r="DY2482">
        <v>81</v>
      </c>
      <c r="DZ2482">
        <v>374</v>
      </c>
      <c r="EA2482">
        <v>4</v>
      </c>
    </row>
    <row r="2483" spans="1:325" ht="20.25">
      <c r="DV2483">
        <v>153</v>
      </c>
      <c r="DW2483" t="s">
        <v>64</v>
      </c>
      <c r="DX2483" s="8">
        <v>43949</v>
      </c>
      <c r="DY2483">
        <v>80</v>
      </c>
      <c r="DZ2483">
        <v>370</v>
      </c>
      <c r="EA2483">
        <v>4</v>
      </c>
    </row>
    <row r="2484" spans="1:325" ht="20.25">
      <c r="DV2484">
        <v>153</v>
      </c>
      <c r="DW2484" t="s">
        <v>64</v>
      </c>
      <c r="DX2484" s="8">
        <v>43950</v>
      </c>
      <c r="DY2484">
        <v>81</v>
      </c>
      <c r="DZ2484">
        <v>374</v>
      </c>
      <c r="EA2484">
        <v>4</v>
      </c>
    </row>
    <row r="2485" spans="1:325" ht="20.25">
      <c r="DV2485">
        <v>153</v>
      </c>
      <c r="DW2485" t="s">
        <v>64</v>
      </c>
      <c r="DX2485" s="8">
        <v>43951</v>
      </c>
      <c r="DY2485">
        <v>87</v>
      </c>
      <c r="DZ2485">
        <v>402</v>
      </c>
      <c r="EA2485">
        <v>4</v>
      </c>
    </row>
    <row r="2486" spans="1:325" ht="20.25">
      <c r="DV2486">
        <v>153</v>
      </c>
      <c r="DW2486" t="s">
        <v>64</v>
      </c>
      <c r="DX2486" s="8">
        <v>43952</v>
      </c>
      <c r="DY2486">
        <v>93</v>
      </c>
      <c r="DZ2486">
        <v>430</v>
      </c>
      <c r="EA2486">
        <v>4</v>
      </c>
    </row>
    <row r="2487" spans="1:325" ht="20.25">
      <c r="DV2487">
        <v>153</v>
      </c>
      <c r="DW2487" t="s">
        <v>64</v>
      </c>
      <c r="DX2487" s="8">
        <v>43953</v>
      </c>
      <c r="DY2487">
        <v>94</v>
      </c>
      <c r="DZ2487">
        <v>434</v>
      </c>
      <c r="EA2487">
        <v>4</v>
      </c>
    </row>
    <row r="2488" spans="1:325" ht="20.25">
      <c r="DV2488">
        <v>153</v>
      </c>
      <c r="DW2488" t="s">
        <v>64</v>
      </c>
      <c r="DX2488" s="8">
        <v>43954</v>
      </c>
      <c r="DY2488">
        <v>96</v>
      </c>
      <c r="DZ2488">
        <v>444</v>
      </c>
      <c r="EA2488">
        <v>4</v>
      </c>
    </row>
    <row r="2489" spans="1:325" ht="20.25">
      <c r="DV2489">
        <v>153</v>
      </c>
      <c r="DW2489" t="s">
        <v>64</v>
      </c>
      <c r="DX2489" s="8">
        <v>43955</v>
      </c>
      <c r="DY2489">
        <v>103</v>
      </c>
      <c r="DZ2489">
        <v>476</v>
      </c>
      <c r="EA2489">
        <v>4</v>
      </c>
    </row>
    <row r="2490" spans="1:325" ht="20.25">
      <c r="DV2490">
        <v>153</v>
      </c>
      <c r="DW2490" t="s">
        <v>64</v>
      </c>
      <c r="DX2490" s="8">
        <v>43956</v>
      </c>
      <c r="DY2490">
        <v>104</v>
      </c>
      <c r="DZ2490">
        <v>481</v>
      </c>
      <c r="EA2490">
        <v>4</v>
      </c>
    </row>
    <row r="2491" spans="1:325" ht="20.25">
      <c r="DV2491">
        <v>153</v>
      </c>
      <c r="DW2491" t="s">
        <v>64</v>
      </c>
      <c r="DX2491" s="8">
        <v>43957</v>
      </c>
      <c r="DY2491">
        <v>109</v>
      </c>
      <c r="DZ2491">
        <v>504</v>
      </c>
      <c r="EA2491">
        <v>4</v>
      </c>
    </row>
    <row r="2492" spans="1:325" ht="20.25">
      <c r="DV2492">
        <v>153</v>
      </c>
      <c r="DW2492" t="s">
        <v>64</v>
      </c>
      <c r="DX2492" s="8">
        <v>43958</v>
      </c>
      <c r="DY2492">
        <v>110</v>
      </c>
      <c r="DZ2492">
        <v>508</v>
      </c>
      <c r="EA2492">
        <v>4</v>
      </c>
    </row>
    <row r="2493" spans="1:325" ht="20.25">
      <c r="DV2493">
        <v>153</v>
      </c>
      <c r="DW2493" t="s">
        <v>64</v>
      </c>
      <c r="DX2493" s="8">
        <v>43959</v>
      </c>
      <c r="DY2493">
        <v>109</v>
      </c>
      <c r="DZ2493">
        <v>504</v>
      </c>
      <c r="EA2493">
        <v>4</v>
      </c>
    </row>
    <row r="2494" spans="1:325" ht="20.25">
      <c r="DV2494">
        <v>153</v>
      </c>
      <c r="DW2494" t="s">
        <v>64</v>
      </c>
      <c r="DX2494" s="8">
        <v>43960</v>
      </c>
      <c r="DY2494">
        <v>111</v>
      </c>
      <c r="DZ2494">
        <v>513</v>
      </c>
      <c r="EA2494">
        <v>4</v>
      </c>
    </row>
    <row r="2495" spans="1:325" ht="20.25">
      <c r="DV2495">
        <v>153</v>
      </c>
      <c r="DW2495" t="s">
        <v>64</v>
      </c>
      <c r="DX2495" s="8">
        <v>43961</v>
      </c>
      <c r="DY2495">
        <v>113</v>
      </c>
      <c r="DZ2495">
        <v>522</v>
      </c>
      <c r="EA2495">
        <v>4</v>
      </c>
    </row>
    <row r="2496" spans="1:325" ht="20.25">
      <c r="DV2496">
        <v>153</v>
      </c>
      <c r="DW2496" t="s">
        <v>64</v>
      </c>
      <c r="DX2496" s="8">
        <v>43962</v>
      </c>
      <c r="DY2496">
        <v>114</v>
      </c>
      <c r="DZ2496">
        <v>527</v>
      </c>
      <c r="EA2496">
        <v>4</v>
      </c>
    </row>
    <row r="2497" spans="1:325" ht="20.25">
      <c r="DV2497">
        <v>153</v>
      </c>
      <c r="DW2497" t="s">
        <v>64</v>
      </c>
      <c r="DX2497" s="8">
        <v>43963</v>
      </c>
      <c r="DY2497">
        <v>116</v>
      </c>
      <c r="DZ2497">
        <v>536</v>
      </c>
      <c r="EA2497">
        <v>4</v>
      </c>
    </row>
    <row r="2498" spans="1:325" ht="20.25">
      <c r="DV2498">
        <v>153</v>
      </c>
      <c r="DW2498" t="s">
        <v>64</v>
      </c>
      <c r="DX2498" s="8">
        <v>43964</v>
      </c>
      <c r="DY2498">
        <v>117</v>
      </c>
      <c r="DZ2498">
        <v>541</v>
      </c>
      <c r="EA2498">
        <v>4</v>
      </c>
    </row>
    <row r="2499" spans="1:325" ht="20.25">
      <c r="DV2499">
        <v>153</v>
      </c>
      <c r="DW2499" t="s">
        <v>64</v>
      </c>
      <c r="DX2499" s="8">
        <v>43965</v>
      </c>
      <c r="DY2499">
        <v>119</v>
      </c>
      <c r="DZ2499">
        <v>550</v>
      </c>
      <c r="EA2499">
        <v>4</v>
      </c>
    </row>
    <row r="2500" spans="1:325" ht="20.25">
      <c r="DV2500">
        <v>153</v>
      </c>
      <c r="DW2500" t="s">
        <v>64</v>
      </c>
      <c r="DX2500" s="8">
        <v>43966</v>
      </c>
      <c r="DY2500">
        <v>122</v>
      </c>
      <c r="DZ2500">
        <v>564</v>
      </c>
      <c r="EA2500">
        <v>4</v>
      </c>
    </row>
    <row r="2501" spans="1:325" ht="20.25">
      <c r="DV2501">
        <v>155</v>
      </c>
      <c r="DW2501" t="s">
        <v>99</v>
      </c>
      <c r="DX2501" s="8">
        <v>43914</v>
      </c>
      <c r="DY2501">
        <v>6</v>
      </c>
      <c r="EA2501">
        <v>0</v>
      </c>
    </row>
    <row r="2502" spans="1:325" ht="20.25">
      <c r="DV2502">
        <v>155</v>
      </c>
      <c r="DW2502" t="s">
        <v>99</v>
      </c>
      <c r="DX2502" s="8">
        <v>43915</v>
      </c>
      <c r="DY2502">
        <v>6</v>
      </c>
      <c r="EA2502">
        <v>0</v>
      </c>
    </row>
    <row r="2503" spans="1:325" ht="20.25">
      <c r="DV2503">
        <v>155</v>
      </c>
      <c r="DW2503" t="s">
        <v>99</v>
      </c>
      <c r="DX2503" s="8">
        <v>43916</v>
      </c>
      <c r="DY2503">
        <v>6</v>
      </c>
      <c r="EA2503">
        <v>0</v>
      </c>
    </row>
    <row r="2504" spans="1:325" ht="20.25">
      <c r="DV2504">
        <v>155</v>
      </c>
      <c r="DW2504" t="s">
        <v>99</v>
      </c>
      <c r="DX2504" s="8">
        <v>43917</v>
      </c>
      <c r="DY2504">
        <v>9</v>
      </c>
      <c r="EA2504">
        <v>0</v>
      </c>
    </row>
    <row r="2505" spans="1:325" ht="20.25">
      <c r="DV2505">
        <v>155</v>
      </c>
      <c r="DW2505" t="s">
        <v>99</v>
      </c>
      <c r="DX2505" s="8">
        <v>43918</v>
      </c>
      <c r="DY2505">
        <v>9</v>
      </c>
      <c r="EA2505">
        <v>0</v>
      </c>
    </row>
    <row r="2506" spans="1:325" ht="20.25">
      <c r="DV2506">
        <v>155</v>
      </c>
      <c r="DW2506" t="s">
        <v>99</v>
      </c>
      <c r="DX2506" s="8">
        <v>43919</v>
      </c>
      <c r="DY2506">
        <v>9</v>
      </c>
      <c r="EA2506">
        <v>0</v>
      </c>
    </row>
    <row r="2507" spans="1:325" ht="20.25">
      <c r="DV2507">
        <v>155</v>
      </c>
      <c r="DW2507" t="s">
        <v>99</v>
      </c>
      <c r="DX2507" s="8">
        <v>43920</v>
      </c>
      <c r="DY2507">
        <v>12</v>
      </c>
      <c r="EA2507">
        <v>0</v>
      </c>
    </row>
    <row r="2508" spans="1:325" ht="20.25">
      <c r="DV2508">
        <v>155</v>
      </c>
      <c r="DW2508" t="s">
        <v>99</v>
      </c>
      <c r="DX2508" s="8">
        <v>43921</v>
      </c>
      <c r="DY2508">
        <v>20</v>
      </c>
      <c r="EA2508">
        <v>0</v>
      </c>
    </row>
    <row r="2509" spans="1:325" ht="20.25">
      <c r="DV2509">
        <v>155</v>
      </c>
      <c r="DW2509" t="s">
        <v>99</v>
      </c>
      <c r="DX2509" s="8">
        <v>43922</v>
      </c>
      <c r="DY2509">
        <v>23</v>
      </c>
      <c r="EA2509">
        <v>0</v>
      </c>
    </row>
    <row r="2510" spans="1:325" ht="20.25">
      <c r="DV2510">
        <v>155</v>
      </c>
      <c r="DW2510" t="s">
        <v>99</v>
      </c>
      <c r="DX2510" s="8">
        <v>43923</v>
      </c>
      <c r="DY2510">
        <v>24</v>
      </c>
      <c r="EA2510">
        <v>1</v>
      </c>
    </row>
    <row r="2511" spans="1:325" ht="20.25">
      <c r="DV2511">
        <v>155</v>
      </c>
      <c r="DW2511" t="s">
        <v>99</v>
      </c>
      <c r="DX2511" s="8">
        <v>43924</v>
      </c>
      <c r="DY2511">
        <v>36</v>
      </c>
      <c r="EA2511">
        <v>1</v>
      </c>
    </row>
    <row r="2512" spans="1:325" ht="20.25">
      <c r="DV2512">
        <v>155</v>
      </c>
      <c r="DW2512" t="s">
        <v>99</v>
      </c>
      <c r="DX2512" s="8">
        <v>43925</v>
      </c>
      <c r="DY2512">
        <v>36</v>
      </c>
      <c r="EA2512">
        <v>1</v>
      </c>
    </row>
    <row r="2513" spans="1:325" ht="20.25">
      <c r="DV2513">
        <v>155</v>
      </c>
      <c r="DW2513" t="s">
        <v>99</v>
      </c>
      <c r="DX2513" s="8">
        <v>43926</v>
      </c>
      <c r="DY2513">
        <v>36</v>
      </c>
      <c r="EA2513">
        <v>1</v>
      </c>
    </row>
    <row r="2514" spans="1:325" ht="20.25">
      <c r="DV2514">
        <v>155</v>
      </c>
      <c r="DW2514" t="s">
        <v>99</v>
      </c>
      <c r="DX2514" s="8">
        <v>43927</v>
      </c>
      <c r="DY2514">
        <v>43</v>
      </c>
      <c r="EA2514">
        <v>1</v>
      </c>
    </row>
    <row r="2515" spans="1:325" ht="20.25">
      <c r="DV2515">
        <v>155</v>
      </c>
      <c r="DW2515" t="s">
        <v>99</v>
      </c>
      <c r="DX2515" s="8">
        <v>43928</v>
      </c>
      <c r="DY2515">
        <v>51</v>
      </c>
      <c r="EA2515">
        <v>2</v>
      </c>
    </row>
    <row r="2516" spans="1:325" ht="20.25">
      <c r="DV2516">
        <v>155</v>
      </c>
      <c r="DW2516" t="s">
        <v>99</v>
      </c>
      <c r="DX2516" s="8">
        <v>43929</v>
      </c>
      <c r="DY2516">
        <v>66</v>
      </c>
      <c r="EA2516">
        <v>2</v>
      </c>
    </row>
    <row r="2517" spans="1:325" ht="20.25">
      <c r="DV2517">
        <v>155</v>
      </c>
      <c r="DW2517" t="s">
        <v>99</v>
      </c>
      <c r="DX2517" s="8">
        <v>43930</v>
      </c>
      <c r="DY2517">
        <v>69</v>
      </c>
      <c r="EA2517">
        <v>2</v>
      </c>
    </row>
    <row r="2518" spans="1:325" ht="20.25">
      <c r="DV2518">
        <v>155</v>
      </c>
      <c r="DW2518" t="s">
        <v>99</v>
      </c>
      <c r="DX2518" s="8">
        <v>43931</v>
      </c>
      <c r="DY2518">
        <v>75</v>
      </c>
      <c r="EA2518">
        <v>3</v>
      </c>
    </row>
    <row r="2519" spans="1:325" ht="20.25">
      <c r="DV2519">
        <v>155</v>
      </c>
      <c r="DW2519" t="s">
        <v>99</v>
      </c>
      <c r="DX2519" s="8">
        <v>43932</v>
      </c>
      <c r="DY2519">
        <v>88</v>
      </c>
      <c r="EA2519">
        <v>6</v>
      </c>
    </row>
    <row r="2520" spans="1:325" ht="20.25">
      <c r="DV2520">
        <v>155</v>
      </c>
      <c r="DW2520" t="s">
        <v>99</v>
      </c>
      <c r="DX2520" s="8">
        <v>43933</v>
      </c>
      <c r="DY2520">
        <v>92</v>
      </c>
      <c r="EA2520">
        <v>8</v>
      </c>
    </row>
    <row r="2521" spans="1:325" ht="20.25">
      <c r="DV2521">
        <v>155</v>
      </c>
      <c r="DW2521" t="s">
        <v>99</v>
      </c>
      <c r="DX2521" s="8">
        <v>43934</v>
      </c>
      <c r="DY2521">
        <v>114</v>
      </c>
      <c r="EA2521">
        <v>12</v>
      </c>
    </row>
    <row r="2522" spans="1:325" ht="20.25">
      <c r="DV2522">
        <v>155</v>
      </c>
      <c r="DW2522" t="s">
        <v>99</v>
      </c>
      <c r="DX2522" s="8">
        <v>43935</v>
      </c>
      <c r="DY2522">
        <v>121</v>
      </c>
      <c r="EA2522">
        <v>12</v>
      </c>
    </row>
    <row r="2523" spans="1:325" ht="20.25">
      <c r="DV2523">
        <v>155</v>
      </c>
      <c r="DW2523" t="s">
        <v>99</v>
      </c>
      <c r="DX2523" s="8">
        <v>43936</v>
      </c>
      <c r="DY2523">
        <v>142</v>
      </c>
      <c r="EA2523">
        <v>17</v>
      </c>
    </row>
    <row r="2524" spans="1:325" ht="20.25">
      <c r="DV2524">
        <v>155</v>
      </c>
      <c r="DW2524" t="s">
        <v>99</v>
      </c>
      <c r="DX2524" s="8">
        <v>43937</v>
      </c>
      <c r="DY2524">
        <v>154</v>
      </c>
      <c r="DZ2524">
        <v>245</v>
      </c>
      <c r="EA2524">
        <v>18</v>
      </c>
    </row>
    <row r="2525" spans="1:325" ht="20.25">
      <c r="DV2525">
        <v>155</v>
      </c>
      <c r="DW2525" t="s">
        <v>99</v>
      </c>
      <c r="DX2525" s="8">
        <v>43938</v>
      </c>
      <c r="DY2525">
        <v>162</v>
      </c>
      <c r="DZ2525">
        <v>257</v>
      </c>
      <c r="EA2525">
        <v>19</v>
      </c>
    </row>
    <row r="2526" spans="1:325" ht="20.25">
      <c r="DV2526">
        <v>155</v>
      </c>
      <c r="DW2526" t="s">
        <v>99</v>
      </c>
      <c r="DX2526" s="8">
        <v>43939</v>
      </c>
      <c r="DY2526">
        <v>168</v>
      </c>
      <c r="DZ2526">
        <v>267</v>
      </c>
      <c r="EA2526">
        <v>19</v>
      </c>
    </row>
    <row r="2527" spans="1:325" ht="20.25">
      <c r="DV2527">
        <v>155</v>
      </c>
      <c r="DW2527" t="s">
        <v>99</v>
      </c>
      <c r="DX2527" s="8">
        <v>43940</v>
      </c>
      <c r="DY2527">
        <v>174</v>
      </c>
      <c r="DZ2527">
        <v>276</v>
      </c>
      <c r="EA2527">
        <v>19</v>
      </c>
    </row>
    <row r="2528" spans="1:325" ht="20.25">
      <c r="DV2528">
        <v>155</v>
      </c>
      <c r="DW2528" t="s">
        <v>99</v>
      </c>
      <c r="DX2528" s="8">
        <v>43941</v>
      </c>
      <c r="DY2528">
        <v>192</v>
      </c>
      <c r="DZ2528">
        <v>305</v>
      </c>
      <c r="EA2528">
        <v>20</v>
      </c>
    </row>
    <row r="2529" spans="1:325" ht="20.25">
      <c r="DV2529">
        <v>155</v>
      </c>
      <c r="DW2529" t="s">
        <v>99</v>
      </c>
      <c r="DX2529" s="8">
        <v>43942</v>
      </c>
      <c r="DY2529">
        <v>197</v>
      </c>
      <c r="DZ2529">
        <v>313</v>
      </c>
      <c r="EA2529">
        <v>23</v>
      </c>
    </row>
    <row r="2530" spans="1:325" ht="20.25">
      <c r="DV2530">
        <v>155</v>
      </c>
      <c r="DW2530" t="s">
        <v>99</v>
      </c>
      <c r="DX2530" s="8">
        <v>43943</v>
      </c>
      <c r="DY2530">
        <v>216</v>
      </c>
      <c r="DZ2530">
        <v>343</v>
      </c>
      <c r="EA2530">
        <v>27</v>
      </c>
    </row>
    <row r="2531" spans="1:325" ht="20.25">
      <c r="DV2531">
        <v>155</v>
      </c>
      <c r="DW2531" t="s">
        <v>99</v>
      </c>
      <c r="DX2531" s="8">
        <v>43944</v>
      </c>
      <c r="DY2531">
        <v>222</v>
      </c>
      <c r="DZ2531">
        <v>353</v>
      </c>
      <c r="EA2531">
        <v>30</v>
      </c>
    </row>
    <row r="2532" spans="1:325" ht="20.25">
      <c r="DV2532">
        <v>155</v>
      </c>
      <c r="DW2532" t="s">
        <v>99</v>
      </c>
      <c r="DX2532" s="8">
        <v>43945</v>
      </c>
      <c r="DY2532">
        <v>238</v>
      </c>
      <c r="DZ2532">
        <v>378</v>
      </c>
      <c r="EA2532">
        <v>33</v>
      </c>
    </row>
    <row r="2533" spans="1:325" ht="20.25">
      <c r="DV2533">
        <v>155</v>
      </c>
      <c r="DW2533" t="s">
        <v>99</v>
      </c>
      <c r="DX2533" s="8">
        <v>43946</v>
      </c>
      <c r="DY2533">
        <v>249</v>
      </c>
      <c r="DZ2533">
        <v>396</v>
      </c>
      <c r="EA2533">
        <v>38</v>
      </c>
    </row>
    <row r="2534" spans="1:325" ht="20.25">
      <c r="DV2534">
        <v>155</v>
      </c>
      <c r="DW2534" t="s">
        <v>99</v>
      </c>
      <c r="DX2534" s="8">
        <v>43947</v>
      </c>
      <c r="DY2534">
        <v>267</v>
      </c>
      <c r="DZ2534">
        <v>424</v>
      </c>
      <c r="EA2534">
        <v>41</v>
      </c>
    </row>
    <row r="2535" spans="1:325" ht="20.25">
      <c r="DV2535">
        <v>155</v>
      </c>
      <c r="DW2535" t="s">
        <v>99</v>
      </c>
      <c r="DX2535" s="8">
        <v>43948</v>
      </c>
      <c r="DY2535">
        <v>284</v>
      </c>
      <c r="DZ2535">
        <v>451</v>
      </c>
      <c r="EA2535">
        <v>47</v>
      </c>
    </row>
    <row r="2536" spans="1:325" ht="20.25">
      <c r="DV2536">
        <v>155</v>
      </c>
      <c r="DW2536" t="s">
        <v>99</v>
      </c>
      <c r="DX2536" s="8">
        <v>43949</v>
      </c>
      <c r="DY2536">
        <v>285</v>
      </c>
      <c r="DZ2536">
        <v>453</v>
      </c>
      <c r="EA2536">
        <v>48</v>
      </c>
    </row>
    <row r="2537" spans="1:325" ht="20.25">
      <c r="DV2537">
        <v>155</v>
      </c>
      <c r="DW2537" t="s">
        <v>99</v>
      </c>
      <c r="DX2537" s="8">
        <v>43950</v>
      </c>
      <c r="DY2537">
        <v>300</v>
      </c>
      <c r="DZ2537">
        <v>477</v>
      </c>
      <c r="EA2537">
        <v>49</v>
      </c>
    </row>
    <row r="2538" spans="1:325" ht="20.25">
      <c r="DV2538">
        <v>155</v>
      </c>
      <c r="DW2538" t="s">
        <v>99</v>
      </c>
      <c r="DX2538" s="8">
        <v>43951</v>
      </c>
      <c r="DY2538">
        <v>311</v>
      </c>
      <c r="DZ2538">
        <v>494</v>
      </c>
      <c r="EA2538">
        <v>50</v>
      </c>
    </row>
    <row r="2539" spans="1:325" ht="20.25">
      <c r="DV2539">
        <v>155</v>
      </c>
      <c r="DW2539" t="s">
        <v>99</v>
      </c>
      <c r="DX2539" s="8">
        <v>43952</v>
      </c>
      <c r="DY2539">
        <v>332</v>
      </c>
      <c r="DZ2539">
        <v>527</v>
      </c>
      <c r="EA2539">
        <v>51</v>
      </c>
    </row>
    <row r="2540" spans="1:325" ht="20.25">
      <c r="DV2540">
        <v>155</v>
      </c>
      <c r="DW2540" t="s">
        <v>99</v>
      </c>
      <c r="DX2540" s="8">
        <v>43953</v>
      </c>
      <c r="DY2540">
        <v>336</v>
      </c>
      <c r="DZ2540">
        <v>534</v>
      </c>
      <c r="EA2540">
        <v>57</v>
      </c>
    </row>
    <row r="2541" spans="1:325" ht="20.25">
      <c r="DV2541">
        <v>155</v>
      </c>
      <c r="DW2541" t="s">
        <v>99</v>
      </c>
      <c r="DX2541" s="8">
        <v>43954</v>
      </c>
      <c r="DY2541">
        <v>341</v>
      </c>
      <c r="DZ2541">
        <v>542</v>
      </c>
      <c r="EA2541">
        <v>62</v>
      </c>
    </row>
    <row r="2542" spans="1:325" ht="20.25">
      <c r="DV2542">
        <v>155</v>
      </c>
      <c r="DW2542" t="s">
        <v>99</v>
      </c>
      <c r="DX2542" s="8">
        <v>43955</v>
      </c>
      <c r="DY2542">
        <v>347</v>
      </c>
      <c r="DZ2542">
        <v>551</v>
      </c>
      <c r="EA2542">
        <v>65</v>
      </c>
    </row>
    <row r="2543" spans="1:325" ht="20.25">
      <c r="DV2543">
        <v>155</v>
      </c>
      <c r="DW2543" t="s">
        <v>99</v>
      </c>
      <c r="DX2543" s="8">
        <v>43956</v>
      </c>
      <c r="DY2543">
        <v>352</v>
      </c>
      <c r="DZ2543">
        <v>559</v>
      </c>
      <c r="EA2543">
        <v>66</v>
      </c>
    </row>
    <row r="2544" spans="1:325" ht="20.25">
      <c r="DV2544">
        <v>155</v>
      </c>
      <c r="DW2544" t="s">
        <v>99</v>
      </c>
      <c r="DX2544" s="8">
        <v>43957</v>
      </c>
      <c r="DY2544">
        <v>353</v>
      </c>
      <c r="DZ2544">
        <v>561</v>
      </c>
      <c r="EA2544">
        <v>66</v>
      </c>
    </row>
    <row r="2545" spans="1:325" ht="20.25">
      <c r="DV2545">
        <v>155</v>
      </c>
      <c r="DW2545" t="s">
        <v>99</v>
      </c>
      <c r="DX2545" s="8">
        <v>43958</v>
      </c>
      <c r="DY2545">
        <v>357</v>
      </c>
      <c r="DZ2545">
        <v>567</v>
      </c>
      <c r="EA2545">
        <v>68</v>
      </c>
    </row>
    <row r="2546" spans="1:325" ht="20.25">
      <c r="DV2546">
        <v>155</v>
      </c>
      <c r="DW2546" t="s">
        <v>99</v>
      </c>
      <c r="DX2546" s="8">
        <v>43959</v>
      </c>
      <c r="DY2546">
        <v>366</v>
      </c>
      <c r="DZ2546">
        <v>582</v>
      </c>
      <c r="EA2546">
        <v>69</v>
      </c>
    </row>
    <row r="2547" spans="1:325" ht="20.25">
      <c r="DV2547">
        <v>155</v>
      </c>
      <c r="DW2547" t="s">
        <v>99</v>
      </c>
      <c r="DX2547" s="8">
        <v>43960</v>
      </c>
      <c r="DY2547">
        <v>373</v>
      </c>
      <c r="DZ2547">
        <v>593</v>
      </c>
      <c r="EA2547">
        <v>69</v>
      </c>
    </row>
    <row r="2548" spans="1:325" ht="20.25">
      <c r="DV2548">
        <v>155</v>
      </c>
      <c r="DW2548" t="s">
        <v>99</v>
      </c>
      <c r="DX2548" s="8">
        <v>43961</v>
      </c>
      <c r="DY2548">
        <v>386</v>
      </c>
      <c r="DZ2548">
        <v>613</v>
      </c>
      <c r="EA2548">
        <v>73</v>
      </c>
    </row>
    <row r="2549" spans="1:325" ht="20.25">
      <c r="DV2549">
        <v>155</v>
      </c>
      <c r="DW2549" t="s">
        <v>99</v>
      </c>
      <c r="DX2549" s="8">
        <v>43962</v>
      </c>
      <c r="DY2549">
        <v>390</v>
      </c>
      <c r="DZ2549">
        <v>620</v>
      </c>
      <c r="EA2549">
        <v>74</v>
      </c>
    </row>
    <row r="2550" spans="1:325" ht="20.25">
      <c r="DV2550">
        <v>155</v>
      </c>
      <c r="DW2550" t="s">
        <v>99</v>
      </c>
      <c r="DX2550" s="8">
        <v>43963</v>
      </c>
      <c r="DY2550">
        <v>396</v>
      </c>
      <c r="DZ2550">
        <v>629</v>
      </c>
      <c r="EA2550">
        <v>74</v>
      </c>
    </row>
    <row r="2551" spans="1:325" ht="20.25">
      <c r="DV2551">
        <v>155</v>
      </c>
      <c r="DW2551" t="s">
        <v>99</v>
      </c>
      <c r="DX2551" s="8">
        <v>43964</v>
      </c>
      <c r="DY2551">
        <v>404</v>
      </c>
      <c r="DZ2551">
        <v>642</v>
      </c>
      <c r="EA2551">
        <v>79</v>
      </c>
    </row>
    <row r="2552" spans="1:325" ht="20.25">
      <c r="DV2552">
        <v>155</v>
      </c>
      <c r="DW2552" t="s">
        <v>99</v>
      </c>
      <c r="DX2552" s="8">
        <v>43965</v>
      </c>
      <c r="DY2552">
        <v>414</v>
      </c>
      <c r="DZ2552">
        <v>658</v>
      </c>
      <c r="EA2552">
        <v>83</v>
      </c>
    </row>
    <row r="2553" spans="1:325" ht="20.25">
      <c r="DV2553">
        <v>155</v>
      </c>
      <c r="DW2553" t="s">
        <v>99</v>
      </c>
      <c r="DX2553" s="8">
        <v>43966</v>
      </c>
      <c r="DY2553">
        <v>433</v>
      </c>
      <c r="DZ2553">
        <v>688</v>
      </c>
      <c r="EA2553">
        <v>85</v>
      </c>
    </row>
    <row r="2554" spans="1:325" ht="20.25">
      <c r="DV2554">
        <v>159</v>
      </c>
      <c r="DW2554" t="s">
        <v>100</v>
      </c>
      <c r="DX2554" s="8">
        <v>43914</v>
      </c>
      <c r="DY2554">
        <v>2</v>
      </c>
      <c r="EA2554">
        <v>0</v>
      </c>
    </row>
    <row r="2555" spans="1:325" ht="20.25">
      <c r="DV2555">
        <v>159</v>
      </c>
      <c r="DW2555" t="s">
        <v>100</v>
      </c>
      <c r="DX2555" s="8">
        <v>43915</v>
      </c>
      <c r="DY2555">
        <v>3</v>
      </c>
      <c r="EA2555">
        <v>0</v>
      </c>
    </row>
    <row r="2556" spans="1:325" ht="20.25">
      <c r="DV2556">
        <v>159</v>
      </c>
      <c r="DW2556" t="s">
        <v>100</v>
      </c>
      <c r="DX2556" s="8">
        <v>43916</v>
      </c>
      <c r="DY2556">
        <v>3</v>
      </c>
      <c r="EA2556">
        <v>0</v>
      </c>
    </row>
    <row r="2557" spans="1:325" ht="20.25">
      <c r="DV2557">
        <v>159</v>
      </c>
      <c r="DW2557" t="s">
        <v>100</v>
      </c>
      <c r="DX2557" s="8">
        <v>43917</v>
      </c>
      <c r="DY2557">
        <v>6</v>
      </c>
      <c r="EA2557">
        <v>0</v>
      </c>
    </row>
    <row r="2558" spans="1:325" ht="20.25">
      <c r="DV2558">
        <v>159</v>
      </c>
      <c r="DW2558" t="s">
        <v>100</v>
      </c>
      <c r="DX2558" s="8">
        <v>43918</v>
      </c>
      <c r="DY2558">
        <v>8</v>
      </c>
      <c r="EA2558">
        <v>0</v>
      </c>
    </row>
    <row r="2559" spans="1:325" ht="20.25">
      <c r="DV2559">
        <v>159</v>
      </c>
      <c r="DW2559" t="s">
        <v>100</v>
      </c>
      <c r="DX2559" s="8">
        <v>43919</v>
      </c>
      <c r="DY2559">
        <v>10</v>
      </c>
      <c r="EA2559">
        <v>0</v>
      </c>
    </row>
    <row r="2560" spans="1:325" ht="20.25">
      <c r="DV2560">
        <v>159</v>
      </c>
      <c r="DW2560" t="s">
        <v>100</v>
      </c>
      <c r="DX2560" s="8">
        <v>43920</v>
      </c>
      <c r="DY2560">
        <v>12</v>
      </c>
      <c r="EA2560">
        <v>0</v>
      </c>
    </row>
    <row r="2561" spans="1:325" ht="20.25">
      <c r="DV2561">
        <v>159</v>
      </c>
      <c r="DW2561" t="s">
        <v>100</v>
      </c>
      <c r="DX2561" s="8">
        <v>43921</v>
      </c>
      <c r="DY2561">
        <v>15</v>
      </c>
      <c r="EA2561">
        <v>0</v>
      </c>
    </row>
    <row r="2562" spans="1:325" ht="20.25">
      <c r="DV2562">
        <v>159</v>
      </c>
      <c r="DW2562" t="s">
        <v>100</v>
      </c>
      <c r="DX2562" s="8">
        <v>43922</v>
      </c>
      <c r="DY2562">
        <v>18</v>
      </c>
      <c r="EA2562">
        <v>1</v>
      </c>
    </row>
    <row r="2563" spans="1:325" ht="20.25">
      <c r="DV2563">
        <v>159</v>
      </c>
      <c r="DW2563" t="s">
        <v>100</v>
      </c>
      <c r="DX2563" s="8">
        <v>43923</v>
      </c>
      <c r="DY2563">
        <v>22</v>
      </c>
      <c r="EA2563">
        <v>1</v>
      </c>
    </row>
    <row r="2564" spans="1:325" ht="20.25">
      <c r="DV2564">
        <v>159</v>
      </c>
      <c r="DW2564" t="s">
        <v>100</v>
      </c>
      <c r="DX2564" s="8">
        <v>43924</v>
      </c>
      <c r="DY2564">
        <v>25</v>
      </c>
      <c r="EA2564">
        <v>1</v>
      </c>
    </row>
    <row r="2565" spans="1:325" ht="20.25">
      <c r="DV2565">
        <v>159</v>
      </c>
      <c r="DW2565" t="s">
        <v>100</v>
      </c>
      <c r="DX2565" s="8">
        <v>43925</v>
      </c>
      <c r="DY2565">
        <v>24</v>
      </c>
      <c r="EA2565">
        <v>1</v>
      </c>
    </row>
    <row r="2566" spans="1:325" ht="20.25">
      <c r="DV2566">
        <v>159</v>
      </c>
      <c r="DW2566" t="s">
        <v>100</v>
      </c>
      <c r="DX2566" s="8">
        <v>43926</v>
      </c>
      <c r="DY2566">
        <v>26</v>
      </c>
      <c r="EA2566">
        <v>1</v>
      </c>
    </row>
    <row r="2567" spans="1:325" ht="20.25">
      <c r="DV2567">
        <v>159</v>
      </c>
      <c r="DW2567" t="s">
        <v>100</v>
      </c>
      <c r="DX2567" s="8">
        <v>43927</v>
      </c>
      <c r="DY2567">
        <v>30</v>
      </c>
      <c r="EA2567">
        <v>2</v>
      </c>
    </row>
    <row r="2568" spans="1:325" ht="20.25">
      <c r="DV2568">
        <v>159</v>
      </c>
      <c r="DW2568" t="s">
        <v>100</v>
      </c>
      <c r="DX2568" s="8">
        <v>43928</v>
      </c>
      <c r="DY2568">
        <v>35</v>
      </c>
      <c r="EA2568">
        <v>2</v>
      </c>
    </row>
    <row r="2569" spans="1:325" ht="20.25">
      <c r="DV2569">
        <v>159</v>
      </c>
      <c r="DW2569" t="s">
        <v>100</v>
      </c>
      <c r="DX2569" s="8">
        <v>43929</v>
      </c>
      <c r="DY2569">
        <v>35</v>
      </c>
      <c r="EA2569">
        <v>3</v>
      </c>
    </row>
    <row r="2570" spans="1:325" ht="20.25">
      <c r="DV2570">
        <v>159</v>
      </c>
      <c r="DW2570" t="s">
        <v>100</v>
      </c>
      <c r="DX2570" s="8">
        <v>43930</v>
      </c>
      <c r="DY2570">
        <v>40</v>
      </c>
      <c r="EA2570">
        <v>3</v>
      </c>
    </row>
    <row r="2571" spans="1:325" ht="20.25">
      <c r="DV2571">
        <v>159</v>
      </c>
      <c r="DW2571" t="s">
        <v>100</v>
      </c>
      <c r="DX2571" s="8">
        <v>43931</v>
      </c>
      <c r="DY2571">
        <v>44</v>
      </c>
      <c r="EA2571">
        <v>3</v>
      </c>
    </row>
    <row r="2572" spans="1:325" ht="20.25">
      <c r="DV2572">
        <v>159</v>
      </c>
      <c r="DW2572" t="s">
        <v>100</v>
      </c>
      <c r="DX2572" s="8">
        <v>43932</v>
      </c>
      <c r="DY2572">
        <v>52</v>
      </c>
      <c r="EA2572">
        <v>3</v>
      </c>
    </row>
    <row r="2573" spans="1:325" ht="20.25">
      <c r="DV2573">
        <v>159</v>
      </c>
      <c r="DW2573" t="s">
        <v>100</v>
      </c>
      <c r="DX2573" s="8">
        <v>43933</v>
      </c>
      <c r="DY2573">
        <v>59</v>
      </c>
      <c r="EA2573">
        <v>3</v>
      </c>
    </row>
    <row r="2574" spans="1:325" ht="20.25">
      <c r="DV2574">
        <v>159</v>
      </c>
      <c r="DW2574" t="s">
        <v>100</v>
      </c>
      <c r="DX2574" s="8">
        <v>43934</v>
      </c>
      <c r="DY2574">
        <v>69</v>
      </c>
      <c r="EA2574">
        <v>3</v>
      </c>
    </row>
    <row r="2575" spans="1:325" ht="20.25">
      <c r="DV2575">
        <v>159</v>
      </c>
      <c r="DW2575" t="s">
        <v>100</v>
      </c>
      <c r="DX2575" s="8">
        <v>43935</v>
      </c>
      <c r="DY2575">
        <v>71</v>
      </c>
      <c r="EA2575">
        <v>3</v>
      </c>
    </row>
    <row r="2576" spans="1:325" ht="20.25">
      <c r="DV2576">
        <v>159</v>
      </c>
      <c r="DW2576" t="s">
        <v>100</v>
      </c>
      <c r="DX2576" s="8">
        <v>43936</v>
      </c>
      <c r="DY2576">
        <v>71</v>
      </c>
      <c r="EA2576">
        <v>3</v>
      </c>
    </row>
    <row r="2577" spans="1:325" ht="20.25">
      <c r="DV2577">
        <v>159</v>
      </c>
      <c r="DW2577" t="s">
        <v>100</v>
      </c>
      <c r="DX2577" s="8">
        <v>43937</v>
      </c>
      <c r="DY2577">
        <v>77</v>
      </c>
      <c r="DZ2577">
        <v>295</v>
      </c>
      <c r="EA2577">
        <v>3</v>
      </c>
    </row>
    <row r="2578" spans="1:325" ht="20.25">
      <c r="DV2578">
        <v>159</v>
      </c>
      <c r="DW2578" t="s">
        <v>100</v>
      </c>
      <c r="DX2578" s="8">
        <v>43938</v>
      </c>
      <c r="DY2578">
        <v>83</v>
      </c>
      <c r="DZ2578">
        <v>318</v>
      </c>
      <c r="EA2578">
        <v>3</v>
      </c>
    </row>
    <row r="2579" spans="1:325" ht="20.25">
      <c r="DV2579">
        <v>159</v>
      </c>
      <c r="DW2579" t="s">
        <v>100</v>
      </c>
      <c r="DX2579" s="8">
        <v>43939</v>
      </c>
      <c r="DY2579">
        <v>85</v>
      </c>
      <c r="DZ2579">
        <v>326</v>
      </c>
      <c r="EA2579">
        <v>3</v>
      </c>
    </row>
    <row r="2580" spans="1:325" ht="20.25">
      <c r="DV2580">
        <v>159</v>
      </c>
      <c r="DW2580" t="s">
        <v>100</v>
      </c>
      <c r="DX2580" s="8">
        <v>43940</v>
      </c>
      <c r="DY2580">
        <v>86</v>
      </c>
      <c r="DZ2580">
        <v>330</v>
      </c>
      <c r="EA2580">
        <v>3</v>
      </c>
    </row>
    <row r="2581" spans="1:325" ht="20.25">
      <c r="DV2581">
        <v>159</v>
      </c>
      <c r="DW2581" t="s">
        <v>100</v>
      </c>
      <c r="DX2581" s="8">
        <v>43941</v>
      </c>
      <c r="DY2581">
        <v>94</v>
      </c>
      <c r="DZ2581">
        <v>360</v>
      </c>
      <c r="EA2581">
        <v>5</v>
      </c>
    </row>
    <row r="2582" spans="1:325" ht="20.25">
      <c r="DV2582">
        <v>159</v>
      </c>
      <c r="DW2582" t="s">
        <v>100</v>
      </c>
      <c r="DX2582" s="8">
        <v>43942</v>
      </c>
      <c r="DY2582">
        <v>98</v>
      </c>
      <c r="DZ2582">
        <v>376</v>
      </c>
      <c r="EA2582">
        <v>5</v>
      </c>
    </row>
    <row r="2583" spans="1:325" ht="20.25">
      <c r="DV2583">
        <v>159</v>
      </c>
      <c r="DW2583" t="s">
        <v>100</v>
      </c>
      <c r="DX2583" s="8">
        <v>43943</v>
      </c>
      <c r="DY2583">
        <v>104</v>
      </c>
      <c r="DZ2583">
        <v>399</v>
      </c>
      <c r="EA2583">
        <v>5</v>
      </c>
    </row>
    <row r="2584" spans="1:325" ht="20.25">
      <c r="DV2584">
        <v>159</v>
      </c>
      <c r="DW2584" t="s">
        <v>100</v>
      </c>
      <c r="DX2584" s="8">
        <v>43944</v>
      </c>
      <c r="DY2584">
        <v>107</v>
      </c>
      <c r="DZ2584">
        <v>410</v>
      </c>
      <c r="EA2584">
        <v>5</v>
      </c>
    </row>
    <row r="2585" spans="1:325" ht="20.25">
      <c r="DV2585">
        <v>159</v>
      </c>
      <c r="DW2585" t="s">
        <v>100</v>
      </c>
      <c r="DX2585" s="8">
        <v>43945</v>
      </c>
      <c r="DY2585">
        <v>117</v>
      </c>
      <c r="DZ2585">
        <v>449</v>
      </c>
      <c r="EA2585">
        <v>5</v>
      </c>
    </row>
    <row r="2586" spans="1:325" ht="20.25">
      <c r="DV2586">
        <v>159</v>
      </c>
      <c r="DW2586" t="s">
        <v>100</v>
      </c>
      <c r="DX2586" s="8">
        <v>43946</v>
      </c>
      <c r="DY2586">
        <v>117</v>
      </c>
      <c r="DZ2586">
        <v>449</v>
      </c>
      <c r="EA2586">
        <v>5</v>
      </c>
    </row>
    <row r="2587" spans="1:325" ht="20.25">
      <c r="DV2587">
        <v>159</v>
      </c>
      <c r="DW2587" t="s">
        <v>100</v>
      </c>
      <c r="DX2587" s="8">
        <v>43947</v>
      </c>
      <c r="DY2587">
        <v>125</v>
      </c>
      <c r="DZ2587">
        <v>479</v>
      </c>
      <c r="EA2587">
        <v>5</v>
      </c>
    </row>
    <row r="2588" spans="1:325" ht="20.25">
      <c r="DV2588">
        <v>159</v>
      </c>
      <c r="DW2588" t="s">
        <v>100</v>
      </c>
      <c r="DX2588" s="8">
        <v>43948</v>
      </c>
      <c r="DY2588">
        <v>134</v>
      </c>
      <c r="DZ2588">
        <v>514</v>
      </c>
      <c r="EA2588">
        <v>5</v>
      </c>
    </row>
    <row r="2589" spans="1:325" ht="20.25">
      <c r="DV2589">
        <v>159</v>
      </c>
      <c r="DW2589" t="s">
        <v>100</v>
      </c>
      <c r="DX2589" s="8">
        <v>43949</v>
      </c>
      <c r="DY2589">
        <v>137</v>
      </c>
      <c r="DZ2589">
        <v>525</v>
      </c>
      <c r="EA2589">
        <v>5</v>
      </c>
    </row>
    <row r="2590" spans="1:325" ht="20.25">
      <c r="DV2590">
        <v>159</v>
      </c>
      <c r="DW2590" t="s">
        <v>100</v>
      </c>
      <c r="DX2590" s="8">
        <v>43950</v>
      </c>
      <c r="DY2590">
        <v>138</v>
      </c>
      <c r="DZ2590">
        <v>529</v>
      </c>
      <c r="EA2590">
        <v>7</v>
      </c>
    </row>
    <row r="2591" spans="1:325" ht="20.25">
      <c r="DV2591">
        <v>159</v>
      </c>
      <c r="DW2591" t="s">
        <v>100</v>
      </c>
      <c r="DX2591" s="8">
        <v>43951</v>
      </c>
      <c r="DY2591">
        <v>145</v>
      </c>
      <c r="DZ2591">
        <v>556</v>
      </c>
      <c r="EA2591">
        <v>8</v>
      </c>
    </row>
    <row r="2592" spans="1:325" ht="20.25">
      <c r="DV2592">
        <v>159</v>
      </c>
      <c r="DW2592" t="s">
        <v>100</v>
      </c>
      <c r="DX2592" s="8">
        <v>43952</v>
      </c>
      <c r="DY2592">
        <v>156</v>
      </c>
      <c r="DZ2592">
        <v>598</v>
      </c>
      <c r="EA2592">
        <v>8</v>
      </c>
    </row>
    <row r="2593" spans="1:325" ht="20.25">
      <c r="DV2593">
        <v>159</v>
      </c>
      <c r="DW2593" t="s">
        <v>100</v>
      </c>
      <c r="DX2593" s="8">
        <v>43953</v>
      </c>
      <c r="DY2593">
        <v>166</v>
      </c>
      <c r="DZ2593">
        <v>636</v>
      </c>
      <c r="EA2593">
        <v>8</v>
      </c>
    </row>
    <row r="2594" spans="1:325" ht="20.25">
      <c r="DV2594">
        <v>159</v>
      </c>
      <c r="DW2594" t="s">
        <v>100</v>
      </c>
      <c r="DX2594" s="8">
        <v>43954</v>
      </c>
      <c r="DY2594">
        <v>169</v>
      </c>
      <c r="DZ2594">
        <v>648</v>
      </c>
      <c r="EA2594">
        <v>8</v>
      </c>
    </row>
    <row r="2595" spans="1:325" ht="20.25">
      <c r="DV2595">
        <v>159</v>
      </c>
      <c r="DW2595" t="s">
        <v>100</v>
      </c>
      <c r="DX2595" s="8">
        <v>43955</v>
      </c>
      <c r="DY2595">
        <v>172</v>
      </c>
      <c r="DZ2595">
        <v>659</v>
      </c>
      <c r="EA2595">
        <v>8</v>
      </c>
    </row>
    <row r="2596" spans="1:325" ht="20.25">
      <c r="DV2596">
        <v>159</v>
      </c>
      <c r="DW2596" t="s">
        <v>100</v>
      </c>
      <c r="DX2596" s="8">
        <v>43956</v>
      </c>
      <c r="DY2596">
        <v>173</v>
      </c>
      <c r="DZ2596">
        <v>663</v>
      </c>
      <c r="EA2596">
        <v>8</v>
      </c>
    </row>
    <row r="2597" spans="1:325" ht="20.25">
      <c r="DV2597">
        <v>159</v>
      </c>
      <c r="DW2597" t="s">
        <v>100</v>
      </c>
      <c r="DX2597" s="8">
        <v>43957</v>
      </c>
      <c r="DY2597">
        <v>177</v>
      </c>
      <c r="DZ2597">
        <v>679</v>
      </c>
      <c r="EA2597">
        <v>8</v>
      </c>
    </row>
    <row r="2598" spans="1:325" ht="20.25">
      <c r="DV2598">
        <v>159</v>
      </c>
      <c r="DW2598" t="s">
        <v>100</v>
      </c>
      <c r="DX2598" s="8">
        <v>43958</v>
      </c>
      <c r="DY2598">
        <v>180</v>
      </c>
      <c r="DZ2598">
        <v>690</v>
      </c>
      <c r="EA2598">
        <v>8</v>
      </c>
    </row>
    <row r="2599" spans="1:325" ht="20.25">
      <c r="DV2599">
        <v>159</v>
      </c>
      <c r="DW2599" t="s">
        <v>100</v>
      </c>
      <c r="DX2599" s="8">
        <v>43959</v>
      </c>
      <c r="DY2599">
        <v>187</v>
      </c>
      <c r="DZ2599">
        <v>717</v>
      </c>
      <c r="EA2599">
        <v>8</v>
      </c>
    </row>
    <row r="2600" spans="1:325" ht="20.25">
      <c r="DV2600">
        <v>159</v>
      </c>
      <c r="DW2600" t="s">
        <v>100</v>
      </c>
      <c r="DX2600" s="8">
        <v>43960</v>
      </c>
      <c r="DY2600">
        <v>192</v>
      </c>
      <c r="DZ2600">
        <v>736</v>
      </c>
      <c r="EA2600">
        <v>8</v>
      </c>
    </row>
    <row r="2601" spans="1:325" ht="20.25">
      <c r="DV2601">
        <v>159</v>
      </c>
      <c r="DW2601" t="s">
        <v>100</v>
      </c>
      <c r="DX2601" s="8">
        <v>43961</v>
      </c>
      <c r="DY2601">
        <v>196</v>
      </c>
      <c r="DZ2601">
        <v>751</v>
      </c>
      <c r="EA2601">
        <v>9</v>
      </c>
    </row>
    <row r="2602" spans="1:325" ht="20.25">
      <c r="DV2602">
        <v>159</v>
      </c>
      <c r="DW2602" t="s">
        <v>100</v>
      </c>
      <c r="DX2602" s="8">
        <v>43962</v>
      </c>
      <c r="DY2602">
        <v>197</v>
      </c>
      <c r="DZ2602">
        <v>755</v>
      </c>
      <c r="EA2602">
        <v>9</v>
      </c>
    </row>
    <row r="2603" spans="1:325" ht="20.25">
      <c r="DV2603">
        <v>159</v>
      </c>
      <c r="DW2603" t="s">
        <v>100</v>
      </c>
      <c r="DX2603" s="8">
        <v>43963</v>
      </c>
      <c r="DY2603">
        <v>202</v>
      </c>
      <c r="DZ2603">
        <v>774</v>
      </c>
      <c r="EA2603">
        <v>9</v>
      </c>
    </row>
    <row r="2604" spans="1:325" ht="20.25">
      <c r="DV2604">
        <v>159</v>
      </c>
      <c r="DW2604" t="s">
        <v>100</v>
      </c>
      <c r="DX2604" s="8">
        <v>43964</v>
      </c>
      <c r="DY2604">
        <v>206</v>
      </c>
      <c r="DZ2604">
        <v>790</v>
      </c>
      <c r="EA2604">
        <v>8</v>
      </c>
    </row>
    <row r="2605" spans="1:325" ht="20.25">
      <c r="DV2605">
        <v>159</v>
      </c>
      <c r="DW2605" t="s">
        <v>100</v>
      </c>
      <c r="DX2605" s="8">
        <v>43965</v>
      </c>
      <c r="DY2605">
        <v>208</v>
      </c>
      <c r="DZ2605">
        <v>797</v>
      </c>
      <c r="EA2605">
        <v>8</v>
      </c>
    </row>
    <row r="2606" spans="1:325" ht="20.25">
      <c r="DV2606">
        <v>159</v>
      </c>
      <c r="DW2606" t="s">
        <v>100</v>
      </c>
      <c r="DX2606" s="8">
        <v>43966</v>
      </c>
      <c r="DY2606">
        <v>210</v>
      </c>
      <c r="DZ2606">
        <v>805</v>
      </c>
      <c r="EA2606">
        <v>8</v>
      </c>
    </row>
    <row r="2607" spans="1:325" ht="20.25">
      <c r="DV2607">
        <v>162</v>
      </c>
      <c r="DW2607" t="s">
        <v>66</v>
      </c>
      <c r="DX2607" s="8">
        <v>43914</v>
      </c>
      <c r="DY2607">
        <v>0</v>
      </c>
      <c r="EA2607">
        <v>0</v>
      </c>
    </row>
    <row r="2608" spans="1:325" ht="20.25">
      <c r="DV2608">
        <v>162</v>
      </c>
      <c r="DW2608" t="s">
        <v>66</v>
      </c>
      <c r="DX2608" s="8">
        <v>43915</v>
      </c>
      <c r="DY2608">
        <v>0</v>
      </c>
      <c r="EA2608">
        <v>0</v>
      </c>
    </row>
    <row r="2609" spans="1:325" ht="20.25">
      <c r="DV2609">
        <v>162</v>
      </c>
      <c r="DW2609" t="s">
        <v>66</v>
      </c>
      <c r="DX2609" s="8">
        <v>43916</v>
      </c>
      <c r="DY2609">
        <v>0</v>
      </c>
      <c r="EA2609">
        <v>0</v>
      </c>
    </row>
    <row r="2610" spans="1:325" ht="20.25">
      <c r="DV2610">
        <v>162</v>
      </c>
      <c r="DW2610" t="s">
        <v>66</v>
      </c>
      <c r="DX2610" s="8">
        <v>43917</v>
      </c>
      <c r="DY2610">
        <v>0</v>
      </c>
      <c r="EA2610">
        <v>0</v>
      </c>
    </row>
    <row r="2611" spans="1:325" ht="20.25">
      <c r="DV2611">
        <v>162</v>
      </c>
      <c r="DW2611" t="s">
        <v>66</v>
      </c>
      <c r="DX2611" s="8">
        <v>43918</v>
      </c>
      <c r="DY2611">
        <v>0</v>
      </c>
      <c r="EA2611">
        <v>0</v>
      </c>
    </row>
    <row r="2612" spans="1:325" ht="20.25">
      <c r="DV2612">
        <v>162</v>
      </c>
      <c r="DW2612" t="s">
        <v>66</v>
      </c>
      <c r="DX2612" s="8">
        <v>43919</v>
      </c>
      <c r="DY2612">
        <v>1</v>
      </c>
      <c r="EA2612">
        <v>0</v>
      </c>
    </row>
    <row r="2613" spans="1:325" ht="20.25">
      <c r="DV2613">
        <v>162</v>
      </c>
      <c r="DW2613" t="s">
        <v>66</v>
      </c>
      <c r="DX2613" s="8">
        <v>43920</v>
      </c>
      <c r="DY2613">
        <v>2</v>
      </c>
      <c r="EA2613">
        <v>0</v>
      </c>
    </row>
    <row r="2614" spans="1:325" ht="20.25">
      <c r="DV2614">
        <v>162</v>
      </c>
      <c r="DW2614" t="s">
        <v>66</v>
      </c>
      <c r="DX2614" s="8">
        <v>43921</v>
      </c>
      <c r="DY2614">
        <v>2</v>
      </c>
      <c r="EA2614">
        <v>0</v>
      </c>
    </row>
    <row r="2615" spans="1:325" ht="20.25">
      <c r="DV2615">
        <v>162</v>
      </c>
      <c r="DW2615" t="s">
        <v>66</v>
      </c>
      <c r="DX2615" s="8">
        <v>43922</v>
      </c>
      <c r="DY2615">
        <v>2</v>
      </c>
      <c r="EA2615">
        <v>0</v>
      </c>
    </row>
    <row r="2616" spans="1:325" ht="20.25">
      <c r="DV2616">
        <v>162</v>
      </c>
      <c r="DW2616" t="s">
        <v>66</v>
      </c>
      <c r="DX2616" s="8">
        <v>43923</v>
      </c>
      <c r="DY2616">
        <v>2</v>
      </c>
      <c r="EA2616">
        <v>0</v>
      </c>
    </row>
    <row r="2617" spans="1:325" ht="20.25">
      <c r="DV2617">
        <v>162</v>
      </c>
      <c r="DW2617" t="s">
        <v>66</v>
      </c>
      <c r="DX2617" s="8">
        <v>43924</v>
      </c>
      <c r="DY2617">
        <v>3</v>
      </c>
      <c r="EA2617">
        <v>0</v>
      </c>
    </row>
    <row r="2618" spans="1:325" ht="20.25">
      <c r="DV2618">
        <v>162</v>
      </c>
      <c r="DW2618" t="s">
        <v>66</v>
      </c>
      <c r="DX2618" s="8">
        <v>43925</v>
      </c>
      <c r="DY2618">
        <v>3</v>
      </c>
      <c r="EA2618">
        <v>0</v>
      </c>
    </row>
    <row r="2619" spans="1:325" ht="20.25">
      <c r="DV2619">
        <v>162</v>
      </c>
      <c r="DW2619" t="s">
        <v>66</v>
      </c>
      <c r="DX2619" s="8">
        <v>43926</v>
      </c>
      <c r="DY2619">
        <v>3</v>
      </c>
      <c r="EA2619">
        <v>0</v>
      </c>
    </row>
    <row r="2620" spans="1:325" ht="20.25">
      <c r="DV2620">
        <v>162</v>
      </c>
      <c r="DW2620" t="s">
        <v>66</v>
      </c>
      <c r="DX2620" s="8">
        <v>43927</v>
      </c>
      <c r="DY2620">
        <v>5</v>
      </c>
      <c r="EA2620">
        <v>0</v>
      </c>
    </row>
    <row r="2621" spans="1:325" ht="20.25">
      <c r="DV2621">
        <v>162</v>
      </c>
      <c r="DW2621" t="s">
        <v>66</v>
      </c>
      <c r="DX2621" s="8">
        <v>43928</v>
      </c>
      <c r="DY2621">
        <v>8</v>
      </c>
      <c r="EA2621">
        <v>0</v>
      </c>
    </row>
    <row r="2622" spans="1:325" ht="20.25">
      <c r="DV2622">
        <v>162</v>
      </c>
      <c r="DW2622" t="s">
        <v>66</v>
      </c>
      <c r="DX2622" s="8">
        <v>43929</v>
      </c>
      <c r="DY2622">
        <v>11</v>
      </c>
      <c r="EA2622">
        <v>0</v>
      </c>
    </row>
    <row r="2623" spans="1:325" ht="20.25">
      <c r="DV2623">
        <v>162</v>
      </c>
      <c r="DW2623" t="s">
        <v>66</v>
      </c>
      <c r="DX2623" s="8">
        <v>43930</v>
      </c>
      <c r="DY2623">
        <v>13</v>
      </c>
      <c r="EA2623">
        <v>0</v>
      </c>
    </row>
    <row r="2624" spans="1:325" ht="20.25">
      <c r="DV2624">
        <v>162</v>
      </c>
      <c r="DW2624" t="s">
        <v>66</v>
      </c>
      <c r="DX2624" s="8">
        <v>43931</v>
      </c>
      <c r="DY2624">
        <v>13</v>
      </c>
      <c r="EA2624">
        <v>0</v>
      </c>
    </row>
    <row r="2625" spans="1:325" ht="20.25">
      <c r="DV2625">
        <v>162</v>
      </c>
      <c r="DW2625" t="s">
        <v>66</v>
      </c>
      <c r="DX2625" s="8">
        <v>43932</v>
      </c>
      <c r="DY2625">
        <v>16</v>
      </c>
      <c r="EA2625">
        <v>0</v>
      </c>
    </row>
    <row r="2626" spans="1:325" ht="20.25">
      <c r="DV2626">
        <v>162</v>
      </c>
      <c r="DW2626" t="s">
        <v>66</v>
      </c>
      <c r="DX2626" s="8">
        <v>43933</v>
      </c>
      <c r="DY2626">
        <v>17</v>
      </c>
      <c r="EA2626">
        <v>0</v>
      </c>
    </row>
    <row r="2627" spans="1:325" ht="20.25">
      <c r="DV2627">
        <v>162</v>
      </c>
      <c r="DW2627" t="s">
        <v>66</v>
      </c>
      <c r="DX2627" s="8">
        <v>43934</v>
      </c>
      <c r="DY2627">
        <v>19</v>
      </c>
      <c r="EA2627">
        <v>1</v>
      </c>
    </row>
    <row r="2628" spans="1:325" ht="20.25">
      <c r="DV2628">
        <v>162</v>
      </c>
      <c r="DW2628" t="s">
        <v>66</v>
      </c>
      <c r="DX2628" s="8">
        <v>43935</v>
      </c>
      <c r="DY2628">
        <v>19</v>
      </c>
      <c r="EA2628">
        <v>1</v>
      </c>
    </row>
    <row r="2629" spans="1:325" ht="20.25">
      <c r="DV2629">
        <v>162</v>
      </c>
      <c r="DW2629" t="s">
        <v>66</v>
      </c>
      <c r="DX2629" s="8">
        <v>43936</v>
      </c>
      <c r="DY2629">
        <v>19</v>
      </c>
      <c r="EA2629">
        <v>1</v>
      </c>
    </row>
    <row r="2630" spans="1:325" ht="20.25">
      <c r="DV2630">
        <v>162</v>
      </c>
      <c r="DW2630" t="s">
        <v>66</v>
      </c>
      <c r="DX2630" s="8">
        <v>43937</v>
      </c>
      <c r="DY2630">
        <v>20</v>
      </c>
      <c r="DZ2630">
        <v>188</v>
      </c>
      <c r="EA2630">
        <v>1</v>
      </c>
    </row>
    <row r="2631" spans="1:325" ht="20.25">
      <c r="DV2631">
        <v>162</v>
      </c>
      <c r="DW2631" t="s">
        <v>66</v>
      </c>
      <c r="DX2631" s="8">
        <v>43938</v>
      </c>
      <c r="DY2631">
        <v>23</v>
      </c>
      <c r="DZ2631">
        <v>216</v>
      </c>
      <c r="EA2631">
        <v>1</v>
      </c>
    </row>
    <row r="2632" spans="1:325" ht="20.25">
      <c r="DV2632">
        <v>162</v>
      </c>
      <c r="DW2632" t="s">
        <v>66</v>
      </c>
      <c r="DX2632" s="8">
        <v>43939</v>
      </c>
      <c r="DY2632">
        <v>25</v>
      </c>
      <c r="DZ2632">
        <v>235</v>
      </c>
      <c r="EA2632">
        <v>1</v>
      </c>
    </row>
    <row r="2633" spans="1:325" ht="20.25">
      <c r="DV2633">
        <v>162</v>
      </c>
      <c r="DW2633" t="s">
        <v>66</v>
      </c>
      <c r="DX2633" s="8">
        <v>43940</v>
      </c>
      <c r="DY2633">
        <v>26</v>
      </c>
      <c r="DZ2633">
        <v>244</v>
      </c>
      <c r="EA2633">
        <v>1</v>
      </c>
    </row>
    <row r="2634" spans="1:325" ht="20.25">
      <c r="DV2634">
        <v>162</v>
      </c>
      <c r="DW2634" t="s">
        <v>66</v>
      </c>
      <c r="DX2634" s="8">
        <v>43941</v>
      </c>
      <c r="DY2634">
        <v>29</v>
      </c>
      <c r="DZ2634">
        <v>272</v>
      </c>
      <c r="EA2634">
        <v>1</v>
      </c>
    </row>
    <row r="2635" spans="1:325" ht="20.25">
      <c r="DV2635">
        <v>162</v>
      </c>
      <c r="DW2635" t="s">
        <v>66</v>
      </c>
      <c r="DX2635" s="8">
        <v>43942</v>
      </c>
      <c r="DY2635">
        <v>29</v>
      </c>
      <c r="DZ2635">
        <v>272</v>
      </c>
      <c r="EA2635">
        <v>1</v>
      </c>
    </row>
    <row r="2636" spans="1:325" ht="20.25">
      <c r="DV2636">
        <v>162</v>
      </c>
      <c r="DW2636" t="s">
        <v>66</v>
      </c>
      <c r="DX2636" s="8">
        <v>43943</v>
      </c>
      <c r="DY2636">
        <v>29</v>
      </c>
      <c r="DZ2636">
        <v>272</v>
      </c>
      <c r="EA2636">
        <v>1</v>
      </c>
    </row>
    <row r="2637" spans="1:325" ht="20.25">
      <c r="DV2637">
        <v>162</v>
      </c>
      <c r="DW2637" t="s">
        <v>66</v>
      </c>
      <c r="DX2637" s="8">
        <v>43944</v>
      </c>
      <c r="DY2637">
        <v>31</v>
      </c>
      <c r="DZ2637">
        <v>291</v>
      </c>
      <c r="EA2637">
        <v>2</v>
      </c>
    </row>
    <row r="2638" spans="1:325" ht="20.25">
      <c r="DV2638">
        <v>162</v>
      </c>
      <c r="DW2638" t="s">
        <v>66</v>
      </c>
      <c r="DX2638" s="8">
        <v>43945</v>
      </c>
      <c r="DY2638">
        <v>35</v>
      </c>
      <c r="DZ2638">
        <v>328</v>
      </c>
      <c r="EA2638">
        <v>2</v>
      </c>
    </row>
    <row r="2639" spans="1:325" ht="20.25">
      <c r="DV2639">
        <v>162</v>
      </c>
      <c r="DW2639" t="s">
        <v>66</v>
      </c>
      <c r="DX2639" s="8">
        <v>43946</v>
      </c>
      <c r="DY2639">
        <v>38</v>
      </c>
      <c r="DZ2639">
        <v>357</v>
      </c>
      <c r="EA2639">
        <v>2</v>
      </c>
    </row>
    <row r="2640" spans="1:325" ht="20.25">
      <c r="DV2640">
        <v>162</v>
      </c>
      <c r="DW2640" t="s">
        <v>66</v>
      </c>
      <c r="DX2640" s="8">
        <v>43947</v>
      </c>
      <c r="DY2640">
        <v>39</v>
      </c>
      <c r="DZ2640">
        <v>366</v>
      </c>
      <c r="EA2640">
        <v>2</v>
      </c>
    </row>
    <row r="2641" spans="1:325" ht="20.25">
      <c r="DV2641">
        <v>162</v>
      </c>
      <c r="DW2641" t="s">
        <v>66</v>
      </c>
      <c r="DX2641" s="8">
        <v>43948</v>
      </c>
      <c r="DY2641">
        <v>41</v>
      </c>
      <c r="DZ2641">
        <v>385</v>
      </c>
      <c r="EA2641">
        <v>2</v>
      </c>
    </row>
    <row r="2642" spans="1:325" ht="20.25">
      <c r="DV2642">
        <v>162</v>
      </c>
      <c r="DW2642" t="s">
        <v>66</v>
      </c>
      <c r="DX2642" s="8">
        <v>43949</v>
      </c>
      <c r="DY2642">
        <v>41</v>
      </c>
      <c r="DZ2642">
        <v>385</v>
      </c>
      <c r="EA2642">
        <v>2</v>
      </c>
    </row>
    <row r="2643" spans="1:325" ht="20.25">
      <c r="DV2643">
        <v>162</v>
      </c>
      <c r="DW2643" t="s">
        <v>66</v>
      </c>
      <c r="DX2643" s="8">
        <v>43950</v>
      </c>
      <c r="DY2643">
        <v>42</v>
      </c>
      <c r="DZ2643">
        <v>394</v>
      </c>
      <c r="EA2643">
        <v>2</v>
      </c>
    </row>
    <row r="2644" spans="1:325" ht="20.25">
      <c r="DV2644">
        <v>162</v>
      </c>
      <c r="DW2644" t="s">
        <v>66</v>
      </c>
      <c r="DX2644" s="8">
        <v>43951</v>
      </c>
      <c r="DY2644">
        <v>44</v>
      </c>
      <c r="DZ2644">
        <v>413</v>
      </c>
      <c r="EA2644">
        <v>2</v>
      </c>
    </row>
    <row r="2645" spans="1:325" ht="20.25">
      <c r="DV2645">
        <v>162</v>
      </c>
      <c r="DW2645" t="s">
        <v>66</v>
      </c>
      <c r="DX2645" s="8">
        <v>43952</v>
      </c>
      <c r="DY2645">
        <v>45</v>
      </c>
      <c r="DZ2645">
        <v>422</v>
      </c>
      <c r="EA2645">
        <v>2</v>
      </c>
    </row>
    <row r="2646" spans="1:325" ht="20.25">
      <c r="DV2646">
        <v>162</v>
      </c>
      <c r="DW2646" t="s">
        <v>66</v>
      </c>
      <c r="DX2646" s="8">
        <v>43953</v>
      </c>
      <c r="DY2646">
        <v>46</v>
      </c>
      <c r="DZ2646">
        <v>432</v>
      </c>
      <c r="EA2646">
        <v>2</v>
      </c>
    </row>
    <row r="2647" spans="1:325" ht="20.25">
      <c r="DV2647">
        <v>162</v>
      </c>
      <c r="DW2647" t="s">
        <v>66</v>
      </c>
      <c r="DX2647" s="8">
        <v>43954</v>
      </c>
      <c r="DY2647">
        <v>47</v>
      </c>
      <c r="DZ2647">
        <v>441</v>
      </c>
      <c r="EA2647">
        <v>2</v>
      </c>
    </row>
    <row r="2648" spans="1:325" ht="20.25">
      <c r="DV2648">
        <v>162</v>
      </c>
      <c r="DW2648" t="s">
        <v>66</v>
      </c>
      <c r="DX2648" s="8">
        <v>43955</v>
      </c>
      <c r="DY2648">
        <v>48</v>
      </c>
      <c r="DZ2648">
        <v>450</v>
      </c>
      <c r="EA2648">
        <v>2</v>
      </c>
    </row>
    <row r="2649" spans="1:325" ht="20.25">
      <c r="DV2649">
        <v>162</v>
      </c>
      <c r="DW2649" t="s">
        <v>66</v>
      </c>
      <c r="DX2649" s="8">
        <v>43956</v>
      </c>
      <c r="DY2649">
        <v>48</v>
      </c>
      <c r="DZ2649">
        <v>450</v>
      </c>
      <c r="EA2649">
        <v>3</v>
      </c>
    </row>
    <row r="2650" spans="1:325" ht="20.25">
      <c r="DV2650">
        <v>162</v>
      </c>
      <c r="DW2650" t="s">
        <v>66</v>
      </c>
      <c r="DX2650" s="8">
        <v>43957</v>
      </c>
      <c r="DY2650">
        <v>50</v>
      </c>
      <c r="DZ2650">
        <v>469</v>
      </c>
      <c r="EA2650">
        <v>3</v>
      </c>
    </row>
    <row r="2651" spans="1:325" ht="20.25">
      <c r="DV2651">
        <v>162</v>
      </c>
      <c r="DW2651" t="s">
        <v>66</v>
      </c>
      <c r="DX2651" s="8">
        <v>43958</v>
      </c>
      <c r="DY2651">
        <v>51</v>
      </c>
      <c r="DZ2651">
        <v>479</v>
      </c>
      <c r="EA2651">
        <v>3</v>
      </c>
    </row>
    <row r="2652" spans="1:325" ht="20.25">
      <c r="DV2652">
        <v>162</v>
      </c>
      <c r="DW2652" t="s">
        <v>66</v>
      </c>
      <c r="DX2652" s="8">
        <v>43959</v>
      </c>
      <c r="DY2652">
        <v>50</v>
      </c>
      <c r="DZ2652">
        <v>469</v>
      </c>
      <c r="EA2652">
        <v>3</v>
      </c>
    </row>
    <row r="2653" spans="1:325" ht="20.25">
      <c r="DV2653">
        <v>162</v>
      </c>
      <c r="DW2653" t="s">
        <v>66</v>
      </c>
      <c r="DX2653" s="8">
        <v>43960</v>
      </c>
      <c r="DY2653">
        <v>48</v>
      </c>
      <c r="DZ2653">
        <v>450</v>
      </c>
      <c r="EA2653">
        <v>3</v>
      </c>
    </row>
    <row r="2654" spans="1:325" ht="20.25">
      <c r="DV2654">
        <v>162</v>
      </c>
      <c r="DW2654" t="s">
        <v>66</v>
      </c>
      <c r="DX2654" s="8">
        <v>43961</v>
      </c>
      <c r="DY2654">
        <v>50</v>
      </c>
      <c r="DZ2654">
        <v>469</v>
      </c>
      <c r="EA2654">
        <v>3</v>
      </c>
    </row>
    <row r="2655" spans="1:325" ht="20.25">
      <c r="DV2655">
        <v>162</v>
      </c>
      <c r="DW2655" t="s">
        <v>66</v>
      </c>
      <c r="DX2655" s="8">
        <v>43962</v>
      </c>
      <c r="DY2655">
        <v>50</v>
      </c>
      <c r="DZ2655">
        <v>469</v>
      </c>
      <c r="EA2655">
        <v>3</v>
      </c>
    </row>
    <row r="2656" spans="1:325" ht="20.25">
      <c r="DV2656">
        <v>162</v>
      </c>
      <c r="DW2656" t="s">
        <v>66</v>
      </c>
      <c r="DX2656" s="8">
        <v>43963</v>
      </c>
      <c r="DY2656">
        <v>50</v>
      </c>
      <c r="DZ2656">
        <v>469</v>
      </c>
      <c r="EA2656">
        <v>3</v>
      </c>
    </row>
    <row r="2657" spans="1:325" ht="20.25">
      <c r="DV2657">
        <v>162</v>
      </c>
      <c r="DW2657" t="s">
        <v>66</v>
      </c>
      <c r="DX2657" s="8">
        <v>43964</v>
      </c>
      <c r="DY2657">
        <v>51</v>
      </c>
      <c r="DZ2657">
        <v>479</v>
      </c>
      <c r="EA2657">
        <v>3</v>
      </c>
    </row>
    <row r="2658" spans="1:325" ht="20.25">
      <c r="DV2658">
        <v>162</v>
      </c>
      <c r="DW2658" t="s">
        <v>66</v>
      </c>
      <c r="DX2658" s="8">
        <v>43965</v>
      </c>
      <c r="DY2658">
        <v>51</v>
      </c>
      <c r="DZ2658">
        <v>479</v>
      </c>
      <c r="EA2658">
        <v>3</v>
      </c>
    </row>
    <row r="2659" spans="1:325" ht="20.25">
      <c r="DV2659">
        <v>162</v>
      </c>
      <c r="DW2659" t="s">
        <v>66</v>
      </c>
      <c r="DX2659" s="8">
        <v>43966</v>
      </c>
      <c r="DY2659">
        <v>51</v>
      </c>
      <c r="DZ2659">
        <v>479</v>
      </c>
      <c r="EA2659">
        <v>3</v>
      </c>
    </row>
    <row r="2660" spans="1:325" ht="20.25">
      <c r="DV2660">
        <v>164</v>
      </c>
      <c r="DW2660" t="s">
        <v>101</v>
      </c>
      <c r="DX2660" s="8">
        <v>43914</v>
      </c>
      <c r="DY2660">
        <v>4</v>
      </c>
      <c r="EA2660">
        <v>0</v>
      </c>
    </row>
    <row r="2661" spans="1:325" ht="20.25">
      <c r="DV2661">
        <v>164</v>
      </c>
      <c r="DW2661" t="s">
        <v>101</v>
      </c>
      <c r="DX2661" s="8">
        <v>43915</v>
      </c>
      <c r="DY2661">
        <v>6</v>
      </c>
      <c r="EA2661">
        <v>0</v>
      </c>
    </row>
    <row r="2662" spans="1:325" ht="20.25">
      <c r="DV2662">
        <v>164</v>
      </c>
      <c r="DW2662" t="s">
        <v>101</v>
      </c>
      <c r="DX2662" s="8">
        <v>43916</v>
      </c>
      <c r="DY2662">
        <v>7</v>
      </c>
      <c r="EA2662">
        <v>0</v>
      </c>
    </row>
    <row r="2663" spans="1:325" ht="20.25">
      <c r="DV2663">
        <v>164</v>
      </c>
      <c r="DW2663" t="s">
        <v>101</v>
      </c>
      <c r="DX2663" s="8">
        <v>43917</v>
      </c>
      <c r="DY2663">
        <v>9</v>
      </c>
      <c r="EA2663">
        <v>0</v>
      </c>
    </row>
    <row r="2664" spans="1:325" ht="20.25">
      <c r="DV2664">
        <v>164</v>
      </c>
      <c r="DW2664" t="s">
        <v>101</v>
      </c>
      <c r="DX2664" s="8">
        <v>43918</v>
      </c>
      <c r="DY2664">
        <v>13</v>
      </c>
      <c r="EA2664">
        <v>0</v>
      </c>
    </row>
    <row r="2665" spans="1:325" ht="20.25">
      <c r="DV2665">
        <v>164</v>
      </c>
      <c r="DW2665" t="s">
        <v>101</v>
      </c>
      <c r="DX2665" s="8">
        <v>43919</v>
      </c>
      <c r="DY2665">
        <v>15</v>
      </c>
      <c r="EA2665">
        <v>0</v>
      </c>
    </row>
    <row r="2666" spans="1:325" ht="20.25">
      <c r="DV2666">
        <v>164</v>
      </c>
      <c r="DW2666" t="s">
        <v>101</v>
      </c>
      <c r="DX2666" s="8">
        <v>43920</v>
      </c>
      <c r="DY2666">
        <v>19</v>
      </c>
      <c r="EA2666">
        <v>0</v>
      </c>
    </row>
    <row r="2667" spans="1:325" ht="20.25">
      <c r="DV2667">
        <v>164</v>
      </c>
      <c r="DW2667" t="s">
        <v>101</v>
      </c>
      <c r="DX2667" s="8">
        <v>43921</v>
      </c>
      <c r="DY2667">
        <v>20</v>
      </c>
      <c r="EA2667">
        <v>0</v>
      </c>
    </row>
    <row r="2668" spans="1:325" ht="20.25">
      <c r="DV2668">
        <v>164</v>
      </c>
      <c r="DW2668" t="s">
        <v>101</v>
      </c>
      <c r="DX2668" s="8">
        <v>43922</v>
      </c>
      <c r="DY2668">
        <v>21</v>
      </c>
      <c r="EA2668">
        <v>0</v>
      </c>
    </row>
    <row r="2669" spans="1:325" ht="20.25">
      <c r="DV2669">
        <v>164</v>
      </c>
      <c r="DW2669" t="s">
        <v>101</v>
      </c>
      <c r="DX2669" s="8">
        <v>43923</v>
      </c>
      <c r="DY2669">
        <v>26</v>
      </c>
      <c r="EA2669">
        <v>0</v>
      </c>
    </row>
    <row r="2670" spans="1:325" ht="20.25">
      <c r="DV2670">
        <v>164</v>
      </c>
      <c r="DW2670" t="s">
        <v>101</v>
      </c>
      <c r="DX2670" s="8">
        <v>43924</v>
      </c>
      <c r="DY2670">
        <v>37</v>
      </c>
      <c r="EA2670">
        <v>2</v>
      </c>
    </row>
    <row r="2671" spans="1:325" ht="20.25">
      <c r="DV2671">
        <v>164</v>
      </c>
      <c r="DW2671" t="s">
        <v>101</v>
      </c>
      <c r="DX2671" s="8">
        <v>43925</v>
      </c>
      <c r="DY2671">
        <v>43</v>
      </c>
      <c r="EA2671">
        <v>3</v>
      </c>
    </row>
    <row r="2672" spans="1:325" ht="20.25">
      <c r="DV2672">
        <v>164</v>
      </c>
      <c r="DW2672" t="s">
        <v>101</v>
      </c>
      <c r="DX2672" s="8">
        <v>43926</v>
      </c>
      <c r="DY2672">
        <v>51</v>
      </c>
      <c r="EA2672">
        <v>5</v>
      </c>
    </row>
    <row r="2673" spans="1:325" ht="20.25">
      <c r="DV2673">
        <v>164</v>
      </c>
      <c r="DW2673" t="s">
        <v>101</v>
      </c>
      <c r="DX2673" s="8">
        <v>43927</v>
      </c>
      <c r="DY2673">
        <v>54</v>
      </c>
      <c r="EA2673">
        <v>7</v>
      </c>
    </row>
    <row r="2674" spans="1:325" ht="20.25">
      <c r="DV2674">
        <v>164</v>
      </c>
      <c r="DW2674" t="s">
        <v>101</v>
      </c>
      <c r="DX2674" s="8">
        <v>43928</v>
      </c>
      <c r="DY2674">
        <v>57</v>
      </c>
      <c r="EA2674">
        <v>8</v>
      </c>
    </row>
    <row r="2675" spans="1:325" ht="20.25">
      <c r="DV2675">
        <v>164</v>
      </c>
      <c r="DW2675" t="s">
        <v>101</v>
      </c>
      <c r="DX2675" s="8">
        <v>43929</v>
      </c>
      <c r="DY2675">
        <v>64</v>
      </c>
      <c r="EA2675">
        <v>9</v>
      </c>
    </row>
    <row r="2676" spans="1:325" ht="20.25">
      <c r="DV2676">
        <v>164</v>
      </c>
      <c r="DW2676" t="s">
        <v>101</v>
      </c>
      <c r="DX2676" s="8">
        <v>43930</v>
      </c>
      <c r="DY2676">
        <v>68</v>
      </c>
      <c r="EA2676">
        <v>9</v>
      </c>
    </row>
    <row r="2677" spans="1:325" ht="20.25">
      <c r="DV2677">
        <v>164</v>
      </c>
      <c r="DW2677" t="s">
        <v>101</v>
      </c>
      <c r="DX2677" s="8">
        <v>43931</v>
      </c>
      <c r="DY2677">
        <v>73</v>
      </c>
      <c r="EA2677">
        <v>10</v>
      </c>
    </row>
    <row r="2678" spans="1:325" ht="20.25">
      <c r="DV2678">
        <v>164</v>
      </c>
      <c r="DW2678" t="s">
        <v>101</v>
      </c>
      <c r="DX2678" s="8">
        <v>43932</v>
      </c>
      <c r="DY2678">
        <v>79</v>
      </c>
      <c r="EA2678">
        <v>12</v>
      </c>
    </row>
    <row r="2679" spans="1:325" ht="20.25">
      <c r="DV2679">
        <v>164</v>
      </c>
      <c r="DW2679" t="s">
        <v>101</v>
      </c>
      <c r="DX2679" s="8">
        <v>43933</v>
      </c>
      <c r="DY2679">
        <v>81</v>
      </c>
      <c r="EA2679">
        <v>14</v>
      </c>
    </row>
    <row r="2680" spans="1:325" ht="20.25">
      <c r="DV2680">
        <v>164</v>
      </c>
      <c r="DW2680" t="s">
        <v>101</v>
      </c>
      <c r="DX2680" s="8">
        <v>43934</v>
      </c>
      <c r="DY2680">
        <v>102</v>
      </c>
      <c r="EA2680">
        <v>16</v>
      </c>
    </row>
    <row r="2681" spans="1:325" ht="20.25">
      <c r="DV2681">
        <v>164</v>
      </c>
      <c r="DW2681" t="s">
        <v>101</v>
      </c>
      <c r="DX2681" s="8">
        <v>43935</v>
      </c>
      <c r="DY2681">
        <v>111</v>
      </c>
      <c r="EA2681">
        <v>17</v>
      </c>
    </row>
    <row r="2682" spans="1:325" ht="20.25">
      <c r="DV2682">
        <v>164</v>
      </c>
      <c r="DW2682" t="s">
        <v>101</v>
      </c>
      <c r="DX2682" s="8">
        <v>43936</v>
      </c>
      <c r="DY2682">
        <v>136</v>
      </c>
      <c r="EA2682">
        <v>28</v>
      </c>
    </row>
    <row r="2683" spans="1:325" ht="20.25">
      <c r="DV2683">
        <v>164</v>
      </c>
      <c r="DW2683" t="s">
        <v>101</v>
      </c>
      <c r="DX2683" s="8">
        <v>43937</v>
      </c>
      <c r="DY2683">
        <v>147</v>
      </c>
      <c r="DZ2683">
        <v>511</v>
      </c>
      <c r="EA2683">
        <v>32</v>
      </c>
    </row>
    <row r="2684" spans="1:325" ht="20.25">
      <c r="DV2684">
        <v>164</v>
      </c>
      <c r="DW2684" t="s">
        <v>101</v>
      </c>
      <c r="DX2684" s="8">
        <v>43938</v>
      </c>
      <c r="DY2684">
        <v>152</v>
      </c>
      <c r="DZ2684">
        <v>529</v>
      </c>
      <c r="EA2684">
        <v>33</v>
      </c>
    </row>
    <row r="2685" spans="1:325" ht="20.25">
      <c r="DV2685">
        <v>164</v>
      </c>
      <c r="DW2685" t="s">
        <v>101</v>
      </c>
      <c r="DX2685" s="8">
        <v>43939</v>
      </c>
      <c r="DY2685">
        <v>155</v>
      </c>
      <c r="DZ2685">
        <v>539</v>
      </c>
      <c r="EA2685">
        <v>34</v>
      </c>
    </row>
    <row r="2686" spans="1:325" ht="20.25">
      <c r="DV2686">
        <v>164</v>
      </c>
      <c r="DW2686" t="s">
        <v>101</v>
      </c>
      <c r="DX2686" s="8">
        <v>43940</v>
      </c>
      <c r="DY2686">
        <v>157</v>
      </c>
      <c r="DZ2686">
        <v>546</v>
      </c>
      <c r="EA2686">
        <v>35</v>
      </c>
    </row>
    <row r="2687" spans="1:325" ht="20.25">
      <c r="DV2687">
        <v>164</v>
      </c>
      <c r="DW2687" t="s">
        <v>101</v>
      </c>
      <c r="DX2687" s="8">
        <v>43941</v>
      </c>
      <c r="DY2687">
        <v>200</v>
      </c>
      <c r="DZ2687">
        <v>695</v>
      </c>
      <c r="EA2687">
        <v>46</v>
      </c>
    </row>
    <row r="2688" spans="1:325" ht="20.25">
      <c r="DV2688">
        <v>164</v>
      </c>
      <c r="DW2688" t="s">
        <v>101</v>
      </c>
      <c r="DX2688" s="8">
        <v>43942</v>
      </c>
      <c r="DY2688">
        <v>213</v>
      </c>
      <c r="DZ2688">
        <v>741</v>
      </c>
      <c r="EA2688">
        <v>50</v>
      </c>
    </row>
    <row r="2689" spans="1:325" ht="20.25">
      <c r="DV2689">
        <v>164</v>
      </c>
      <c r="DW2689" t="s">
        <v>101</v>
      </c>
      <c r="DX2689" s="8">
        <v>43943</v>
      </c>
      <c r="DY2689">
        <v>224</v>
      </c>
      <c r="DZ2689">
        <v>779</v>
      </c>
      <c r="EA2689">
        <v>54</v>
      </c>
    </row>
    <row r="2690" spans="1:325" ht="20.25">
      <c r="DV2690">
        <v>164</v>
      </c>
      <c r="DW2690" t="s">
        <v>101</v>
      </c>
      <c r="DX2690" s="8">
        <v>43944</v>
      </c>
      <c r="DY2690">
        <v>233</v>
      </c>
      <c r="DZ2690">
        <v>810</v>
      </c>
      <c r="EA2690">
        <v>55</v>
      </c>
    </row>
    <row r="2691" spans="1:325" ht="20.25">
      <c r="DV2691">
        <v>164</v>
      </c>
      <c r="DW2691" t="s">
        <v>101</v>
      </c>
      <c r="DX2691" s="8">
        <v>43945</v>
      </c>
      <c r="DY2691">
        <v>248</v>
      </c>
      <c r="DZ2691">
        <v>862</v>
      </c>
      <c r="EA2691">
        <v>60</v>
      </c>
    </row>
    <row r="2692" spans="1:325" ht="20.25">
      <c r="DV2692">
        <v>164</v>
      </c>
      <c r="DW2692" t="s">
        <v>101</v>
      </c>
      <c r="DX2692" s="8">
        <v>43946</v>
      </c>
      <c r="DY2692">
        <v>261</v>
      </c>
      <c r="DZ2692">
        <v>908</v>
      </c>
      <c r="EA2692">
        <v>65</v>
      </c>
    </row>
    <row r="2693" spans="1:325" ht="20.25">
      <c r="DV2693">
        <v>164</v>
      </c>
      <c r="DW2693" t="s">
        <v>101</v>
      </c>
      <c r="DX2693" s="8">
        <v>43947</v>
      </c>
      <c r="DY2693">
        <v>281</v>
      </c>
      <c r="DZ2693">
        <v>977</v>
      </c>
      <c r="EA2693">
        <v>67</v>
      </c>
    </row>
    <row r="2694" spans="1:325" ht="20.25">
      <c r="DV2694">
        <v>164</v>
      </c>
      <c r="DW2694" t="s">
        <v>101</v>
      </c>
      <c r="DX2694" s="8">
        <v>43948</v>
      </c>
      <c r="DY2694">
        <v>283</v>
      </c>
      <c r="DZ2694">
        <v>984</v>
      </c>
      <c r="EA2694">
        <v>70</v>
      </c>
    </row>
    <row r="2695" spans="1:325" ht="20.25">
      <c r="DV2695">
        <v>164</v>
      </c>
      <c r="DW2695" t="s">
        <v>101</v>
      </c>
      <c r="DX2695" s="8">
        <v>43949</v>
      </c>
      <c r="DY2695">
        <v>285</v>
      </c>
      <c r="DZ2695">
        <v>991</v>
      </c>
      <c r="EA2695">
        <v>73</v>
      </c>
    </row>
    <row r="2696" spans="1:325" ht="20.25">
      <c r="DV2696">
        <v>164</v>
      </c>
      <c r="DW2696" t="s">
        <v>101</v>
      </c>
      <c r="DX2696" s="8">
        <v>43950</v>
      </c>
      <c r="DY2696">
        <v>305</v>
      </c>
      <c r="DZ2696">
        <v>1061</v>
      </c>
      <c r="EA2696">
        <v>73</v>
      </c>
    </row>
    <row r="2697" spans="1:325" ht="20.25">
      <c r="DV2697">
        <v>164</v>
      </c>
      <c r="DW2697" t="s">
        <v>101</v>
      </c>
      <c r="DX2697" s="8">
        <v>43951</v>
      </c>
      <c r="DY2697">
        <v>316</v>
      </c>
      <c r="DZ2697">
        <v>1099</v>
      </c>
      <c r="EA2697">
        <v>76</v>
      </c>
    </row>
    <row r="2698" spans="1:325" ht="20.25">
      <c r="DV2698">
        <v>164</v>
      </c>
      <c r="DW2698" t="s">
        <v>101</v>
      </c>
      <c r="DX2698" s="8">
        <v>43952</v>
      </c>
      <c r="DY2698">
        <v>329</v>
      </c>
      <c r="DZ2698">
        <v>1144</v>
      </c>
      <c r="EA2698">
        <v>76</v>
      </c>
    </row>
    <row r="2699" spans="1:325" ht="20.25">
      <c r="DV2699">
        <v>164</v>
      </c>
      <c r="DW2699" t="s">
        <v>101</v>
      </c>
      <c r="DX2699" s="8">
        <v>43953</v>
      </c>
      <c r="DY2699">
        <v>332</v>
      </c>
      <c r="DZ2699">
        <v>1154</v>
      </c>
      <c r="EA2699">
        <v>78</v>
      </c>
    </row>
    <row r="2700" spans="1:325" ht="20.25">
      <c r="DV2700">
        <v>164</v>
      </c>
      <c r="DW2700" t="s">
        <v>101</v>
      </c>
      <c r="DX2700" s="8">
        <v>43954</v>
      </c>
      <c r="DY2700">
        <v>337</v>
      </c>
      <c r="DZ2700">
        <v>1172</v>
      </c>
      <c r="EA2700">
        <v>82</v>
      </c>
    </row>
    <row r="2701" spans="1:325" ht="20.25">
      <c r="DV2701">
        <v>164</v>
      </c>
      <c r="DW2701" t="s">
        <v>101</v>
      </c>
      <c r="DX2701" s="8">
        <v>43955</v>
      </c>
      <c r="DY2701">
        <v>347</v>
      </c>
      <c r="DZ2701">
        <v>1207</v>
      </c>
      <c r="EA2701">
        <v>86</v>
      </c>
    </row>
    <row r="2702" spans="1:325" ht="20.25">
      <c r="DV2702">
        <v>164</v>
      </c>
      <c r="DW2702" t="s">
        <v>101</v>
      </c>
      <c r="DX2702" s="8">
        <v>43956</v>
      </c>
      <c r="DY2702">
        <v>352</v>
      </c>
      <c r="DZ2702">
        <v>1224</v>
      </c>
      <c r="EA2702">
        <v>87</v>
      </c>
    </row>
    <row r="2703" spans="1:325" ht="20.25">
      <c r="DV2703">
        <v>164</v>
      </c>
      <c r="DW2703" t="s">
        <v>101</v>
      </c>
      <c r="DX2703" s="8">
        <v>43957</v>
      </c>
      <c r="DY2703">
        <v>356</v>
      </c>
      <c r="DZ2703">
        <v>1238</v>
      </c>
      <c r="EA2703">
        <v>89</v>
      </c>
    </row>
    <row r="2704" spans="1:325" ht="20.25">
      <c r="DV2704">
        <v>164</v>
      </c>
      <c r="DW2704" t="s">
        <v>101</v>
      </c>
      <c r="DX2704" s="8">
        <v>43958</v>
      </c>
      <c r="DY2704">
        <v>360</v>
      </c>
      <c r="DZ2704">
        <v>1252</v>
      </c>
      <c r="EA2704">
        <v>89</v>
      </c>
    </row>
    <row r="2705" spans="1:325" ht="20.25">
      <c r="DV2705">
        <v>164</v>
      </c>
      <c r="DW2705" t="s">
        <v>101</v>
      </c>
      <c r="DX2705" s="8">
        <v>43959</v>
      </c>
      <c r="DY2705">
        <v>365</v>
      </c>
      <c r="DZ2705">
        <v>1269</v>
      </c>
      <c r="EA2705">
        <v>90</v>
      </c>
    </row>
    <row r="2706" spans="1:325" ht="20.25">
      <c r="DV2706">
        <v>164</v>
      </c>
      <c r="DW2706" t="s">
        <v>101</v>
      </c>
      <c r="DX2706" s="8">
        <v>43960</v>
      </c>
      <c r="DY2706">
        <v>367</v>
      </c>
      <c r="DZ2706">
        <v>1276</v>
      </c>
      <c r="EA2706">
        <v>90</v>
      </c>
    </row>
    <row r="2707" spans="1:325" ht="20.25">
      <c r="DV2707">
        <v>164</v>
      </c>
      <c r="DW2707" t="s">
        <v>101</v>
      </c>
      <c r="DX2707" s="8">
        <v>43961</v>
      </c>
      <c r="DY2707">
        <v>372</v>
      </c>
      <c r="DZ2707">
        <v>1293</v>
      </c>
      <c r="EA2707">
        <v>90</v>
      </c>
    </row>
    <row r="2708" spans="1:325" ht="20.25">
      <c r="DV2708">
        <v>164</v>
      </c>
      <c r="DW2708" t="s">
        <v>101</v>
      </c>
      <c r="DX2708" s="8">
        <v>43962</v>
      </c>
      <c r="DY2708">
        <v>376</v>
      </c>
      <c r="DZ2708">
        <v>1307</v>
      </c>
      <c r="EA2708">
        <v>91</v>
      </c>
    </row>
    <row r="2709" spans="1:325" ht="20.25">
      <c r="DV2709">
        <v>164</v>
      </c>
      <c r="DW2709" t="s">
        <v>101</v>
      </c>
      <c r="DX2709" s="8">
        <v>43963</v>
      </c>
      <c r="DY2709">
        <v>383</v>
      </c>
      <c r="DZ2709">
        <v>1332</v>
      </c>
      <c r="EA2709">
        <v>92</v>
      </c>
    </row>
    <row r="2710" spans="1:325" ht="20.25">
      <c r="DV2710">
        <v>164</v>
      </c>
      <c r="DW2710" t="s">
        <v>101</v>
      </c>
      <c r="DX2710" s="8">
        <v>43964</v>
      </c>
      <c r="DY2710">
        <v>391</v>
      </c>
      <c r="DZ2710">
        <v>1360</v>
      </c>
      <c r="EA2710">
        <v>92</v>
      </c>
    </row>
    <row r="2711" spans="1:325" ht="20.25">
      <c r="DV2711">
        <v>164</v>
      </c>
      <c r="DW2711" t="s">
        <v>101</v>
      </c>
      <c r="DX2711" s="8">
        <v>43965</v>
      </c>
      <c r="DY2711">
        <v>398</v>
      </c>
      <c r="DZ2711">
        <v>1384</v>
      </c>
      <c r="EA2711">
        <v>91</v>
      </c>
    </row>
    <row r="2712" spans="1:325" ht="20.25">
      <c r="DV2712">
        <v>164</v>
      </c>
      <c r="DW2712" t="s">
        <v>101</v>
      </c>
      <c r="DX2712" s="8">
        <v>43966</v>
      </c>
      <c r="DY2712">
        <v>423</v>
      </c>
      <c r="DZ2712">
        <v>1471</v>
      </c>
      <c r="EA2712">
        <v>92</v>
      </c>
    </row>
    <row r="2713" spans="1:325" ht="20.25">
      <c r="DV2713">
        <v>165</v>
      </c>
      <c r="DW2713" t="s">
        <v>102</v>
      </c>
      <c r="DX2713" s="8">
        <v>43914</v>
      </c>
      <c r="DY2713">
        <v>2</v>
      </c>
      <c r="EA2713">
        <v>0</v>
      </c>
    </row>
    <row r="2714" spans="1:325" ht="20.25">
      <c r="DV2714">
        <v>165</v>
      </c>
      <c r="DW2714" t="s">
        <v>102</v>
      </c>
      <c r="DX2714" s="8">
        <v>43915</v>
      </c>
      <c r="DY2714">
        <v>2</v>
      </c>
      <c r="EA2714">
        <v>0</v>
      </c>
    </row>
    <row r="2715" spans="1:325" ht="20.25">
      <c r="DV2715">
        <v>165</v>
      </c>
      <c r="DW2715" t="s">
        <v>102</v>
      </c>
      <c r="DX2715" s="8">
        <v>43916</v>
      </c>
      <c r="DY2715">
        <v>2</v>
      </c>
      <c r="EA2715">
        <v>0</v>
      </c>
    </row>
    <row r="2716" spans="1:325" ht="20.25">
      <c r="DV2716">
        <v>165</v>
      </c>
      <c r="DW2716" t="s">
        <v>102</v>
      </c>
      <c r="DX2716" s="8">
        <v>43917</v>
      </c>
      <c r="DY2716">
        <v>2</v>
      </c>
      <c r="EA2716">
        <v>0</v>
      </c>
    </row>
    <row r="2717" spans="1:325" ht="20.25">
      <c r="DV2717">
        <v>165</v>
      </c>
      <c r="DW2717" t="s">
        <v>102</v>
      </c>
      <c r="DX2717" s="8">
        <v>43918</v>
      </c>
      <c r="DY2717">
        <v>2</v>
      </c>
      <c r="EA2717">
        <v>0</v>
      </c>
    </row>
    <row r="2718" spans="1:325" ht="20.25">
      <c r="DV2718">
        <v>165</v>
      </c>
      <c r="DW2718" t="s">
        <v>102</v>
      </c>
      <c r="DX2718" s="8">
        <v>43919</v>
      </c>
      <c r="DY2718">
        <v>2</v>
      </c>
      <c r="EA2718">
        <v>0</v>
      </c>
    </row>
    <row r="2719" spans="1:325" ht="20.25">
      <c r="DV2719">
        <v>165</v>
      </c>
      <c r="DW2719" t="s">
        <v>102</v>
      </c>
      <c r="DX2719" s="8">
        <v>43920</v>
      </c>
      <c r="DY2719">
        <v>2</v>
      </c>
      <c r="EA2719">
        <v>0</v>
      </c>
    </row>
    <row r="2720" spans="1:325" ht="20.25">
      <c r="DV2720">
        <v>165</v>
      </c>
      <c r="DW2720" t="s">
        <v>102</v>
      </c>
      <c r="DX2720" s="8">
        <v>43921</v>
      </c>
      <c r="DY2720">
        <v>4</v>
      </c>
      <c r="EA2720">
        <v>0</v>
      </c>
    </row>
    <row r="2721" spans="1:325" ht="20.25">
      <c r="DV2721">
        <v>165</v>
      </c>
      <c r="DW2721" t="s">
        <v>102</v>
      </c>
      <c r="DX2721" s="8">
        <v>43922</v>
      </c>
      <c r="DY2721">
        <v>7</v>
      </c>
      <c r="EA2721">
        <v>0</v>
      </c>
    </row>
    <row r="2722" spans="1:325" ht="20.25">
      <c r="DV2722">
        <v>165</v>
      </c>
      <c r="DW2722" t="s">
        <v>102</v>
      </c>
      <c r="DX2722" s="8">
        <v>43923</v>
      </c>
      <c r="DY2722">
        <v>7</v>
      </c>
      <c r="EA2722">
        <v>0</v>
      </c>
    </row>
    <row r="2723" spans="1:325" ht="20.25">
      <c r="DV2723">
        <v>165</v>
      </c>
      <c r="DW2723" t="s">
        <v>102</v>
      </c>
      <c r="DX2723" s="8">
        <v>43924</v>
      </c>
      <c r="DY2723">
        <v>6</v>
      </c>
      <c r="EA2723">
        <v>0</v>
      </c>
    </row>
    <row r="2724" spans="1:325" ht="20.25">
      <c r="DV2724">
        <v>165</v>
      </c>
      <c r="DW2724" t="s">
        <v>102</v>
      </c>
      <c r="DX2724" s="8">
        <v>43925</v>
      </c>
      <c r="DY2724">
        <v>8</v>
      </c>
      <c r="EA2724">
        <v>0</v>
      </c>
    </row>
    <row r="2725" spans="1:325" ht="20.25">
      <c r="DV2725">
        <v>165</v>
      </c>
      <c r="DW2725" t="s">
        <v>102</v>
      </c>
      <c r="DX2725" s="8">
        <v>43926</v>
      </c>
      <c r="DY2725">
        <v>8</v>
      </c>
      <c r="EA2725">
        <v>0</v>
      </c>
    </row>
    <row r="2726" spans="1:325" ht="20.25">
      <c r="DV2726">
        <v>165</v>
      </c>
      <c r="DW2726" t="s">
        <v>102</v>
      </c>
      <c r="DX2726" s="8">
        <v>43927</v>
      </c>
      <c r="DY2726">
        <v>11</v>
      </c>
      <c r="EA2726">
        <v>0</v>
      </c>
    </row>
    <row r="2727" spans="1:325" ht="20.25">
      <c r="DV2727">
        <v>165</v>
      </c>
      <c r="DW2727" t="s">
        <v>102</v>
      </c>
      <c r="DX2727" s="8">
        <v>43928</v>
      </c>
      <c r="DY2727">
        <v>14</v>
      </c>
      <c r="EA2727">
        <v>1</v>
      </c>
    </row>
    <row r="2728" spans="1:325" ht="20.25">
      <c r="DV2728">
        <v>165</v>
      </c>
      <c r="DW2728" t="s">
        <v>102</v>
      </c>
      <c r="DX2728" s="8">
        <v>43929</v>
      </c>
      <c r="DY2728">
        <v>16</v>
      </c>
      <c r="EA2728">
        <v>2</v>
      </c>
    </row>
    <row r="2729" spans="1:325" ht="20.25">
      <c r="DV2729">
        <v>165</v>
      </c>
      <c r="DW2729" t="s">
        <v>102</v>
      </c>
      <c r="DX2729" s="8">
        <v>43930</v>
      </c>
      <c r="DY2729">
        <v>16</v>
      </c>
      <c r="EA2729">
        <v>3</v>
      </c>
    </row>
    <row r="2730" spans="1:325" ht="20.25">
      <c r="DV2730">
        <v>165</v>
      </c>
      <c r="DW2730" t="s">
        <v>102</v>
      </c>
      <c r="DX2730" s="8">
        <v>43931</v>
      </c>
      <c r="DY2730">
        <v>16</v>
      </c>
      <c r="EA2730">
        <v>3</v>
      </c>
    </row>
    <row r="2731" spans="1:325" ht="20.25">
      <c r="DV2731">
        <v>165</v>
      </c>
      <c r="DW2731" t="s">
        <v>102</v>
      </c>
      <c r="DX2731" s="8">
        <v>43932</v>
      </c>
      <c r="DY2731">
        <v>18</v>
      </c>
      <c r="EA2731">
        <v>3</v>
      </c>
    </row>
    <row r="2732" spans="1:325" ht="20.25">
      <c r="DV2732">
        <v>165</v>
      </c>
      <c r="DW2732" t="s">
        <v>102</v>
      </c>
      <c r="DX2732" s="8">
        <v>43933</v>
      </c>
      <c r="DY2732">
        <v>18</v>
      </c>
      <c r="EA2732">
        <v>3</v>
      </c>
    </row>
    <row r="2733" spans="1:325" ht="20.25">
      <c r="DV2733">
        <v>165</v>
      </c>
      <c r="DW2733" t="s">
        <v>102</v>
      </c>
      <c r="DX2733" s="8">
        <v>43934</v>
      </c>
      <c r="DY2733">
        <v>21</v>
      </c>
      <c r="EA2733">
        <v>3</v>
      </c>
    </row>
    <row r="2734" spans="1:325" ht="20.25">
      <c r="DV2734">
        <v>165</v>
      </c>
      <c r="DW2734" t="s">
        <v>102</v>
      </c>
      <c r="DX2734" s="8">
        <v>43935</v>
      </c>
      <c r="DY2734">
        <v>22</v>
      </c>
      <c r="EA2734">
        <v>3</v>
      </c>
    </row>
    <row r="2735" spans="1:325" ht="20.25">
      <c r="DV2735">
        <v>165</v>
      </c>
      <c r="DW2735" t="s">
        <v>102</v>
      </c>
      <c r="DX2735" s="8">
        <v>43936</v>
      </c>
      <c r="DY2735">
        <v>24</v>
      </c>
      <c r="EA2735">
        <v>3</v>
      </c>
    </row>
    <row r="2736" spans="1:325" ht="20.25">
      <c r="DV2736">
        <v>165</v>
      </c>
      <c r="DW2736" t="s">
        <v>102</v>
      </c>
      <c r="DX2736" s="8">
        <v>43937</v>
      </c>
      <c r="DY2736">
        <v>24</v>
      </c>
      <c r="DZ2736">
        <v>186</v>
      </c>
      <c r="EA2736">
        <v>3</v>
      </c>
    </row>
    <row r="2737" spans="1:325" ht="20.25">
      <c r="DV2737">
        <v>165</v>
      </c>
      <c r="DW2737" t="s">
        <v>102</v>
      </c>
      <c r="DX2737" s="8">
        <v>43938</v>
      </c>
      <c r="DY2737">
        <v>25</v>
      </c>
      <c r="DZ2737">
        <v>194</v>
      </c>
      <c r="EA2737">
        <v>4</v>
      </c>
    </row>
    <row r="2738" spans="1:325" ht="20.25">
      <c r="DV2738">
        <v>165</v>
      </c>
      <c r="DW2738" t="s">
        <v>102</v>
      </c>
      <c r="DX2738" s="8">
        <v>43939</v>
      </c>
      <c r="DY2738">
        <v>25</v>
      </c>
      <c r="DZ2738">
        <v>194</v>
      </c>
      <c r="EA2738">
        <v>4</v>
      </c>
    </row>
    <row r="2739" spans="1:325" ht="20.25">
      <c r="DV2739">
        <v>165</v>
      </c>
      <c r="DW2739" t="s">
        <v>102</v>
      </c>
      <c r="DX2739" s="8">
        <v>43940</v>
      </c>
      <c r="DY2739">
        <v>27</v>
      </c>
      <c r="DZ2739">
        <v>210</v>
      </c>
      <c r="EA2739">
        <v>4</v>
      </c>
    </row>
    <row r="2740" spans="1:325" ht="20.25">
      <c r="DV2740">
        <v>165</v>
      </c>
      <c r="DW2740" t="s">
        <v>102</v>
      </c>
      <c r="DX2740" s="8">
        <v>43941</v>
      </c>
      <c r="DY2740">
        <v>29</v>
      </c>
      <c r="DZ2740">
        <v>225</v>
      </c>
      <c r="EA2740">
        <v>5</v>
      </c>
    </row>
    <row r="2741" spans="1:325" ht="20.25">
      <c r="DV2741">
        <v>165</v>
      </c>
      <c r="DW2741" t="s">
        <v>102</v>
      </c>
      <c r="DX2741" s="8">
        <v>43942</v>
      </c>
      <c r="DY2741">
        <v>29</v>
      </c>
      <c r="DZ2741">
        <v>225</v>
      </c>
      <c r="EA2741">
        <v>5</v>
      </c>
    </row>
    <row r="2742" spans="1:325" ht="20.25">
      <c r="DV2742">
        <v>165</v>
      </c>
      <c r="DW2742" t="s">
        <v>102</v>
      </c>
      <c r="DX2742" s="8">
        <v>43943</v>
      </c>
      <c r="DY2742">
        <v>31</v>
      </c>
      <c r="DZ2742">
        <v>241</v>
      </c>
      <c r="EA2742">
        <v>5</v>
      </c>
    </row>
    <row r="2743" spans="1:325" ht="20.25">
      <c r="DV2743">
        <v>165</v>
      </c>
      <c r="DW2743" t="s">
        <v>102</v>
      </c>
      <c r="DX2743" s="8">
        <v>43944</v>
      </c>
      <c r="DY2743">
        <v>33</v>
      </c>
      <c r="DZ2743">
        <v>256</v>
      </c>
      <c r="EA2743">
        <v>5</v>
      </c>
    </row>
    <row r="2744" spans="1:325" ht="20.25">
      <c r="DV2744">
        <v>165</v>
      </c>
      <c r="DW2744" t="s">
        <v>102</v>
      </c>
      <c r="DX2744" s="8">
        <v>43945</v>
      </c>
      <c r="DY2744">
        <v>36</v>
      </c>
      <c r="DZ2744">
        <v>280</v>
      </c>
      <c r="EA2744">
        <v>5</v>
      </c>
    </row>
    <row r="2745" spans="1:325" ht="20.25">
      <c r="DV2745">
        <v>165</v>
      </c>
      <c r="DW2745" t="s">
        <v>102</v>
      </c>
      <c r="DX2745" s="8">
        <v>43946</v>
      </c>
      <c r="DY2745">
        <v>37</v>
      </c>
      <c r="DZ2745">
        <v>287</v>
      </c>
      <c r="EA2745">
        <v>5</v>
      </c>
    </row>
    <row r="2746" spans="1:325" ht="20.25">
      <c r="DV2746">
        <v>165</v>
      </c>
      <c r="DW2746" t="s">
        <v>102</v>
      </c>
      <c r="DX2746" s="8">
        <v>43947</v>
      </c>
      <c r="DY2746">
        <v>39</v>
      </c>
      <c r="DZ2746">
        <v>303</v>
      </c>
      <c r="EA2746">
        <v>5</v>
      </c>
    </row>
    <row r="2747" spans="1:325" ht="20.25">
      <c r="DV2747">
        <v>165</v>
      </c>
      <c r="DW2747" t="s">
        <v>102</v>
      </c>
      <c r="DX2747" s="8">
        <v>43948</v>
      </c>
      <c r="DY2747">
        <v>40</v>
      </c>
      <c r="DZ2747">
        <v>311</v>
      </c>
      <c r="EA2747">
        <v>5</v>
      </c>
    </row>
    <row r="2748" spans="1:325" ht="20.25">
      <c r="DV2748">
        <v>165</v>
      </c>
      <c r="DW2748" t="s">
        <v>102</v>
      </c>
      <c r="DX2748" s="8">
        <v>43949</v>
      </c>
      <c r="DY2748">
        <v>43</v>
      </c>
      <c r="DZ2748">
        <v>334</v>
      </c>
      <c r="EA2748">
        <v>5</v>
      </c>
    </row>
    <row r="2749" spans="1:325" ht="20.25">
      <c r="DV2749">
        <v>165</v>
      </c>
      <c r="DW2749" t="s">
        <v>102</v>
      </c>
      <c r="DX2749" s="8">
        <v>43950</v>
      </c>
      <c r="DY2749">
        <v>43</v>
      </c>
      <c r="DZ2749">
        <v>334</v>
      </c>
      <c r="EA2749">
        <v>4</v>
      </c>
    </row>
    <row r="2750" spans="1:325" ht="20.25">
      <c r="DV2750">
        <v>165</v>
      </c>
      <c r="DW2750" t="s">
        <v>102</v>
      </c>
      <c r="DX2750" s="8">
        <v>43951</v>
      </c>
      <c r="DY2750">
        <v>42</v>
      </c>
      <c r="DZ2750">
        <v>326</v>
      </c>
      <c r="EA2750">
        <v>2</v>
      </c>
    </row>
    <row r="2751" spans="1:325" ht="20.25">
      <c r="DV2751">
        <v>165</v>
      </c>
      <c r="DW2751" t="s">
        <v>102</v>
      </c>
      <c r="DX2751" s="8">
        <v>43952</v>
      </c>
      <c r="DY2751">
        <v>44</v>
      </c>
      <c r="DZ2751">
        <v>342</v>
      </c>
      <c r="EA2751">
        <v>2</v>
      </c>
    </row>
    <row r="2752" spans="1:325" ht="20.25">
      <c r="DV2752">
        <v>165</v>
      </c>
      <c r="DW2752" t="s">
        <v>102</v>
      </c>
      <c r="DX2752" s="8">
        <v>43953</v>
      </c>
      <c r="DY2752">
        <v>47</v>
      </c>
      <c r="DZ2752">
        <v>365</v>
      </c>
      <c r="EA2752">
        <v>2</v>
      </c>
    </row>
    <row r="2753" spans="1:325" ht="20.25">
      <c r="DV2753">
        <v>165</v>
      </c>
      <c r="DW2753" t="s">
        <v>102</v>
      </c>
      <c r="DX2753" s="8">
        <v>43954</v>
      </c>
      <c r="DY2753">
        <v>47</v>
      </c>
      <c r="DZ2753">
        <v>365</v>
      </c>
      <c r="EA2753">
        <v>2</v>
      </c>
    </row>
    <row r="2754" spans="1:325" ht="20.25">
      <c r="DV2754">
        <v>165</v>
      </c>
      <c r="DW2754" t="s">
        <v>102</v>
      </c>
      <c r="DX2754" s="8">
        <v>43955</v>
      </c>
      <c r="DY2754">
        <v>53</v>
      </c>
      <c r="DZ2754">
        <v>412</v>
      </c>
      <c r="EA2754">
        <v>6</v>
      </c>
    </row>
    <row r="2755" spans="1:325" ht="20.25">
      <c r="DV2755">
        <v>165</v>
      </c>
      <c r="DW2755" t="s">
        <v>102</v>
      </c>
      <c r="DX2755" s="8">
        <v>43956</v>
      </c>
      <c r="DY2755">
        <v>60</v>
      </c>
      <c r="DZ2755">
        <v>466</v>
      </c>
      <c r="EA2755">
        <v>7</v>
      </c>
    </row>
    <row r="2756" spans="1:325" ht="20.25">
      <c r="DV2756">
        <v>165</v>
      </c>
      <c r="DW2756" t="s">
        <v>102</v>
      </c>
      <c r="DX2756" s="8">
        <v>43957</v>
      </c>
      <c r="DY2756">
        <v>70</v>
      </c>
      <c r="DZ2756">
        <v>544</v>
      </c>
      <c r="EA2756">
        <v>6</v>
      </c>
    </row>
    <row r="2757" spans="1:325" ht="20.25">
      <c r="DV2757">
        <v>165</v>
      </c>
      <c r="DW2757" t="s">
        <v>102</v>
      </c>
      <c r="DX2757" s="8">
        <v>43958</v>
      </c>
      <c r="DY2757">
        <v>74</v>
      </c>
      <c r="DZ2757">
        <v>575</v>
      </c>
      <c r="EA2757">
        <v>7</v>
      </c>
    </row>
    <row r="2758" spans="1:325" ht="20.25">
      <c r="DV2758">
        <v>165</v>
      </c>
      <c r="DW2758" t="s">
        <v>102</v>
      </c>
      <c r="DX2758" s="8">
        <v>43959</v>
      </c>
      <c r="DY2758">
        <v>74</v>
      </c>
      <c r="DZ2758">
        <v>575</v>
      </c>
      <c r="EA2758">
        <v>7</v>
      </c>
    </row>
    <row r="2759" spans="1:325" ht="20.25">
      <c r="DV2759">
        <v>165</v>
      </c>
      <c r="DW2759" t="s">
        <v>102</v>
      </c>
      <c r="DX2759" s="8">
        <v>43960</v>
      </c>
      <c r="DY2759">
        <v>77</v>
      </c>
      <c r="DZ2759">
        <v>598</v>
      </c>
      <c r="EA2759">
        <v>7</v>
      </c>
    </row>
    <row r="2760" spans="1:325" ht="20.25">
      <c r="DV2760">
        <v>165</v>
      </c>
      <c r="DW2760" t="s">
        <v>102</v>
      </c>
      <c r="DX2760" s="8">
        <v>43961</v>
      </c>
      <c r="DY2760">
        <v>79</v>
      </c>
      <c r="DZ2760">
        <v>614</v>
      </c>
      <c r="EA2760">
        <v>7</v>
      </c>
    </row>
    <row r="2761" spans="1:325" ht="20.25">
      <c r="DV2761">
        <v>165</v>
      </c>
      <c r="DW2761" t="s">
        <v>102</v>
      </c>
      <c r="DX2761" s="8">
        <v>43962</v>
      </c>
      <c r="DY2761">
        <v>81</v>
      </c>
      <c r="DZ2761">
        <v>629</v>
      </c>
      <c r="EA2761">
        <v>7</v>
      </c>
    </row>
    <row r="2762" spans="1:325" ht="20.25">
      <c r="DV2762">
        <v>165</v>
      </c>
      <c r="DW2762" t="s">
        <v>102</v>
      </c>
      <c r="DX2762" s="8">
        <v>43963</v>
      </c>
      <c r="DY2762">
        <v>86</v>
      </c>
      <c r="DZ2762">
        <v>668</v>
      </c>
      <c r="EA2762">
        <v>8</v>
      </c>
    </row>
    <row r="2763" spans="1:325" ht="20.25">
      <c r="DV2763">
        <v>165</v>
      </c>
      <c r="DW2763" t="s">
        <v>102</v>
      </c>
      <c r="DX2763" s="8">
        <v>43964</v>
      </c>
      <c r="DY2763">
        <v>87</v>
      </c>
      <c r="DZ2763">
        <v>676</v>
      </c>
      <c r="EA2763">
        <v>11</v>
      </c>
    </row>
    <row r="2764" spans="1:325" ht="20.25">
      <c r="DV2764">
        <v>165</v>
      </c>
      <c r="DW2764" t="s">
        <v>102</v>
      </c>
      <c r="DX2764" s="8">
        <v>43965</v>
      </c>
      <c r="DY2764">
        <v>88</v>
      </c>
      <c r="DZ2764">
        <v>683</v>
      </c>
      <c r="EA2764">
        <v>12</v>
      </c>
    </row>
    <row r="2765" spans="1:325" ht="20.25">
      <c r="DV2765">
        <v>165</v>
      </c>
      <c r="DW2765" t="s">
        <v>102</v>
      </c>
      <c r="DX2765" s="8">
        <v>43966</v>
      </c>
      <c r="DY2765">
        <v>91</v>
      </c>
      <c r="DZ2765">
        <v>707</v>
      </c>
      <c r="EA2765">
        <v>13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4" width="9.142307692307693"/>
    <col min="2" max="2" style="14" width="14.142007211538463" customWidth="1"/>
    <col min="3" max="3" style="15" width="21.560608974358978" customWidth="1"/>
    <col min="4" max="4" style="14" width="3.2855168269230774" customWidth="1"/>
    <col min="5" max="5" style="14" width="3.856911057692308" customWidth="1"/>
    <col min="6" max="6" style="14" width="22.70339743589744" customWidth="1"/>
    <col min="7" max="7" style="14" width="3.1426682692307697" customWidth="1"/>
    <col min="8" max="8" style="14" width="2.5712740384615387" customWidth="1"/>
    <col min="9" max="9" style="14" width="2.999819711538462" customWidth="1"/>
    <col min="10" max="10" style="14" width="2.1427283653846154" customWidth="1"/>
    <col min="11" max="11" style="14" width="2.999819711538462" customWidth="1"/>
    <col min="12" max="12" style="14" width="2.1427283653846154" customWidth="1"/>
    <col min="13" max="13" style="14" width="1.9998798076923079" customWidth="1"/>
    <col min="14" max="14" style="15" width="17.42752403846154" customWidth="1"/>
    <col min="15" max="15" style="14" width="9.142307692307693"/>
    <col min="16" max="16" style="14" width="19.846426282051283" customWidth="1"/>
    <col min="17" max="18" style="14" width="9.142307692307693"/>
    <col min="19" max="19" style="14" width="9.99939903846154" bestFit="1" customWidth="1"/>
    <col min="20" max="512" style="14" width="9.142307692307693"/>
  </cols>
  <sheetData>
    <row r="1" spans="3:19" ht="19.5">
      <c r="N1" t="inlineStr">
        <is>
          <t>Series: March 10th  Source: github:</t>
        </is>
      </c>
      <c r="R1" t="s">
        <v>74</v>
      </c>
      <c r="S1">
        <v>173</v>
      </c>
    </row>
    <row r="2" spans="3:19" ht="19.5">
      <c r="R2" t="s">
        <v>76</v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s">
        <v>78</v>
      </c>
      <c r="S4">
        <v>421</v>
      </c>
    </row>
    <row r="5" spans="3:19" ht="19.5">
      <c r="R5" t="s">
        <v>80</v>
      </c>
      <c r="S5">
        <v>525</v>
      </c>
    </row>
    <row r="6" spans="3:19" ht="19.5">
      <c r="N6" t="inlineStr">
        <is>
          <t>Was probably county-based prior, or</t>
        </is>
      </c>
      <c r="R6" t="s">
        <v>82</v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s">
        <v>85</v>
      </c>
      <c r="S8">
        <v>1706</v>
      </c>
    </row>
    <row r="9" spans="3:19" customHeight="1" ht="27">
      <c r="R9" t="s">
        <v>87</v>
      </c>
      <c r="S9">
        <v>2495</v>
      </c>
    </row>
    <row r="10" spans="3:19" customHeight="1" ht="27.75">
      <c r="R10" t="s">
        <v>90</v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3</v>
      </c>
      <c r="R12" t="s">
        <v>92</v>
      </c>
    </row>
    <row r="13" spans="3:19" ht="19.5">
      <c r="C13" t="s">
        <v>5</v>
      </c>
      <c r="N13" t="s">
        <v>6</v>
      </c>
      <c r="P13" t="s">
        <v>6</v>
      </c>
      <c r="R13" t="s">
        <v>95</v>
      </c>
    </row>
    <row r="14" spans="3:19" ht="19.5">
      <c r="C14" t="s">
        <v>13</v>
      </c>
      <c r="F14" t="s">
        <v>14</v>
      </c>
      <c r="N14" t="s">
        <v>15</v>
      </c>
      <c r="P14" t="s">
        <v>16</v>
      </c>
      <c r="R14" t="s">
        <v>97</v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4" width="9.142307692307693"/>
    <col min="2" max="512" style="14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1.1244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2020-06-19T06:53:43Z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