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chart21.xml" ContentType="application/vnd.openxmlformats-officedocument.drawingml.chart+xml"/>
  <Override PartName="/xl/charts/chart20.xml" ContentType="application/vnd.openxmlformats-officedocument.drawingml.chart+xml"/>
  <Override PartName="/xl/charts/chart19.xml" ContentType="application/vnd.openxmlformats-officedocument.drawingml.chart+xml"/>
  <Override PartName="/xl/charts/chart18.xml" ContentType="application/vnd.openxmlformats-officedocument.drawingml.chart+xml"/>
  <Override PartName="/xl/charts/chart17.xml" ContentType="application/vnd.openxmlformats-officedocument.drawingml.char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8900" windowHeight="8320"/>
  </bookViews>
  <sheets>
    <sheet name="Sheet1" sheetId="1" r:id="rId1"/>
    <sheet name="Sheet2" sheetId="2" r:id="rId2"/>
    <sheet name="Sheet3" sheetId="3" r:id="rId3"/>
  </sheets>
  <definedNames>
    <definedName name="_xlnm.Print_Area" localSheetId="0">#REF!</definedName>
    <definedName name="_xlnm.Sheet_Title" localSheetId="0">"Sheet1"</definedName>
    <definedName name="_xlnm.Print_Area" localSheetId="1">#REF!</definedName>
    <definedName name="_xlnm.Sheet_Title" localSheetId="1">"Sheet2"</definedName>
    <definedName name="_xlnm.Print_Area" localSheetId="2">#REF!</definedName>
    <definedName name="_xlnm.Sheet_Title" localSheetId="2">"Sheet3"</definedName>
  </definedNames>
  <calcPr calcMode="auto" iterate="1" iterateCount="100" iterateDelta="0.001"/>
  <webPublishing allowPng="1" css="0" characterSet="UTF-8"/>
</workbook>
</file>

<file path=xl/sharedStrings.xml><?xml version="1.0" encoding="utf-8"?>
<sst xmlns="http://schemas.openxmlformats.org/spreadsheetml/2006/main" uniqueCount="82" count="82">
  <si>
    <t>d</t>
  </si>
  <si>
    <t>Non-</t>
  </si>
  <si>
    <t>New</t>
  </si>
  <si>
    <t>Calculated</t>
  </si>
  <si>
    <t>in</t>
  </si>
  <si>
    <t>Growth:</t>
  </si>
  <si>
    <t>Multiplier:</t>
  </si>
  <si>
    <t>New Total:</t>
  </si>
  <si>
    <t>Data:</t>
  </si>
  <si>
    <t>Total:</t>
  </si>
  <si>
    <t>hosp:</t>
  </si>
  <si>
    <t>Dead:</t>
  </si>
  <si>
    <t>Sun</t>
  </si>
  <si>
    <t>Andover</t>
  </si>
  <si>
    <t>Mon</t>
  </si>
  <si>
    <t>Tue</t>
  </si>
  <si>
    <t>Wed</t>
  </si>
  <si>
    <t>Thu</t>
  </si>
  <si>
    <t>Fri</t>
  </si>
  <si>
    <t>Sat</t>
  </si>
  <si>
    <t>10th</t>
  </si>
  <si>
    <t>11th</t>
  </si>
  <si>
    <t>13th</t>
  </si>
  <si>
    <t>14th</t>
  </si>
  <si>
    <t>Avon</t>
  </si>
  <si>
    <t>15th</t>
  </si>
  <si>
    <t>17th</t>
  </si>
  <si>
    <t>18th</t>
  </si>
  <si>
    <t>19th</t>
  </si>
  <si>
    <t>21st</t>
  </si>
  <si>
    <t>22nd</t>
  </si>
  <si>
    <t>23rd</t>
  </si>
  <si>
    <t>Barkhamsted</t>
  </si>
  <si>
    <t>Bloomfield</t>
  </si>
  <si>
    <t>Bolton</t>
  </si>
  <si>
    <t>Bristol</t>
  </si>
  <si>
    <t>Burlington</t>
  </si>
  <si>
    <t>Canton</t>
  </si>
  <si>
    <t>Cromwell</t>
  </si>
  <si>
    <t>East Granby</t>
  </si>
  <si>
    <t>East Hampton</t>
  </si>
  <si>
    <t>East Hartford</t>
  </si>
  <si>
    <t>East Lyme</t>
  </si>
  <si>
    <t>East Windsor</t>
  </si>
  <si>
    <t>Farmington</t>
  </si>
  <si>
    <t>Glastonbury</t>
  </si>
  <si>
    <t>Goshen</t>
  </si>
  <si>
    <t>Granby</t>
  </si>
  <si>
    <t>Groton</t>
  </si>
  <si>
    <t>Hartford</t>
  </si>
  <si>
    <t>Harwinton</t>
  </si>
  <si>
    <t>Hebron</t>
  </si>
  <si>
    <t>Ledyard</t>
  </si>
  <si>
    <t>Litchfield</t>
  </si>
  <si>
    <t>Manchester</t>
  </si>
  <si>
    <t>Marlborough</t>
  </si>
  <si>
    <t>Meriden</t>
  </si>
  <si>
    <t>Middletown</t>
  </si>
  <si>
    <t>Montville</t>
  </si>
  <si>
    <t>New Britain</t>
  </si>
  <si>
    <t>New Hartford</t>
  </si>
  <si>
    <t>Newington</t>
  </si>
  <si>
    <t>New London</t>
  </si>
  <si>
    <t>Norfolk</t>
  </si>
  <si>
    <t>North Stonington</t>
  </si>
  <si>
    <t>Norwich</t>
  </si>
  <si>
    <t>Portland</t>
  </si>
  <si>
    <t>Rocky Hill</t>
  </si>
  <si>
    <t>Simsbury</t>
  </si>
  <si>
    <t>South Windsor</t>
  </si>
  <si>
    <t>Stonington</t>
  </si>
  <si>
    <t>Torrington</t>
  </si>
  <si>
    <t>Vernon</t>
  </si>
  <si>
    <t>Wallingford</t>
  </si>
  <si>
    <t>Waterbury</t>
  </si>
  <si>
    <t>Waterford</t>
  </si>
  <si>
    <t>Watertown</t>
  </si>
  <si>
    <t>West Hartford</t>
  </si>
  <si>
    <t>Wethersfield</t>
  </si>
  <si>
    <t>Winchester</t>
  </si>
  <si>
    <t>Windsor</t>
  </si>
  <si>
    <t>Windsor Locks</t>
  </si>
</sst>
</file>

<file path=xl/styles.xml><?xml version="1.0" encoding="utf-8"?>
<styleSheet xmlns="http://schemas.openxmlformats.org/spreadsheetml/2006/main">
  <numFmts count="6">
    <numFmt formatCode="0.0%_);(0.0%)" numFmtId="100"/>
    <numFmt formatCode="#,##0_);(#,##0)" numFmtId="101"/>
    <numFmt formatCode="0_);(0)" numFmtId="102"/>
    <numFmt formatCode="m/d/yyyy" numFmtId="103"/>
    <numFmt formatCode="d-mmm-yyyy" numFmtId="104"/>
    <numFmt formatCode="0.000_);(0.000)" numFmtId="105"/>
  </numFmts>
  <fonts count="1">
    <font>
      <b val="0"/>
      <i val="0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start style="none">
        <color rgb="FFC7C7C7"/>
      </start>
      <end style="none">
        <color rgb="FFC7C7C7"/>
      </end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11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3" xfId="0">
      <alignment horizontal="general" vertical="bottom" wrapText="0" shrinkToFit="0" textRotation="0" indent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  <xf applyAlignment="1" applyBorder="1" applyFont="1" applyFill="1" applyNumberFormat="1" fontId="0" fillId="0" borderId="0" numFmtId="101" xfId="0">
      <alignment horizontal="general" vertical="bottom" wrapText="0" shrinkToFit="0" textRotation="0" indent="0"/>
    </xf>
    <xf applyAlignment="1" applyBorder="1" applyFont="1" applyFill="1" applyNumberFormat="1" fontId="0" fillId="0" borderId="0" numFmtId="102" xfId="0">
      <alignment horizontal="general" vertical="bottom" wrapText="0" shrinkToFit="0" textRotation="0" indent="0"/>
    </xf>
    <xf applyAlignment="1" applyBorder="1" applyFont="1" applyFill="1" applyNumberFormat="1" fontId="0" fillId="0" borderId="0" numFmtId="2" xfId="0">
      <alignment horizontal="general" vertical="bottom" wrapText="0" shrinkToFit="0" textRotation="0" indent="0"/>
    </xf>
    <xf applyAlignment="1" applyBorder="1" applyFont="1" applyFill="1" applyNumberFormat="1" fontId="0" fillId="0" borderId="0" numFmtId="1" xfId="0">
      <alignment horizontal="general" vertical="bottom" wrapText="0" shrinkToFit="0" textRotation="0" indent="0"/>
    </xf>
    <xf applyAlignment="1" applyBorder="1" applyFont="1" applyFill="1" applyNumberFormat="1" fontId="0" fillId="0" borderId="0" numFmtId="103" xfId="0">
      <alignment horizontal="general" vertical="bottom" wrapText="0" shrinkToFit="0" textRotation="0" indent="0"/>
    </xf>
    <xf applyAlignment="1" applyBorder="1" applyFont="1" applyFill="1" applyNumberFormat="1" fontId="0" fillId="0" borderId="0" numFmtId="104" xfId="0">
      <alignment horizontal="general" vertical="bottom" wrapText="0" shrinkToFit="0" textRotation="0" indent="0"/>
    </xf>
    <xf applyAlignment="1" applyBorder="1" applyFont="1" applyFill="1" applyNumberFormat="1" fontId="0" fillId="0" borderId="0" numFmtId="105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Sheet1!$BG$9:$BG$68</c:f>
            </c:numRef>
          </c:val>
        </c:ser>
        <c:ser>
          <c:idx val="1"/>
          <c:order val="1"/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Sheet1!$AS$9:$AS$68</c:f>
            </c:numRef>
          </c:val>
        </c:ser>
        <c:ser>
          <c:idx val="2"/>
          <c:order val="2"/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Sheet1!$AZ$9:$AZ$68</c:f>
            </c:numRef>
          </c:val>
        </c:ser>
        <c:ser>
          <c:idx val="3"/>
          <c:order val="3"/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Sheet1!$BN$9:$BN$68</c:f>
            </c:numRef>
          </c:val>
        </c:ser>
        <c:ser>
          <c:idx val="4"/>
          <c:order val="4"/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Sheet1!$Q$9:$Q$68</c:f>
            </c:numRef>
          </c:val>
        </c:ser>
        <c:gapWidth val="150"/>
        <c:overlap val="100"/>
        <c:axId val="1"/>
        <c:axId val="2"/>
      </c:barChart>
      <c:catAx>
        <c:axId val="1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"/>
        <c:crosses val="min"/>
        <c:majorUnit val="1"/>
        <c:minorUnit val="1"/>
      </c:catAx>
      <c:valAx>
        <c:axId val="2"/>
        <c:scaling>
          <c:orientation val="minMax"/>
          <c:max val="14"/>
          <c:min val="-14"/>
        </c:scaling>
        <c:delete val="0"/>
        <c:axPos val="l"/>
        <c:numFmt sourceLinked="0" formatCode="0"/>
        <c:majorTickMark val="cross"/>
        <c:minorTickMark val="out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1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extLst>
      <a:ext uri="http://www.gnumeric.org/ext/spreadsheetml">
        <gnmx:gostyle pattern="solid" auto-pattern="1"/>
      </a:ext>
    </a:extLst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Revised: 30 April 21:47 UTC</a:t>
            </a:r>
          </a:p>
        </c:rich>
      </c:tx>
      <c:overlay val="0"/>
      <c:spPr/>
    </c:title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Sheet1!$AC$9:$AC$68</c:f>
            </c:numRef>
          </c:val>
        </c:ser>
        <c:gapWidth val="150"/>
        <c:overlap val="100"/>
        <c:axId val="19"/>
        <c:axId val="20"/>
      </c:barChart>
      <c:catAx>
        <c:axId val="19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0"/>
        <c:crosses val="min"/>
        <c:majorUnit val="1"/>
        <c:minorUnit val="1"/>
      </c:catAx>
      <c:valAx>
        <c:axId val="20"/>
        <c:scaling>
          <c:orientation val="minMax"/>
          <c:max val="43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19"/>
        <c:crosses val="min"/>
        <c:majorUnit val="2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Revised: 30 April 21:47 UTC</a:t>
            </a:r>
          </a:p>
        </c:rich>
      </c:tx>
      <c:overlay val="0"/>
      <c:spPr/>
    </c:title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Sheet1!$V$9:$V$68</c:f>
            </c:numRef>
          </c:val>
        </c:ser>
        <c:gapWidth val="150"/>
        <c:overlap val="100"/>
        <c:axId val="21"/>
        <c:axId val="22"/>
      </c:barChart>
      <c:catAx>
        <c:axId val="21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2"/>
        <c:crosses val="min"/>
        <c:majorUnit val="1"/>
        <c:minorUnit val="1"/>
      </c:catAx>
      <c:valAx>
        <c:axId val="22"/>
        <c:scaling>
          <c:orientation val="minMax"/>
          <c:max val="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21"/>
        <c:crosses val="min"/>
        <c:majorUnit val="2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Sheet1!$BE$9:$BE$68</c:f>
            </c:numRef>
          </c:val>
        </c:ser>
        <c:ser>
          <c:idx val="1"/>
          <c:order val="1"/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Sheet1!$AQ$9:$AQ$68</c:f>
            </c:numRef>
          </c:val>
        </c:ser>
        <c:ser>
          <c:idx val="2"/>
          <c:order val="2"/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Sheet1!$AX$9:$AX$68</c:f>
            </c:numRef>
          </c:val>
        </c:ser>
        <c:ser>
          <c:idx val="3"/>
          <c:order val="3"/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Sheet1!$BL$9:$BL$68</c:f>
            </c:numRef>
          </c:val>
        </c:ser>
        <c:ser>
          <c:idx val="4"/>
          <c:order val="4"/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Sheet1!$O$9:$O$68</c:f>
            </c:numRef>
          </c:val>
        </c:ser>
        <c:gapWidth val="150"/>
        <c:overlap val="100"/>
        <c:axId val="23"/>
        <c:axId val="24"/>
      </c:barChart>
      <c:catAx>
        <c:axId val="23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in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4"/>
        <c:crosses val="min"/>
        <c:majorUnit val="1"/>
        <c:minorUnit val="1"/>
      </c:catAx>
      <c:valAx>
        <c:axId val="24"/>
        <c:scaling>
          <c:orientation val="minMax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23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extLst>
      <a:ext uri="http://www.gnumeric.org/ext/spreadsheetml">
        <gnmx:gostyle pattern="solid" auto-pattern="1"/>
      </a:ext>
    </a:extLst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Sheet1!$BS$9:$BS$68</c:f>
            </c:numRef>
          </c:val>
        </c:ser>
        <c:ser>
          <c:idx val="1"/>
          <c:order val="1"/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Sheet1!$BE$9:$BE$68</c:f>
            </c:numRef>
          </c:val>
        </c:ser>
        <c:ser>
          <c:idx val="2"/>
          <c:order val="2"/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Sheet1!$AQ$9:$AQ$68</c:f>
            </c:numRef>
          </c:val>
        </c:ser>
        <c:ser>
          <c:idx val="3"/>
          <c:order val="3"/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Sheet1!$AX$9:$AX$68</c:f>
            </c:numRef>
          </c:val>
        </c:ser>
        <c:ser>
          <c:idx val="4"/>
          <c:order val="4"/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Sheet1!$BL$9:$BL$68</c:f>
            </c:numRef>
          </c:val>
        </c:ser>
        <c:ser>
          <c:idx val="5"/>
          <c:order val="5"/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Sheet1!$O$9:$O$68</c:f>
            </c:numRef>
          </c:val>
        </c:ser>
        <c:ser>
          <c:idx val="6"/>
          <c:order val="6"/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Sheet1!$V$9:$V$68</c:f>
            </c:numRef>
          </c:val>
        </c:ser>
        <c:ser>
          <c:idx val="7"/>
          <c:order val="7"/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Sheet1!$AC$9:$AC$68</c:f>
            </c:numRef>
          </c:val>
        </c:ser>
        <c:ser>
          <c:idx val="8"/>
          <c:order val="8"/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Sheet1!$AJ$9:$AJ$68</c:f>
            </c:numRef>
          </c:val>
        </c:ser>
        <c:gapWidth val="150"/>
        <c:overlap val="100"/>
        <c:axId val="25"/>
        <c:axId val="26"/>
      </c:barChart>
      <c:catAx>
        <c:axId val="25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in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6"/>
        <c:crosses val="min"/>
        <c:majorUnit val="1"/>
        <c:minorUnit val="1"/>
      </c:catAx>
      <c:valAx>
        <c:axId val="26"/>
        <c:scaling>
          <c:orientation val="minMax"/>
          <c:max val="2200"/>
          <c:min val="-150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25"/>
        <c:crosses val="min"/>
        <c:majorUnit val="2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extLst>
      <a:ext uri="http://www.gnumeric.org/ext/spreadsheetml">
        <gnmx:gostyle pattern="solid" auto-pattern="1"/>
      </a:ext>
    </a:extLst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Sheet1!$CW$9:$CW$68</c:f>
            </c:numRef>
          </c:val>
        </c:ser>
        <c:ser>
          <c:idx val="1"/>
          <c:order val="1"/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Sheet1!$CX$9:$CX$68</c:f>
            </c:numRef>
          </c:val>
        </c:ser>
        <c:gapWidth val="150"/>
        <c:overlap val="100"/>
        <c:axId val="27"/>
        <c:axId val="28"/>
      </c:barChart>
      <c:catAx>
        <c:axId val="27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in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8"/>
        <c:crosses val="min"/>
        <c:majorUnit val="1"/>
        <c:minorUnit val="2"/>
      </c:catAx>
      <c:valAx>
        <c:axId val="28"/>
        <c:scaling>
          <c:orientation val="minMax"/>
        </c:scaling>
        <c:delete val="0"/>
        <c:axPos val="l"/>
        <c:numFmt sourceLinked="1" formatCode="General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7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</c:chart>
  <c:spPr>
    <a:extLst>
      <a:ext uri="http://www.gnumeric.org/ext/spreadsheetml">
        <gnmx:gostyle pattern="solid" auto-pattern="1"/>
      </a:ext>
    </a:extLst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Sheet1!$BE$9:$BE$68</c:f>
            </c:numRef>
          </c:val>
        </c:ser>
        <c:ser>
          <c:idx val="1"/>
          <c:order val="1"/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Sheet1!$AQ$9:$AQ$68</c:f>
            </c:numRef>
          </c:val>
        </c:ser>
        <c:ser>
          <c:idx val="2"/>
          <c:order val="2"/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Sheet1!$AX$9:$AX$68</c:f>
            </c:numRef>
          </c:val>
        </c:ser>
        <c:ser>
          <c:idx val="3"/>
          <c:order val="3"/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Sheet1!$BL$9:$BL$68</c:f>
            </c:numRef>
          </c:val>
        </c:ser>
        <c:ser>
          <c:idx val="4"/>
          <c:order val="4"/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Sheet1!$O$9:$O$68</c:f>
            </c:numRef>
          </c:val>
        </c:ser>
        <c:axId val="29"/>
        <c:axId val="30"/>
      </c:areaChart>
      <c:catAx>
        <c:axId val="29"/>
        <c:scaling>
          <c:orientation val="minMax"/>
          <c:max val="60"/>
          <c:min val="2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0"/>
        <c:crosses val="max"/>
        <c:majorUnit val="1"/>
        <c:minorUnit val="2"/>
      </c:catAx>
      <c:valAx>
        <c:axId val="30"/>
        <c:scaling>
          <c:orientation val="minMax"/>
          <c:min val="-10"/>
        </c:scaling>
        <c:delete val="0"/>
        <c:axPos val="l"/>
        <c:numFmt sourceLinked="0" formatCode="#,##0_);(#,##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9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extLst>
      <a:ext uri="http://www.gnumeric.org/ext/spreadsheetml">
        <gnmx:gostyle pattern="solid" auto-pattern="1"/>
      </a:ext>
    </a:extLst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Sheet1!$BS$9:$BS$68</c:f>
            </c:numRef>
          </c:val>
        </c:ser>
        <c:ser>
          <c:idx val="1"/>
          <c:order val="1"/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Sheet1!$BE$9:$BE$68</c:f>
            </c:numRef>
          </c:val>
        </c:ser>
        <c:ser>
          <c:idx val="2"/>
          <c:order val="2"/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Sheet1!$AQ$9:$AQ$68</c:f>
            </c:numRef>
          </c:val>
        </c:ser>
        <c:ser>
          <c:idx val="3"/>
          <c:order val="3"/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Sheet1!$AX$9:$AX$68</c:f>
            </c:numRef>
          </c:val>
        </c:ser>
        <c:ser>
          <c:idx val="4"/>
          <c:order val="4"/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Sheet1!$BL$9:$BL$68</c:f>
            </c:numRef>
          </c:val>
        </c:ser>
        <c:ser>
          <c:idx val="5"/>
          <c:order val="5"/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Sheet1!$O$9:$O$68</c:f>
            </c:numRef>
          </c:val>
        </c:ser>
        <c:ser>
          <c:idx val="6"/>
          <c:order val="6"/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Sheet1!$V$9:$V$68</c:f>
            </c:numRef>
          </c:val>
        </c:ser>
        <c:ser>
          <c:idx val="7"/>
          <c:order val="7"/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Sheet1!$AC$9:$AC$68</c:f>
            </c:numRef>
          </c:val>
        </c:ser>
        <c:ser>
          <c:idx val="8"/>
          <c:order val="8"/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Sheet1!$AJ$9:$AJ$68</c:f>
            </c:numRef>
          </c:val>
        </c:ser>
        <c:axId val="31"/>
        <c:axId val="32"/>
      </c:areaChart>
      <c:catAx>
        <c:axId val="31"/>
        <c:scaling>
          <c:orientation val="minMax"/>
          <c:max val="60"/>
          <c:min val="2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2"/>
        <c:crosses val="max"/>
        <c:majorUnit val="1"/>
        <c:minorUnit val="2"/>
      </c:catAx>
      <c:valAx>
        <c:axId val="32"/>
        <c:scaling>
          <c:orientation val="minMax"/>
          <c:min val="-100"/>
        </c:scaling>
        <c:delete val="0"/>
        <c:axPos val="l"/>
        <c:numFmt sourceLinked="0" formatCode="#,##0_);(#,##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1"/>
        <c:crosses val="min"/>
        <c:majorUnit val="20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extLst>
      <a:ext uri="http://www.gnumeric.org/ext/spreadsheetml">
        <gnmx:gostyle pattern="solid" auto-pattern="1"/>
      </a:ext>
    </a:extLst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Sheet1!$AR$17:$AR$68</c:f>
            </c:numRef>
          </c:yVal>
          <c:smooth val="1"/>
        </c:ser>
        <c:ser>
          <c:idx val="1"/>
          <c:order val="1"/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Sheet1!$P$17:$P$68</c:f>
            </c:numRef>
          </c:yVal>
          <c:smooth val="1"/>
        </c:ser>
        <c:ser>
          <c:idx val="2"/>
          <c:order val="2"/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Sheet1!$BM$17:$BM$68</c:f>
            </c:numRef>
          </c:yVal>
          <c:smooth val="1"/>
        </c:ser>
        <c:ser>
          <c:idx val="3"/>
          <c:order val="3"/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Sheet1!$AY$17:$AY$68</c:f>
            </c:numRef>
          </c:yVal>
          <c:smooth val="1"/>
        </c:ser>
        <c:ser>
          <c:idx val="4"/>
          <c:order val="4"/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Sheet1!$BF$17:$BF$68</c:f>
            </c:numRef>
          </c:yVal>
          <c:smooth val="1"/>
        </c:ser>
        <c:axId val="33"/>
        <c:axId val="34"/>
      </c:scatterChart>
      <c:valAx>
        <c:axId val="33"/>
        <c:scaling>
          <c:orientation val="minMax"/>
          <c:max val="52"/>
          <c:min val="2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4"/>
        <c:crosses val="max"/>
        <c:majorUnit val="2"/>
        <c:minorUnit val="1"/>
      </c:valAx>
      <c:valAx>
        <c:axId val="34"/>
        <c:scaling>
          <c:orientation val="minMax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3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/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Sheet1!$AK$17:$AK$68</c:f>
            </c:numRef>
          </c:yVal>
          <c:smooth val="0"/>
        </c:ser>
        <c:ser>
          <c:idx val="1"/>
          <c:order val="1"/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Sheet1!$AD$17:$AD$68</c:f>
            </c:numRef>
          </c:yVal>
          <c:smooth val="1"/>
        </c:ser>
        <c:ser>
          <c:idx val="2"/>
          <c:order val="2"/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Sheet1!$W$17:$W$68</c:f>
            </c:numRef>
          </c:yVal>
          <c:smooth val="1"/>
        </c:ser>
        <c:ser>
          <c:idx val="3"/>
          <c:order val="3"/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Sheet1!$AR$17:$AR$68</c:f>
            </c:numRef>
          </c:yVal>
          <c:smooth val="1"/>
        </c:ser>
        <c:ser>
          <c:idx val="4"/>
          <c:order val="4"/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Sheet1!$P$17:$P$68</c:f>
            </c:numRef>
          </c:yVal>
          <c:smooth val="1"/>
        </c:ser>
        <c:ser>
          <c:idx val="5"/>
          <c:order val="5"/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Sheet1!$BM$17:$BM$68</c:f>
            </c:numRef>
          </c:yVal>
          <c:smooth val="1"/>
        </c:ser>
        <c:ser>
          <c:idx val="6"/>
          <c:order val="6"/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Sheet1!$AY$17:$AY$68</c:f>
            </c:numRef>
          </c:yVal>
          <c:smooth val="1"/>
        </c:ser>
        <c:ser>
          <c:idx val="7"/>
          <c:order val="7"/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Sheet1!$BF$17:$BF$68</c:f>
            </c:numRef>
          </c:yVal>
          <c:smooth val="1"/>
        </c:ser>
        <c:ser>
          <c:idx val="8"/>
          <c:order val="8"/>
          <c:spPr>
            <a:ln w="50800">
              <a:solidFill>
                <a:srgbClr val="00cc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smooth val="1"/>
        </c:ser>
        <c:axId val="35"/>
        <c:axId val="36"/>
      </c:scatterChart>
      <c:valAx>
        <c:axId val="35"/>
        <c:scaling>
          <c:orientation val="minMax"/>
          <c:max val="52"/>
          <c:min val="2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6"/>
        <c:crosses val="max"/>
        <c:majorUnit val="2"/>
        <c:minorUnit val="1"/>
      </c:valAx>
      <c:valAx>
        <c:axId val="36"/>
        <c:scaling>
          <c:orientation val="minMax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5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/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Sheet1!$BD$9:$BD$68</c:f>
            </c:numRef>
          </c:val>
        </c:ser>
        <c:ser>
          <c:idx val="1"/>
          <c:order val="1"/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Sheet1!$AW$9:$AW$68</c:f>
            </c:numRef>
          </c:val>
        </c:ser>
        <c:ser>
          <c:idx val="2"/>
          <c:order val="2"/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Sheet1!$BK$9:$BK$68</c:f>
            </c:numRef>
          </c:val>
        </c:ser>
        <c:ser>
          <c:idx val="3"/>
          <c:order val="3"/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Sheet1!$BR$9:$BR$68</c:f>
            </c:numRef>
          </c:val>
        </c:ser>
        <c:ser>
          <c:idx val="4"/>
          <c:order val="4"/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Sheet1!$AP$9:$AP$68</c:f>
            </c:numRef>
          </c:val>
        </c:ser>
        <c:ser>
          <c:idx val="5"/>
          <c:order val="5"/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Sheet1!$N$9:$N$68</c:f>
            </c:numRef>
          </c:val>
        </c:ser>
        <c:ser>
          <c:idx val="6"/>
          <c:order val="6"/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</c:ser>
        <c:ser>
          <c:idx val="7"/>
          <c:order val="7"/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</c:ser>
        <c:ser>
          <c:idx val="8"/>
          <c:order val="8"/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</c:ser>
        <c:axId val="37"/>
        <c:axId val="38"/>
      </c:areaChart>
      <c:catAx>
        <c:axId val="37"/>
        <c:scaling>
          <c:orientation val="minMax"/>
          <c:max val="60"/>
          <c:min val="1"/>
        </c:scaling>
        <c:delete val="0"/>
        <c:axPos val="b"/>
        <c:numFmt sourceLinked="1" formatCode="General"/>
        <c:majorTickMark val="none"/>
        <c:minorTickMark val="none"/>
        <c:spPr/>
        <c:crossAx val="38"/>
        <c:crosses val="min"/>
        <c:majorUnit val="2"/>
        <c:minorUnit val="2"/>
      </c:catAx>
      <c:valAx>
        <c:axId val="38"/>
        <c:scaling>
          <c:orientation val="minMax"/>
          <c:max val="3450"/>
          <c:min val="0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37"/>
        <c:crosses val="min"/>
        <c:majorUnit val="1000"/>
        <c:minorUnit val="20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extLst>
      <a:ext uri="http://www.gnumeric.org/ext/spreadsheetml">
        <gnmx:gostyle pattern="solid" auto-pattern="1"/>
      </a:ext>
    </a:extLst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Sheet1!$BG$9:$BG$68</c:f>
            </c:numRef>
          </c:val>
        </c:ser>
        <c:ser>
          <c:idx val="1"/>
          <c:order val="1"/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Sheet1!$AS$9:$AS$68</c:f>
            </c:numRef>
          </c:val>
        </c:ser>
        <c:ser>
          <c:idx val="2"/>
          <c:order val="2"/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Sheet1!$AZ$9:$AZ$68</c:f>
            </c:numRef>
          </c:val>
        </c:ser>
        <c:ser>
          <c:idx val="3"/>
          <c:order val="3"/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Sheet1!$BN$9:$BN$68</c:f>
            </c:numRef>
          </c:val>
        </c:ser>
        <c:ser>
          <c:idx val="4"/>
          <c:order val="4"/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Sheet1!$Q$9:$Q$68</c:f>
            </c:numRef>
          </c:val>
        </c:ser>
        <c:ser>
          <c:idx val="5"/>
          <c:order val="5"/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Sheet1!$X$9:$X$68</c:f>
            </c:numRef>
          </c:val>
        </c:ser>
        <c:ser>
          <c:idx val="6"/>
          <c:order val="6"/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Sheet1!$AE$9:$AE$68</c:f>
            </c:numRef>
          </c:val>
        </c:ser>
        <c:ser>
          <c:idx val="7"/>
          <c:order val="7"/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Sheet1!$AL$9:$AL$68</c:f>
            </c:numRef>
          </c:val>
        </c:ser>
        <c:gapWidth val="150"/>
        <c:overlap val="100"/>
        <c:axId val="3"/>
        <c:axId val="4"/>
      </c:barChart>
      <c:catAx>
        <c:axId val="3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"/>
        <c:crosses val="min"/>
        <c:majorUnit val="1"/>
        <c:minorUnit val="1"/>
      </c:catAx>
      <c:valAx>
        <c:axId val="4"/>
        <c:scaling>
          <c:orientation val="minMax"/>
          <c:max val="233"/>
          <c:min val="-122"/>
        </c:scaling>
        <c:delete val="0"/>
        <c:axPos val="l"/>
        <c:numFmt sourceLinked="0" formatCode="0"/>
        <c:majorTickMark val="cross"/>
        <c:minorTickMark val="out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3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extLst>
      <a:ext uri="http://www.gnumeric.org/ext/spreadsheetml">
        <gnmx:gostyle pattern="solid" auto-pattern="1"/>
      </a:ext>
    </a:extLst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Sheet1!$BD$9:$BD$68</c:f>
            </c:numRef>
          </c:val>
        </c:ser>
        <c:ser>
          <c:idx val="1"/>
          <c:order val="1"/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Sheet1!$AW$9:$AW$68</c:f>
            </c:numRef>
          </c:val>
        </c:ser>
        <c:ser>
          <c:idx val="2"/>
          <c:order val="2"/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Sheet1!$BK$9:$BK$68</c:f>
            </c:numRef>
          </c:val>
        </c:ser>
        <c:ser>
          <c:idx val="3"/>
          <c:order val="3"/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Sheet1!$BR$9:$BR$68</c:f>
            </c:numRef>
          </c:val>
        </c:ser>
        <c:ser>
          <c:idx val="4"/>
          <c:order val="4"/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Sheet1!$AP$9:$AP$68</c:f>
            </c:numRef>
          </c:val>
        </c:ser>
        <c:ser>
          <c:idx val="5"/>
          <c:order val="5"/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Sheet1!$N$9:$N$68</c:f>
            </c:numRef>
          </c:val>
        </c:ser>
        <c:ser>
          <c:idx val="6"/>
          <c:order val="6"/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Sheet1!$U$9:$U$68</c:f>
            </c:numRef>
          </c:val>
        </c:ser>
        <c:ser>
          <c:idx val="7"/>
          <c:order val="7"/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Sheet1!$AB$9:$AB$68</c:f>
            </c:numRef>
          </c:val>
        </c:ser>
        <c:ser>
          <c:idx val="8"/>
          <c:order val="8"/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Sheet1!$AI$9:$AI$68</c:f>
            </c:numRef>
          </c:val>
        </c:ser>
        <c:axId val="39"/>
        <c:axId val="40"/>
      </c:areaChart>
      <c:catAx>
        <c:axId val="39"/>
        <c:scaling>
          <c:orientation val="minMax"/>
          <c:max val="60"/>
          <c:min val="1"/>
        </c:scaling>
        <c:delete val="0"/>
        <c:axPos val="b"/>
        <c:numFmt sourceLinked="1" formatCode="General"/>
        <c:majorTickMark val="none"/>
        <c:minorTickMark val="none"/>
        <c:spPr/>
        <c:crossAx val="40"/>
        <c:crosses val="min"/>
        <c:majorUnit val="2"/>
        <c:minorUnit val="2"/>
      </c:catAx>
      <c:valAx>
        <c:axId val="40"/>
        <c:scaling>
          <c:orientation val="minMax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39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extLst>
      <a:ext uri="http://www.gnumeric.org/ext/spreadsheetml">
        <gnmx:gostyle pattern="solid" auto-pattern="1"/>
      </a:ext>
    </a:extLst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Sheet1!$BD$9:$BD$68</c:f>
            </c:numRef>
          </c:val>
        </c:ser>
        <c:ser>
          <c:idx val="1"/>
          <c:order val="1"/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Sheet1!$AW$9:$AW$68</c:f>
            </c:numRef>
          </c:val>
        </c:ser>
        <c:ser>
          <c:idx val="2"/>
          <c:order val="2"/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Sheet1!$BK$9:$BK$68</c:f>
            </c:numRef>
          </c:val>
        </c:ser>
        <c:ser>
          <c:idx val="3"/>
          <c:order val="3"/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Sheet1!$BR$9:$BR$68</c:f>
            </c:numRef>
          </c:val>
        </c:ser>
        <c:ser>
          <c:idx val="4"/>
          <c:order val="4"/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Sheet1!$AP$9:$AP$68</c:f>
            </c:numRef>
          </c:val>
        </c:ser>
        <c:ser>
          <c:idx val="5"/>
          <c:order val="5"/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Sheet1!$N$9:$N$68</c:f>
            </c:numRef>
          </c:val>
        </c:ser>
        <c:ser>
          <c:idx val="6"/>
          <c:order val="6"/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Sheet1!$U$9:$U$68</c:f>
            </c:numRef>
          </c:val>
        </c:ser>
        <c:ser>
          <c:idx val="7"/>
          <c:order val="7"/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Sheet1!$AB$9:$AB$68</c:f>
            </c:numRef>
          </c:val>
        </c:ser>
        <c:ser>
          <c:idx val="8"/>
          <c:order val="8"/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Sheet1!$AI$9:$AI$68</c:f>
            </c:numRef>
          </c:val>
        </c:ser>
        <c:axId val="41"/>
        <c:axId val="42"/>
      </c:areaChart>
      <c:catAx>
        <c:axId val="41"/>
        <c:scaling>
          <c:orientation val="minMax"/>
          <c:max val="60"/>
          <c:min val="1"/>
        </c:scaling>
        <c:delete val="0"/>
        <c:axPos val="b"/>
        <c:numFmt sourceLinked="1" formatCode="General"/>
        <c:majorTickMark val="none"/>
        <c:minorTickMark val="none"/>
        <c:spPr/>
        <c:crossAx val="42"/>
        <c:crosses val="min"/>
        <c:majorUnit val="1"/>
        <c:minorUnit val="2"/>
      </c:catAx>
      <c:valAx>
        <c:axId val="42"/>
        <c:scaling>
          <c:orientation val="minMax"/>
          <c:max val="28539.39393939394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1"/>
        <c:crosses val="min"/>
        <c:majorUnit val="1024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extLst>
      <a:ext uri="http://www.gnumeric.org/ext/spreadsheetml">
        <gnmx:gostyle pattern="solid" auto-pattern="1"/>
      </a:ext>
    </a:extLst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Sheet1!$CL$122:$CL$159</c:f>
            </c:numRef>
          </c:yVal>
          <c:smooth val="1"/>
        </c:ser>
        <c:ser>
          <c:idx val="1"/>
          <c:order val="1"/>
          <c:spPr>
            <a:ln w="50800">
              <a:solidFill>
                <a:srgbClr val="ff66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Sheet1!$CL$1680:$CL$1717</c:f>
            </c:numRef>
          </c:yVal>
          <c:smooth val="1"/>
        </c:ser>
        <c:ser>
          <c:idx val="2"/>
          <c:order val="2"/>
          <c:spPr>
            <a:ln w="50800">
              <a:solidFill>
                <a:srgbClr val="ccff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Sheet1!$CL$1908:$CL$1945</c:f>
            </c:numRef>
          </c:yVal>
          <c:smooth val="1"/>
        </c:ser>
        <c:ser>
          <c:idx val="3"/>
          <c:order val="3"/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Sheet1!$CL$1566:$CL$1603</c:f>
            </c:numRef>
          </c:yVal>
          <c:smooth val="1"/>
        </c:ser>
        <c:ser>
          <c:idx val="4"/>
          <c:order val="4"/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Sheet1!$CL$426:$CL$463</c:f>
            </c:numRef>
          </c:yVal>
          <c:smooth val="1"/>
        </c:ser>
        <c:ser>
          <c:idx val="5"/>
          <c:order val="5"/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Sheet1!$CL$730:$CL$767</c:f>
            </c:numRef>
          </c:yVal>
          <c:smooth val="1"/>
        </c:ser>
        <c:ser>
          <c:idx val="6"/>
          <c:order val="6"/>
          <c:spPr>
            <a:ln w="50800">
              <a:solidFill>
                <a:srgbClr val="00ff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Sheet1!$CL$1034:$CL$1071</c:f>
            </c:numRef>
          </c:yVal>
          <c:smooth val="1"/>
        </c:ser>
        <c:ser>
          <c:idx val="7"/>
          <c:order val="7"/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Sheet1!$CL$1110:$CL$1147</c:f>
            </c:numRef>
          </c:yVal>
          <c:smooth val="1"/>
        </c:ser>
        <c:ser>
          <c:idx val="8"/>
          <c:order val="8"/>
          <c:spPr>
            <a:ln w="50800">
              <a:solidFill>
                <a:srgbClr val="008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Sheet1!$CL$274:$CL$311</c:f>
            </c:numRef>
          </c:yVal>
          <c:smooth val="1"/>
        </c:ser>
        <c:ser>
          <c:idx val="9"/>
          <c:order val="9"/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Sheet1!$CL$578:$CL$615</c:f>
            </c:numRef>
          </c:yVal>
          <c:smooth val="1"/>
        </c:ser>
        <c:ser>
          <c:idx val="10"/>
          <c:order val="10"/>
          <c:spPr>
            <a:ln w="50800">
              <a:solidFill>
                <a:srgbClr val="6666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Sheet1!$CL$84:$CL$121</c:f>
            </c:numRef>
          </c:yVal>
          <c:smooth val="1"/>
        </c:ser>
        <c:ser>
          <c:idx val="11"/>
          <c:order val="11"/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Sheet1!$CL$46:$CL$83</c:f>
            </c:numRef>
          </c:yVal>
          <c:smooth val="0"/>
        </c:ser>
        <c:ser>
          <c:idx val="12"/>
          <c:order val="12"/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Sheet1!$CL$8:$CL$45</c:f>
            </c:numRef>
          </c:yVal>
          <c:smooth val="0"/>
        </c:ser>
        <c:axId val="5"/>
        <c:axId val="6"/>
      </c:scatterChart>
      <c:valAx>
        <c:axId val="5"/>
        <c:scaling>
          <c:orientation val="minMax"/>
          <c:max val="45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6"/>
        <c:crosses val="max"/>
        <c:majorUnit val="2"/>
        <c:minorUnit val="1"/>
      </c:valAx>
      <c:valAx>
        <c:axId val="6"/>
        <c:scaling>
          <c:orientation val="minMax"/>
          <c:min val="0"/>
        </c:scaling>
        <c:delete val="0"/>
        <c:axPos val="l"/>
        <c:numFmt sourceLinked="1" formatCode="General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5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/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Sheet1!$CF$9:$CF$68</c:f>
            </c:numRef>
          </c:val>
        </c:ser>
        <c:gapWidth val="150"/>
        <c:overlap val="100"/>
        <c:axId val="7"/>
        <c:axId val="8"/>
      </c:barChart>
      <c:catAx>
        <c:axId val="7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8"/>
        <c:crosses val="min"/>
        <c:majorUnit val="1"/>
        <c:minorUnit val="1"/>
      </c:catAx>
      <c:valAx>
        <c:axId val="8"/>
        <c:scaling>
          <c:orientation val="minMax"/>
          <c:max val="210"/>
          <c:min val="-110"/>
        </c:scaling>
        <c:delete val="0"/>
        <c:axPos val="l"/>
        <c:numFmt sourceLinked="1" formatCode="0_);(0)"/>
        <c:majorTickMark val="cross"/>
        <c:minorTickMark val="out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7"/>
        <c:crosses val="min"/>
        <c:majorUnit val="50"/>
        <c:minorUnit val="1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extLst>
      <a:ext uri="http://www.gnumeric.org/ext/spreadsheetml">
        <gnmx:gostyle pattern="solid" auto-pattern="1"/>
      </a:ext>
    </a:extLst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Sheet1!$AQ$17:$AQ$68</c:f>
            </c:numRef>
          </c:yVal>
          <c:smooth val="1"/>
        </c:ser>
        <c:ser>
          <c:idx val="1"/>
          <c:order val="1"/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Sheet1!$O$17:$O$68</c:f>
            </c:numRef>
          </c:yVal>
          <c:smooth val="1"/>
        </c:ser>
        <c:ser>
          <c:idx val="2"/>
          <c:order val="2"/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Sheet1!$BL$17:$BL$68</c:f>
            </c:numRef>
          </c:yVal>
          <c:smooth val="1"/>
        </c:ser>
        <c:ser>
          <c:idx val="3"/>
          <c:order val="3"/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Sheet1!$AX$17:$AX$68</c:f>
            </c:numRef>
          </c:yVal>
          <c:smooth val="1"/>
        </c:ser>
        <c:ser>
          <c:idx val="4"/>
          <c:order val="4"/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Sheet1!$BE$17:$BE$68</c:f>
            </c:numRef>
          </c:yVal>
          <c:smooth val="1"/>
        </c:ser>
        <c:axId val="9"/>
        <c:axId val="10"/>
      </c:scatterChart>
      <c:valAx>
        <c:axId val="9"/>
        <c:scaling>
          <c:orientation val="minMax"/>
          <c:max val="52"/>
          <c:min val="2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0"/>
        <c:crosses val="max"/>
        <c:majorUnit val="2"/>
        <c:minorUnit val="1"/>
      </c:valAx>
      <c:valAx>
        <c:axId val="10"/>
        <c:scaling>
          <c:orientation val="minMax"/>
          <c:max val="80"/>
          <c:min val="-5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9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/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Sheet1!$AJ$9:$AJ$68</c:f>
            </c:numRef>
          </c:val>
        </c:ser>
        <c:gapWidth val="150"/>
        <c:overlap val="100"/>
        <c:axId val="11"/>
        <c:axId val="12"/>
      </c:barChart>
      <c:catAx>
        <c:axId val="11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12"/>
        <c:crosses val="min"/>
        <c:majorUnit val="1"/>
        <c:minorUnit val="1"/>
      </c:catAx>
      <c:valAx>
        <c:axId val="12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11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Sheet1!$AJ$9:$AJ$68</c:f>
            </c:numRef>
          </c:val>
        </c:ser>
        <c:gapWidth val="150"/>
        <c:overlap val="100"/>
        <c:axId val="13"/>
        <c:axId val="14"/>
      </c:barChart>
      <c:catAx>
        <c:axId val="13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14"/>
        <c:crosses val="min"/>
        <c:majorUnit val="1"/>
        <c:minorUnit val="1"/>
      </c:catAx>
      <c:valAx>
        <c:axId val="14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13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Sheet1!$AJ$9:$AJ$68</c:f>
            </c:numRef>
          </c:val>
        </c:ser>
        <c:gapWidth val="150"/>
        <c:overlap val="100"/>
        <c:axId val="15"/>
        <c:axId val="16"/>
      </c:barChart>
      <c:catAx>
        <c:axId val="15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16"/>
        <c:crosses val="min"/>
        <c:majorUnit val="1"/>
        <c:minorUnit val="1"/>
      </c:catAx>
      <c:valAx>
        <c:axId val="16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15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Revised: 30 April 21:47 UTC</a:t>
            </a:r>
          </a:p>
        </c:rich>
      </c:tx>
      <c:overlay val="0"/>
      <c:spPr/>
    </c:title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Sheet1!$AJ$9:$AJ$68</c:f>
            </c:numRef>
          </c:val>
        </c:ser>
        <c:gapWidth val="150"/>
        <c:overlap val="100"/>
        <c:axId val="17"/>
        <c:axId val="18"/>
      </c:barChart>
      <c:catAx>
        <c:axId val="17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18"/>
        <c:crosses val="min"/>
        <c:majorUnit val="1"/>
        <c:minorUnit val="1"/>
      </c:catAx>
      <c:valAx>
        <c:axId val="18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17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drawings/_rels/drawing1.xml.rels><?xml version="1.0" encoding="UTF-8"?>
<Relationships xmlns="http://schemas.openxmlformats.org/package/2006/relationships">
  <Relationship Id="rId21" Type="http://schemas.openxmlformats.org/officeDocument/2006/relationships/chart" Target="../charts/chart21.xml"/>
  <Relationship Id="rId20" Type="http://schemas.openxmlformats.org/officeDocument/2006/relationships/chart" Target="../charts/chart20.xml"/>
  <Relationship Id="rId19" Type="http://schemas.openxmlformats.org/officeDocument/2006/relationships/chart" Target="../charts/chart19.xml"/>
  <Relationship Id="rId18" Type="http://schemas.openxmlformats.org/officeDocument/2006/relationships/chart" Target="../charts/chart18.xml"/>
  <Relationship Id="rId17" Type="http://schemas.openxmlformats.org/officeDocument/2006/relationships/chart" Target="../charts/chart17.xml"/>
  <Relationship Id="rId16" Type="http://schemas.openxmlformats.org/officeDocument/2006/relationships/chart" Target="../charts/chart16.xml"/>
  <Relationship Id="rId15" Type="http://schemas.openxmlformats.org/officeDocument/2006/relationships/chart" Target="../charts/chart15.xml"/>
  <Relationship Id="rId14" Type="http://schemas.openxmlformats.org/officeDocument/2006/relationships/chart" Target="../charts/chart14.xml"/>
  <Relationship Id="rId13" Type="http://schemas.openxmlformats.org/officeDocument/2006/relationships/chart" Target="../charts/chart13.xml"/>
  <Relationship Id="rId12" Type="http://schemas.openxmlformats.org/officeDocument/2006/relationships/chart" Target="../charts/chart12.xml"/>
  <Relationship Id="rId11" Type="http://schemas.openxmlformats.org/officeDocument/2006/relationships/chart" Target="../charts/chart11.xml"/>
  <Relationship Id="rId10" Type="http://schemas.openxmlformats.org/officeDocument/2006/relationships/chart" Target="../charts/chart10.xml"/>
  <Relationship Id="rId9" Type="http://schemas.openxmlformats.org/officeDocument/2006/relationships/chart" Target="../charts/chart9.xml"/>
  <Relationship Id="rId8" Type="http://schemas.openxmlformats.org/officeDocument/2006/relationships/chart" Target="../charts/chart8.xml"/>
  <Relationship Id="rId7" Type="http://schemas.openxmlformats.org/officeDocument/2006/relationships/chart" Target="../charts/chart7.xml"/>
  <Relationship Id="rId6" Type="http://schemas.openxmlformats.org/officeDocument/2006/relationships/chart" Target="../charts/chart6.xml"/>
  <Relationship Id="rId5" Type="http://schemas.openxmlformats.org/officeDocument/2006/relationships/chart" Target="../charts/chart5.xml"/>
  <Relationship Id="rId4" Type="http://schemas.openxmlformats.org/officeDocument/2006/relationships/chart" Target="../charts/chart4.xml"/>
  <Relationship Id="rId3" Type="http://schemas.openxmlformats.org/officeDocument/2006/relationships/chart" Target="../charts/chart3.xml"/>
  <Relationship Id="rId2" Type="http://schemas.openxmlformats.org/officeDocument/2006/relationships/chart" Target="../charts/chart2.xml"/>
  <Relationship Id="rId1" Type="http://schemas.openxmlformats.org/officeDocument/2006/relationships/chart" Target="../charts/chart1.xml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gnmx="http://www.gnumeric.org/ext/spreadsheetml">
  <xdr:oneCellAnchor>
    <xdr:from>
      <xdr:col>67</xdr:col>
      <xdr:colOff>262857</xdr:colOff>
      <xdr:row>192</xdr:row>
      <xdr:rowOff>70827</xdr:rowOff>
    </xdr:from>
    <xdr:ext cx="13843000" cy="5753100"/>
    <xdr:graphicFrame macro="">
      <xdr:nvGraphicFramePr>
        <xdr:cNvPr id="1" name="Chart 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oneCellAnchor>
  <xdr:oneCellAnchor>
    <xdr:from>
      <xdr:col>50</xdr:col>
      <xdr:colOff>175636</xdr:colOff>
      <xdr:row>192</xdr:row>
      <xdr:rowOff>212236</xdr:rowOff>
    </xdr:from>
    <xdr:ext cx="13842999" cy="5753099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oneCellAnchor>
  <xdr:oneCellAnchor>
    <xdr:from>
      <xdr:col>92</xdr:col>
      <xdr:colOff>747848</xdr:colOff>
      <xdr:row>7</xdr:row>
      <xdr:rowOff>212236</xdr:rowOff>
    </xdr:from>
    <xdr:ext cx="9296400" cy="51435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oneCellAnchor>
  <xdr:oneCellAnchor>
    <xdr:from>
      <xdr:col>49</xdr:col>
      <xdr:colOff>791593</xdr:colOff>
      <xdr:row>162</xdr:row>
      <xdr:rowOff>247650</xdr:rowOff>
    </xdr:from>
    <xdr:ext cx="13843000" cy="577850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oneCellAnchor>
  <xdr:oneCellAnchor>
    <xdr:from>
      <xdr:col>28</xdr:col>
      <xdr:colOff>863099</xdr:colOff>
      <xdr:row>161</xdr:row>
      <xdr:rowOff>123825</xdr:rowOff>
    </xdr:from>
    <xdr:ext cx="16256000" cy="5905500"/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oneCellAnchor>
  <xdr:oneCellAnchor>
    <xdr:from>
      <xdr:col>111</xdr:col>
      <xdr:colOff>558548</xdr:colOff>
      <xdr:row>213</xdr:row>
      <xdr:rowOff>173354</xdr:rowOff>
    </xdr:from>
    <xdr:ext cx="27051000" cy="10096500"/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oneCellAnchor>
  <xdr:oneCellAnchor>
    <xdr:from>
      <xdr:col>111</xdr:col>
      <xdr:colOff>712433</xdr:colOff>
      <xdr:row>168</xdr:row>
      <xdr:rowOff>176822</xdr:rowOff>
    </xdr:from>
    <xdr:ext cx="27051000" cy="10096500"/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oneCellAnchor>
  <xdr:oneCellAnchor>
    <xdr:from>
      <xdr:col>111</xdr:col>
      <xdr:colOff>719558</xdr:colOff>
      <xdr:row>123</xdr:row>
      <xdr:rowOff>210502</xdr:rowOff>
    </xdr:from>
    <xdr:ext cx="27051000" cy="10096500"/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oneCellAnchor>
  <xdr:oneCellAnchor>
    <xdr:from>
      <xdr:col>161</xdr:col>
      <xdr:colOff>354151</xdr:colOff>
      <xdr:row>122</xdr:row>
      <xdr:rowOff>176822</xdr:rowOff>
    </xdr:from>
    <xdr:ext cx="27051000" cy="10096500"/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oneCellAnchor>
  <xdr:oneCellAnchor>
    <xdr:from>
      <xdr:col>159</xdr:col>
      <xdr:colOff>652346</xdr:colOff>
      <xdr:row>215</xdr:row>
      <xdr:rowOff>139179</xdr:rowOff>
    </xdr:from>
    <xdr:ext cx="27051000" cy="10083800"/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oneCellAnchor>
  <xdr:oneCellAnchor>
    <xdr:from>
      <xdr:col>160</xdr:col>
      <xdr:colOff>167867</xdr:colOff>
      <xdr:row>169</xdr:row>
      <xdr:rowOff>30956</xdr:rowOff>
    </xdr:from>
    <xdr:ext cx="27051000" cy="10083800"/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1"/>
        </a:graphicData>
      </a:graphic>
    </xdr:graphicFrame>
    <xdr:clientData/>
  </xdr:oneCellAnchor>
  <xdr:oneCellAnchor>
    <xdr:from>
      <xdr:col>120</xdr:col>
      <xdr:colOff>381066</xdr:colOff>
      <xdr:row>75</xdr:row>
      <xdr:rowOff>247650</xdr:rowOff>
    </xdr:from>
    <xdr:ext cx="51181000" cy="10185400"/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2"/>
        </a:graphicData>
      </a:graphic>
    </xdr:graphicFrame>
    <xdr:clientData/>
  </xdr:oneCellAnchor>
  <xdr:oneCellAnchor>
    <xdr:from>
      <xdr:col>120</xdr:col>
      <xdr:colOff>653762</xdr:colOff>
      <xdr:row>29</xdr:row>
      <xdr:rowOff>247650</xdr:rowOff>
    </xdr:from>
    <xdr:ext cx="51181000" cy="10185400"/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3"/>
        </a:graphicData>
      </a:graphic>
    </xdr:graphicFrame>
    <xdr:clientData/>
  </xdr:oneCellAnchor>
  <xdr:oneCellAnchor>
    <xdr:from>
      <xdr:col>121</xdr:col>
      <xdr:colOff>381066</xdr:colOff>
      <xdr:row>8</xdr:row>
      <xdr:rowOff>0</xdr:rowOff>
    </xdr:from>
    <xdr:ext cx="17399000" cy="3949700"/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4"/>
        </a:graphicData>
      </a:graphic>
    </xdr:graphicFrame>
    <xdr:clientData/>
  </xdr:oneCellAnchor>
  <xdr:oneCellAnchor>
    <xdr:from>
      <xdr:col>49</xdr:col>
      <xdr:colOff>719081</xdr:colOff>
      <xdr:row>130</xdr:row>
      <xdr:rowOff>185737</xdr:rowOff>
    </xdr:from>
    <xdr:ext cx="13843000" cy="6731000"/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5"/>
        </a:graphicData>
      </a:graphic>
    </xdr:graphicFrame>
    <xdr:clientData/>
  </xdr:oneCellAnchor>
  <xdr:oneCellAnchor>
    <xdr:from>
      <xdr:col>49</xdr:col>
      <xdr:colOff>432053</xdr:colOff>
      <xdr:row>98</xdr:row>
      <xdr:rowOff>123825</xdr:rowOff>
    </xdr:from>
    <xdr:ext cx="13843000" cy="6731000"/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6"/>
        </a:graphicData>
      </a:graphic>
    </xdr:graphicFrame>
    <xdr:clientData/>
  </xdr:oneCellAnchor>
  <xdr:oneCellAnchor>
    <xdr:from>
      <xdr:col>28</xdr:col>
      <xdr:colOff>791593</xdr:colOff>
      <xdr:row>129</xdr:row>
      <xdr:rowOff>61912</xdr:rowOff>
    </xdr:from>
    <xdr:ext cx="16256000" cy="5905500"/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7"/>
        </a:graphicData>
      </a:graphic>
    </xdr:graphicFrame>
    <xdr:clientData/>
  </xdr:oneCellAnchor>
  <xdr:oneCellAnchor>
    <xdr:from>
      <xdr:col>28</xdr:col>
      <xdr:colOff>647576</xdr:colOff>
      <xdr:row>97</xdr:row>
      <xdr:rowOff>61912</xdr:rowOff>
    </xdr:from>
    <xdr:ext cx="16256000" cy="5905500"/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8"/>
        </a:graphicData>
      </a:graphic>
    </xdr:graphicFrame>
    <xdr:clientData/>
  </xdr:oneCellAnchor>
  <xdr:oneCellAnchor>
    <xdr:from>
      <xdr:col>11</xdr:col>
      <xdr:colOff>600579</xdr:colOff>
      <xdr:row>159</xdr:row>
      <xdr:rowOff>247650</xdr:rowOff>
    </xdr:from>
    <xdr:ext cx="15113000" cy="7175500"/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9"/>
        </a:graphicData>
      </a:graphic>
    </xdr:graphicFrame>
    <xdr:clientData/>
  </xdr:oneCellAnchor>
  <xdr:oneCellAnchor>
    <xdr:from>
      <xdr:col>11</xdr:col>
      <xdr:colOff>84509</xdr:colOff>
      <xdr:row>95</xdr:row>
      <xdr:rowOff>82467</xdr:rowOff>
    </xdr:from>
    <xdr:ext cx="16129000" cy="7365999"/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0"/>
        </a:graphicData>
      </a:graphic>
    </xdr:graphicFrame>
    <xdr:clientData/>
  </xdr:oneCellAnchor>
  <xdr:oneCellAnchor>
    <xdr:from>
      <xdr:col>11</xdr:col>
      <xdr:colOff>140848</xdr:colOff>
      <xdr:row>129</xdr:row>
      <xdr:rowOff>82467</xdr:rowOff>
    </xdr:from>
    <xdr:ext cx="16129000" cy="6540500"/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1"/>
        </a:graphicData>
      </a:graphic>
    </xdr:graphicFrame>
    <xdr:clientData/>
  </xdr:oneCellAnchor>
</xdr:wsDr>
</file>

<file path=xl/worksheets/_rels/sheet1.xml.rels><?xml version="1.0" encoding="UTF-8"?>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GX1983"/>
  <sheetViews>
    <sheetView workbookViewId="0" tabSelected="1">
      <pane ySplit="6" topLeftCell="A7" activePane="bottomLeft" state="frozen"/>
      <selection pane="bottomLeft" activeCell="A9" sqref="A9"/>
    </sheetView>
  </sheetViews>
  <sheetFormatPr defaultRowHeight="12.75"/>
  <cols>
    <col min="1" max="1" style="1" width="9.142307692307693"/>
    <col min="2" max="2" style="1" width="5.57109375" customWidth="1"/>
    <col min="3" max="3" style="2" width="15.427644230769232" customWidth="1"/>
    <col min="4" max="4" style="3" width="17.141826923076923" customWidth="1"/>
    <col min="5" max="5" style="1" width="7.9995192307692315" customWidth="1"/>
    <col min="6" max="6" style="1" width="24.569951923076925" customWidth="1"/>
    <col min="7" max="7" style="1" width="18.284615384615385" customWidth="1"/>
    <col min="8" max="8" style="2" width="19.427403846153847" bestFit="1" customWidth="1"/>
    <col min="9" max="9" style="2" width="19.427403846153847" customWidth="1"/>
    <col min="10" max="10" style="2" width="22.855769230769234" customWidth="1"/>
    <col min="11" max="11" style="2" width="24.569951923076925" customWidth="1"/>
    <col min="12" max="12" style="2" width="14.543887820512822" bestFit="1" customWidth="1"/>
    <col min="13" max="13" style="1" width="25.712740384615387" customWidth="1"/>
    <col min="14" max="14" style="4" width="21.141586538461542" customWidth="1"/>
    <col min="15" max="15" style="3" width="16.570432692307694" customWidth="1"/>
    <col min="16" max="16" style="4" width="12.570673076923079" customWidth="1"/>
    <col min="17" max="17" style="4" width="12.99921875" bestFit="1" customWidth="1"/>
    <col min="18" max="18" style="4" width="11.427884615384617" customWidth="1"/>
    <col min="19" max="19" style="4" width="12.99921875" bestFit="1" customWidth="1"/>
    <col min="20" max="20" style="1" width="16.85612980769231" customWidth="1"/>
    <col min="21" max="21" style="4" width="21.141586538461542" customWidth="1"/>
    <col min="22" max="22" style="4" width="12.99921875" bestFit="1" customWidth="1"/>
    <col min="23" max="23" style="4" width="16.141887019230772" bestFit="1" customWidth="1"/>
    <col min="24" max="24" style="4" width="12.738282051282052" bestFit="1" customWidth="1"/>
    <col min="25" max="25" style="4" width="14.82006169871795" customWidth="1"/>
    <col min="26" max="26" style="4" width="12.99921875" bestFit="1" customWidth="1"/>
    <col min="27" max="27" style="1" width="17.99891826923077" customWidth="1"/>
    <col min="28" max="28" style="4" width="21.141586538461542" customWidth="1"/>
    <col min="29" max="29" style="4" width="12.99921875" bestFit="1" customWidth="1"/>
    <col min="30" max="30" style="4" width="14.82006169871795" customWidth="1"/>
    <col min="31" max="31" style="4" width="12.99921875" bestFit="1" customWidth="1"/>
    <col min="32" max="32" style="4" width="13.713461538461539" customWidth="1"/>
    <col min="33" max="33" style="4" width="12.99921875" bestFit="1" customWidth="1"/>
    <col min="34" max="34" style="1" width="9.142307692307693"/>
    <col min="35" max="35" style="4" width="21.141586538461542" customWidth="1"/>
    <col min="36" max="36" style="4" width="16.71328125" bestFit="1" customWidth="1"/>
    <col min="37" max="37" style="4" width="13.570612980769232" bestFit="1" customWidth="1"/>
    <col min="38" max="38" style="4" width="12.99921875" bestFit="1" customWidth="1"/>
    <col min="39" max="39" style="4" width="15.178135416666668" customWidth="1"/>
    <col min="40" max="40" style="4" width="12.99921875" bestFit="1" customWidth="1"/>
    <col min="41" max="41" style="1" width="9.142307692307693"/>
    <col min="42" max="42" style="4" width="21.141586538461542" customWidth="1"/>
    <col min="43" max="43" style="4" width="12.99921875" bestFit="1" customWidth="1"/>
    <col min="44" max="44" style="4" width="12.42782451923077" bestFit="1" customWidth="1"/>
    <col min="45" max="45" style="4" width="12.99921875" bestFit="1" customWidth="1"/>
    <col min="46" max="46" style="4" width="12.42782451923077" bestFit="1" customWidth="1"/>
    <col min="47" max="47" style="4" width="12.99921875" bestFit="1" customWidth="1"/>
    <col min="48" max="48" style="1" width="9.142307692307693"/>
    <col min="49" max="49" style="4" width="21.141586538461542" customWidth="1"/>
    <col min="50" max="50" style="4" width="12.99921875" bestFit="1" customWidth="1"/>
    <col min="51" max="51" style="4" width="16.427584134615387" customWidth="1"/>
    <col min="52" max="52" style="4" width="14.28485576923077" bestFit="1" customWidth="1"/>
    <col min="53" max="53" style="4" width="12.597338141025643" bestFit="1" customWidth="1"/>
    <col min="54" max="54" style="4" width="12.99921875" bestFit="1" customWidth="1"/>
    <col min="55" max="55" style="1" width="9.142307692307693"/>
    <col min="56" max="56" style="4" width="21.141586538461542" customWidth="1"/>
    <col min="57" max="57" style="4" width="12.99921875" bestFit="1" customWidth="1"/>
    <col min="58" max="58" style="4" width="14.46389262820513" customWidth="1"/>
    <col min="59" max="59" style="4" width="14.28485576923077" bestFit="1" customWidth="1"/>
    <col min="60" max="60" style="4" width="13.713461538461539" customWidth="1"/>
    <col min="61" max="61" style="4" width="12.99921875" bestFit="1" customWidth="1"/>
    <col min="62" max="62" style="1" width="9.142307692307693"/>
    <col min="63" max="63" style="4" width="21.141586538461542" customWidth="1"/>
    <col min="64" max="64" style="4" width="12.99921875" bestFit="1" customWidth="1"/>
    <col min="65" max="65" style="4" width="11.427884615384617" bestFit="1" customWidth="1"/>
    <col min="66" max="66" style="4" width="12.99921875" bestFit="1" customWidth="1"/>
    <col min="67" max="67" style="4" width="12.42782451923077" bestFit="1" customWidth="1"/>
    <col min="68" max="68" style="4" width="12.99921875" bestFit="1" customWidth="1"/>
    <col min="69" max="69" style="1" width="9.142307692307693"/>
    <col min="70" max="70" style="4" width="21.141586538461542" customWidth="1"/>
    <col min="71" max="71" style="4" width="12.99921875" bestFit="1" customWidth="1"/>
    <col min="72" max="72" style="4" width="12.799230769230771" bestFit="1" customWidth="1"/>
    <col min="73" max="73" style="4" width="12.42782451923077" bestFit="1" customWidth="1"/>
    <col min="74" max="74" style="4" width="19.103613782051283" customWidth="1"/>
    <col min="75" max="75" style="4" width="14.28485576923077" bestFit="1" customWidth="1"/>
    <col min="76" max="76" style="1" width="9.142307692307693"/>
    <col min="77" max="77" style="4" width="21.141586538461542" customWidth="1"/>
    <col min="78" max="78" style="4" width="12.99921875" bestFit="1" customWidth="1"/>
    <col min="79" max="80" style="4" width="14.28485576923077" bestFit="1" customWidth="1"/>
    <col min="81" max="81" style="4" width="15.999038461538463" customWidth="1"/>
    <col min="82" max="82" style="4" width="12.99921875" bestFit="1" customWidth="1"/>
    <col min="83" max="83" style="4" width="9.142307692307693"/>
    <col min="84" max="84" style="5" width="14.856250000000001" bestFit="1" customWidth="1"/>
    <col min="85" max="85" style="1" width="17.284675480769234" customWidth="1"/>
    <col min="86" max="86" style="1" width="13.427764423076924" customWidth="1"/>
    <col min="87" max="87" style="1" width="26.28413461538462" bestFit="1" customWidth="1"/>
    <col min="88" max="88" style="1" width="21.6939342948718" customWidth="1"/>
    <col min="89" max="89" style="1" width="8.14236778846154" bestFit="1" customWidth="1"/>
    <col min="90" max="90" style="1" width="12.380208333333334" customWidth="1"/>
    <col min="91" max="91" style="1" width="8.570913461538462" bestFit="1" customWidth="1"/>
    <col min="92" max="92" style="1" width="9.142307692307693"/>
    <col min="93" max="93" style="1" width="26.665064102564106" customWidth="1"/>
    <col min="94" max="94" style="1" width="30.79814903846154" customWidth="1"/>
    <col min="95" max="96" style="1" width="32.379006410256416" customWidth="1"/>
    <col min="97" max="100" style="1" width="9.142307692307693"/>
    <col min="101" max="101" style="1" width="13.856310096153848" bestFit="1" customWidth="1"/>
    <col min="102" max="102" style="1" width="12.856370192307693" bestFit="1" customWidth="1"/>
    <col min="103" max="103" style="1" width="12.99921875" bestFit="1" customWidth="1"/>
    <col min="104" max="104" style="1" width="13.14206730769231" bestFit="1" customWidth="1"/>
    <col min="105" max="105" style="1" width="12.713521634615386" bestFit="1" customWidth="1"/>
    <col min="106" max="106" style="1" width="16.97421794871795" customWidth="1"/>
    <col min="107" max="107" style="1" width="24.646137820512823" customWidth="1"/>
    <col min="108" max="108" style="2" width="22.01772435897436" bestFit="1" customWidth="1"/>
    <col min="109" max="109" style="6" width="14.28485576923077" customWidth="1"/>
    <col min="110" max="110" style="1" width="16.71328125" customWidth="1"/>
    <col min="111" max="111" style="1" width="18.71316105769231" customWidth="1"/>
    <col min="112" max="112" style="1" width="18.391275641025643" customWidth="1"/>
    <col min="113" max="113" style="1" width="17.320863782051283" customWidth="1"/>
    <col min="114" max="114" style="1" width="16.103794070512823" bestFit="1" customWidth="1"/>
    <col min="115" max="115" style="1" width="17.141826923076923" customWidth="1"/>
    <col min="116" max="116" style="1" width="14.28485576923077" bestFit="1" customWidth="1"/>
    <col min="117" max="117" style="1" width="13.713461538461539" bestFit="1" customWidth="1"/>
    <col min="118" max="120" style="1" width="11.85643028846154" bestFit="1" customWidth="1"/>
    <col min="121" max="256" style="1" width="9.142307692307693"/>
  </cols>
  <sheetData>
    <row r="1" spans="1:206" customHeight="1" ht="7.5">
      <c r="A1" t="inlineStr">
        <is>
          <t>a</t>
        </is>
      </c>
    </row>
    <row r="2" spans="1:206" customHeight="1" ht="7.5">
      <c r="A2" t="inlineStr">
        <is>
          <t>b</t>
        </is>
      </c>
    </row>
    <row r="3" spans="1:206" ht="19.5">
      <c r="A3" t="inlineStr">
        <is>
          <t>c</t>
        </is>
      </c>
      <c r="C3" t="inlineStr">
        <is>
          <t>Last revision:  Sunday, 03 May 2020 21:15:07 UTC</t>
        </is>
      </c>
    </row>
    <row r="4" spans="1:206" ht="19.5">
      <c r="A4" t="s">
        <v>0</v>
      </c>
      <c r="C4" s="1"/>
      <c r="D4" s="7"/>
      <c r="I4" t="s">
        <v>1</v>
      </c>
      <c r="J4" t="inlineStr">
        <is>
          <t>United</t>
        </is>
      </c>
      <c r="N4" t="inlineStr">
        <is>
          <t>1. Litchfield</t>
        </is>
      </c>
      <c r="U4" t="inlineStr">
        <is>
          <t>2. Hartford</t>
        </is>
      </c>
      <c r="AB4" t="inlineStr">
        <is>
          <t>3. New Haven</t>
        </is>
      </c>
      <c r="AI4" t="inlineStr">
        <is>
          <t>4. Fairfield</t>
        </is>
      </c>
      <c r="AP4" t="inlineStr">
        <is>
          <t>5. Middlesex</t>
        </is>
      </c>
      <c r="AW4" t="inlineStr">
        <is>
          <t>6. Tolland</t>
        </is>
      </c>
      <c r="BD4" t="inlineStr">
        <is>
          <t>7. Windham</t>
        </is>
      </c>
      <c r="BK4" t="inlineStr">
        <is>
          <t>8. New London</t>
        </is>
      </c>
      <c r="BR4" t="inlineStr">
        <is>
          <t>9. Pending address</t>
        </is>
      </c>
      <c r="BY4" t="inlineStr">
        <is>
          <t>0. State of CT</t>
        </is>
      </c>
    </row>
    <row r="5" spans="1:206" ht="19.5">
      <c r="A5" t="inlineStr">
        <is>
          <t>e</t>
        </is>
      </c>
      <c r="C5" t="s">
        <v>2</v>
      </c>
      <c r="G5" t="inlineStr">
        <is>
          <t>15x</t>
        </is>
      </c>
      <c r="H5" t="s">
        <v>3</v>
      </c>
      <c r="I5" t="s">
        <v>3</v>
      </c>
      <c r="J5" t="inlineStr">
        <is>
          <t>States</t>
        </is>
      </c>
      <c r="K5" t="inlineStr">
        <is>
          <t>Connecticut,</t>
        </is>
      </c>
      <c r="P5" t="s">
        <v>4</v>
      </c>
      <c r="W5" t="s">
        <v>4</v>
      </c>
      <c r="CF5" t="inlineStr">
        <is>
          <t>Delta</t>
        </is>
      </c>
      <c r="DD5" t="inlineStr">
        <is>
          <t>United States,</t>
        </is>
      </c>
    </row>
    <row r="6" spans="1:206" ht="19.5">
      <c r="A6" t="inlineStr">
        <is>
          <t>f</t>
        </is>
      </c>
      <c r="C6" t="s">
        <v>5</v>
      </c>
      <c r="D6" t="s">
        <v>6</v>
      </c>
      <c r="G6" t="inlineStr">
        <is>
          <t>measured:</t>
        </is>
      </c>
      <c r="H6" t="s">
        <v>7</v>
      </c>
      <c r="I6" t="s">
        <v>8</v>
      </c>
      <c r="J6" t="s">
        <v>9</v>
      </c>
      <c r="K6" t="s">
        <v>9</v>
      </c>
      <c r="N6" t="s">
        <v>9</v>
      </c>
      <c r="P6" t="s">
        <v>10</v>
      </c>
      <c r="R6" t="s">
        <v>11</v>
      </c>
      <c r="U6" t="s">
        <v>9</v>
      </c>
      <c r="W6" t="s">
        <v>10</v>
      </c>
      <c r="Y6" t="s">
        <v>11</v>
      </c>
      <c r="AB6" t="s">
        <v>9</v>
      </c>
      <c r="AD6" t="s">
        <v>10</v>
      </c>
      <c r="AF6" t="s">
        <v>11</v>
      </c>
      <c r="AI6" t="s">
        <v>9</v>
      </c>
      <c r="AK6" t="s">
        <v>10</v>
      </c>
      <c r="AM6" t="s">
        <v>11</v>
      </c>
      <c r="AP6" t="s">
        <v>9</v>
      </c>
      <c r="AR6" t="s">
        <v>10</v>
      </c>
      <c r="AT6" t="s">
        <v>11</v>
      </c>
      <c r="AW6" t="s">
        <v>9</v>
      </c>
      <c r="AY6" t="s">
        <v>10</v>
      </c>
      <c r="BA6" t="s">
        <v>11</v>
      </c>
      <c r="BD6" t="s">
        <v>9</v>
      </c>
      <c r="BF6" t="s">
        <v>10</v>
      </c>
      <c r="BH6" t="s">
        <v>11</v>
      </c>
      <c r="BK6" t="s">
        <v>9</v>
      </c>
      <c r="BM6" t="s">
        <v>10</v>
      </c>
      <c r="BO6" t="s">
        <v>11</v>
      </c>
      <c r="BR6" t="s">
        <v>9</v>
      </c>
      <c r="BT6" t="s">
        <v>10</v>
      </c>
      <c r="BV6" t="s">
        <v>11</v>
      </c>
      <c r="BY6" t="s">
        <v>9</v>
      </c>
      <c r="CA6" t="s">
        <v>10</v>
      </c>
      <c r="CC6" t="s">
        <v>11</v>
      </c>
      <c r="CF6" t="inlineStr">
        <is>
          <t>Hosp:</t>
        </is>
      </c>
      <c r="CH6" t="inlineStr">
        <is>
          <t>No.</t>
        </is>
      </c>
      <c r="CI6" t="inlineStr">
        <is>
          <t>Town</t>
        </is>
      </c>
      <c r="CJ6" s="8" t="inlineStr">
        <is>
          <t>Date</t>
        </is>
      </c>
      <c r="CK6" t="inlineStr">
        <is>
          <t>Conf</t>
        </is>
      </c>
      <c r="CL6" t="inlineStr">
        <is>
          <t>Rate</t>
        </is>
      </c>
      <c r="CM6" t="inlineStr">
        <is>
          <t>Dead</t>
        </is>
      </c>
      <c r="CW6" t="inlineStr">
        <is>
          <t>Signal A</t>
        </is>
      </c>
      <c r="CX6" t="inlineStr">
        <is>
          <t>Signal B</t>
        </is>
      </c>
      <c r="CY6" t="inlineStr">
        <is>
          <t>Signal C</t>
        </is>
      </c>
      <c r="CZ6" t="inlineStr">
        <is>
          <t>Signal D</t>
        </is>
      </c>
      <c r="DA6" t="inlineStr">
        <is>
          <t>Signal E</t>
        </is>
      </c>
      <c r="DD6" t="inlineStr">
        <is>
          <t>Confirmed</t>
        </is>
      </c>
    </row>
    <row r="7" spans="1:206" ht="19.5">
      <c r="A7" t="inlineStr">
        <is>
          <t>g</t>
        </is>
      </c>
      <c r="C7" s="1"/>
      <c r="H7" s="1"/>
      <c r="X7" s="1"/>
      <c r="AE7" s="1"/>
      <c r="AL7" s="1"/>
      <c r="AS7" s="1"/>
      <c r="AZ7" s="1"/>
      <c r="BG7" s="1"/>
      <c r="BN7" s="1"/>
      <c r="CB7" s="1"/>
      <c r="CJ7" s="8"/>
      <c r="DE7" s="1"/>
    </row>
    <row r="8" spans="1:206" ht="19.5">
      <c r="A8" t="inlineStr">
        <is>
          <t>h</t>
        </is>
      </c>
      <c r="C8" s="1">
        <v>1</v>
      </c>
      <c r="D8">
        <v>0</v>
      </c>
      <c r="E8" t="s">
        <v>12</v>
      </c>
      <c r="F8" s="9">
        <v>43898</v>
      </c>
      <c r="G8" s="2">
        <f>H8*15</f>
        <v>15</v>
      </c>
      <c r="H8">
        <f>H7+C8</f>
        <v>1</v>
      </c>
      <c r="I8">
        <v>1</v>
      </c>
      <c r="K8">
        <f>N8+U8+AB8+AI8+AP8+AW8+BD8+BK8</f>
        <v>1</v>
      </c>
      <c r="N8">
        <f>N7+0</f>
        <v>0</v>
      </c>
      <c r="V8" s="1"/>
      <c r="AC8" s="1"/>
      <c r="AI8">
        <f>AI7+1</f>
        <v>1</v>
      </c>
      <c r="AJ8" s="5">
        <f>AI8-AI7</f>
        <v>1</v>
      </c>
      <c r="AQ8" s="1"/>
      <c r="BE8" s="1"/>
      <c r="BL8" s="1"/>
      <c r="BY8">
        <f>N8+U8+AB8+AI8+AP8+AW8+BD8+BK8</f>
        <v>1</v>
      </c>
      <c r="BZ8" s="5">
        <f>BY8-BY7</f>
        <v>1</v>
      </c>
      <c r="CA8">
        <f>P8+W8+AD8+AK8+AR8+AY8+BF8+BM8</f>
        <v>0</v>
      </c>
      <c r="CC8">
        <f>R8+Y8+AF8+AM8+AT8+BA8+BH8+BO8</f>
        <v>0</v>
      </c>
      <c r="CH8">
        <v>1</v>
      </c>
      <c r="CI8" t="s">
        <v>13</v>
      </c>
      <c r="CJ8" s="8">
        <v>43914</v>
      </c>
      <c r="CK8">
        <v>0</v>
      </c>
      <c r="CM8">
        <v>0</v>
      </c>
      <c r="CN8">
        <v>-5</v>
      </c>
      <c r="DE8" s="1"/>
    </row>
    <row r="9" spans="1:206" ht="19.2">
      <c r="A9" t="inlineStr">
        <is>
          <t>i</t>
        </is>
      </c>
      <c r="C9">
        <f>H8*D9</f>
        <v>1</v>
      </c>
      <c r="D9">
        <v>1</v>
      </c>
      <c r="E9" t="s">
        <v>14</v>
      </c>
      <c r="F9" s="9">
        <v>43899</v>
      </c>
      <c r="G9" s="2">
        <f>H9*15</f>
        <v>30</v>
      </c>
      <c r="H9">
        <f>H8+C9</f>
        <v>2</v>
      </c>
      <c r="I9">
        <v>2</v>
      </c>
      <c r="J9">
        <v>583</v>
      </c>
      <c r="K9">
        <f>N9+U9+AB9+AI9+AP9+AW9+BD9+BK9</f>
        <v>2</v>
      </c>
      <c r="L9" s="3">
        <f>(K9/K8)-1</f>
        <v>1</v>
      </c>
      <c r="N9">
        <f>N8+1</f>
        <v>1</v>
      </c>
      <c r="O9" s="5">
        <f>N9-N8</f>
        <v>1</v>
      </c>
      <c r="AI9">
        <f>AI8+0</f>
        <v>1</v>
      </c>
      <c r="AJ9" s="5">
        <f>AI9-AI8</f>
        <v>0</v>
      </c>
      <c r="BY9">
        <f>N9+U9+AB9+AI9+AP9+AW9+BD9+BK9</f>
        <v>2</v>
      </c>
      <c r="BZ9" s="5">
        <f>BY9-BY8</f>
        <v>1</v>
      </c>
      <c r="CA9">
        <f>P9+W9+AD9+AK9+AR9+AY9+BF9+BM9</f>
        <v>0</v>
      </c>
      <c r="CC9">
        <f>R9+Y9+AF9+AM9+AT9+BA9+BH9+BO9</f>
        <v>0</v>
      </c>
      <c r="CF9" t="inlineStr">
        <is>
          <t>march 9th</t>
        </is>
      </c>
      <c r="CH9">
        <v>1</v>
      </c>
      <c r="CI9" t="s">
        <v>13</v>
      </c>
      <c r="CJ9" s="8">
        <v>43915</v>
      </c>
      <c r="CK9">
        <v>0</v>
      </c>
      <c r="CM9">
        <v>0</v>
      </c>
      <c r="CN9">
        <v>-4</v>
      </c>
      <c r="CW9">
        <v>25</v>
      </c>
      <c r="CX9">
        <v>10</v>
      </c>
    </row>
    <row r="10" spans="1:206" ht="19.5">
      <c r="C10">
        <f>H9*D10</f>
        <v>0</v>
      </c>
      <c r="D10">
        <v>0</v>
      </c>
      <c r="E10" t="s">
        <v>15</v>
      </c>
      <c r="F10" s="9">
        <v>43900</v>
      </c>
      <c r="G10" s="2">
        <f>H10*15</f>
        <v>30</v>
      </c>
      <c r="H10">
        <f>H9+C10</f>
        <v>2</v>
      </c>
      <c r="I10">
        <v>2</v>
      </c>
      <c r="J10">
        <v>959</v>
      </c>
      <c r="K10">
        <f>N10+U10+AB10+AI10+AP10+AW10+BD10+BK10</f>
        <v>2</v>
      </c>
      <c r="L10" s="3">
        <f>(K10/K9)-1</f>
        <v>0</v>
      </c>
      <c r="N10">
        <f>N9+0</f>
        <v>1</v>
      </c>
      <c r="O10" s="5">
        <f>N10-N9</f>
        <v>0</v>
      </c>
      <c r="AI10">
        <f>AI9+0</f>
        <v>1</v>
      </c>
      <c r="AJ10" s="5">
        <f>AI10-AI9</f>
        <v>0</v>
      </c>
      <c r="BY10">
        <f>N10+U10+AB10+AI10+AP10+AW10+BD10+BK10</f>
        <v>2</v>
      </c>
      <c r="BZ10" s="5">
        <f>BY10-BY9</f>
        <v>0</v>
      </c>
      <c r="CA10">
        <f>P10+W10+AD10+AK10+AR10+AY10+BF10+BM10</f>
        <v>0</v>
      </c>
      <c r="CC10">
        <f>R10+Y10+AF10+AM10+AT10+BA10+BH10+BO10</f>
        <v>0</v>
      </c>
      <c r="CH10">
        <v>1</v>
      </c>
      <c r="CI10" t="s">
        <v>13</v>
      </c>
      <c r="CJ10" s="8">
        <v>43916</v>
      </c>
      <c r="CK10">
        <v>0</v>
      </c>
      <c r="CM10">
        <v>0</v>
      </c>
      <c r="CN10">
        <v>-3</v>
      </c>
      <c r="CW10">
        <v>50</v>
      </c>
      <c r="CX10">
        <v>50</v>
      </c>
      <c r="DC10" s="9">
        <v>43852</v>
      </c>
      <c r="DD10">
        <v>1</v>
      </c>
    </row>
    <row r="11" spans="1:206" ht="18.41">
      <c r="C11">
        <f>H10*D11</f>
        <v>1</v>
      </c>
      <c r="D11">
        <v>0.5</v>
      </c>
      <c r="E11" t="s">
        <v>16</v>
      </c>
      <c r="F11" s="9">
        <v>43901</v>
      </c>
      <c r="G11" s="2">
        <f>H11*15</f>
        <v>45</v>
      </c>
      <c r="H11">
        <f>H10+C11</f>
        <v>3</v>
      </c>
      <c r="I11">
        <v>3</v>
      </c>
      <c r="J11">
        <v>1281</v>
      </c>
      <c r="K11">
        <f>N11+U11+AB11+AI11+AP11+AW11+BD11+BK11</f>
        <v>3</v>
      </c>
      <c r="L11" s="3">
        <f>(K11/K10)-1</f>
        <v>0.5</v>
      </c>
      <c r="N11">
        <f>N10+0</f>
        <v>1</v>
      </c>
      <c r="O11" s="5">
        <f>N11-N10</f>
        <v>0</v>
      </c>
      <c r="AI11">
        <f>AI10+1</f>
        <v>2</v>
      </c>
      <c r="AJ11" s="5">
        <f>AI11-AI10</f>
        <v>1</v>
      </c>
      <c r="BY11">
        <f>N11+U11+AB11+AI11+AP11+AW11+BD11+BK11</f>
        <v>3</v>
      </c>
      <c r="BZ11" s="5">
        <f>BY11-BY10</f>
        <v>1</v>
      </c>
      <c r="CA11">
        <f>P11+W11+AD11+AK11+AR11+AY11+BF11+BM11</f>
        <v>0</v>
      </c>
      <c r="CC11">
        <f>R11+Y11+AF11+AM11+AT11+BA11+BH11+BO11</f>
        <v>0</v>
      </c>
      <c r="CH11">
        <v>1</v>
      </c>
      <c r="CI11" t="s">
        <v>13</v>
      </c>
      <c r="CJ11" s="8">
        <v>43917</v>
      </c>
      <c r="CK11">
        <v>0</v>
      </c>
      <c r="CM11">
        <v>0</v>
      </c>
      <c r="CN11">
        <v>-2</v>
      </c>
      <c r="CW11">
        <v>100</v>
      </c>
      <c r="CX11">
        <v>100</v>
      </c>
      <c r="DC11" s="9">
        <v>43853</v>
      </c>
      <c r="DD11">
        <v>1</v>
      </c>
      <c r="DE11">
        <f>(DD11/DD10)-1</f>
        <v>0</v>
      </c>
      <c r="DG11" s="2">
        <v>1069424</v>
      </c>
      <c r="DH11" s="2">
        <v>1103461</v>
      </c>
      <c r="DI11" s="2">
        <v>1132539</v>
      </c>
      <c r="DJ11" s="2"/>
      <c r="DL11" s="2"/>
    </row>
    <row r="12" spans="1:206" ht="19.5">
      <c r="C12">
        <f>H11*D12</f>
        <v>3</v>
      </c>
      <c r="D12">
        <v>1</v>
      </c>
      <c r="E12" t="s">
        <v>17</v>
      </c>
      <c r="F12" s="9">
        <v>43902</v>
      </c>
      <c r="G12" s="2">
        <f>H12*15</f>
        <v>90</v>
      </c>
      <c r="H12">
        <f>H11+C12</f>
        <v>6</v>
      </c>
      <c r="I12">
        <v>6</v>
      </c>
      <c r="J12">
        <v>1663</v>
      </c>
      <c r="K12">
        <f>N12+U12+AB12+AI12+AP12+AW12+BD12+BK12</f>
        <v>6</v>
      </c>
      <c r="L12" s="3">
        <f>(K12/K11)-1</f>
        <v>1</v>
      </c>
      <c r="N12">
        <f>N11+0</f>
        <v>1</v>
      </c>
      <c r="O12" s="5">
        <f>N12-N11</f>
        <v>0</v>
      </c>
      <c r="AI12">
        <f>AI11+3</f>
        <v>5</v>
      </c>
      <c r="AJ12" s="5">
        <f>AI12-AI11</f>
        <v>3</v>
      </c>
      <c r="BY12">
        <f>N12+U12+AB12+AI12+AP12+AW12+BD12+BK12</f>
        <v>6</v>
      </c>
      <c r="BZ12" s="5">
        <f>BY12-BY11</f>
        <v>3</v>
      </c>
      <c r="CA12">
        <f>P12+W12+AD12+AK12+AR12+AY12+BF12+BM12</f>
        <v>0</v>
      </c>
      <c r="CC12">
        <f>R12+Y12+AF12+AM12+AT12+BA12+BH12+BO12</f>
        <v>0</v>
      </c>
      <c r="CH12">
        <v>1</v>
      </c>
      <c r="CI12" t="s">
        <v>13</v>
      </c>
      <c r="CJ12" s="8">
        <v>43918</v>
      </c>
      <c r="CK12">
        <v>0</v>
      </c>
      <c r="CM12">
        <v>0</v>
      </c>
      <c r="CN12">
        <v>-1</v>
      </c>
      <c r="CW12">
        <v>100</v>
      </c>
      <c r="CX12">
        <v>100</v>
      </c>
      <c r="DC12" s="9">
        <v>43854</v>
      </c>
      <c r="DD12">
        <v>2</v>
      </c>
      <c r="DE12">
        <f>(DD12/DD11)-1</f>
        <v>1</v>
      </c>
    </row>
    <row r="13" spans="1:206" ht="18.41">
      <c r="C13">
        <f>H12*D13</f>
        <v>4.9999999999979998</v>
      </c>
      <c r="D13">
        <v>0.83333333333299997</v>
      </c>
      <c r="E13" t="s">
        <v>18</v>
      </c>
      <c r="F13" s="9">
        <v>43903</v>
      </c>
      <c r="G13" s="2">
        <f>H13*15</f>
        <v>164.99999999996999</v>
      </c>
      <c r="H13">
        <f>H12+C13</f>
        <v>10.999999999998</v>
      </c>
      <c r="I13">
        <v>11</v>
      </c>
      <c r="J13">
        <v>2179</v>
      </c>
      <c r="K13">
        <f>N13+U13+AB13+AI13+AP13+AW13+BD13+BK13</f>
        <v>11</v>
      </c>
      <c r="L13" s="3">
        <f>(K13/K12)-1</f>
        <v>0.83333333333333326</v>
      </c>
      <c r="N13">
        <f>N12+2</f>
        <v>3</v>
      </c>
      <c r="O13" s="5">
        <f>N13-N12</f>
        <v>2</v>
      </c>
      <c r="Q13" s="1"/>
      <c r="AI13">
        <v>8</v>
      </c>
      <c r="AJ13" s="5">
        <f>AI13-AI12</f>
        <v>3</v>
      </c>
      <c r="BY13">
        <f>N13+U13+AB13+AI13+AP13+AW13+BD13+BK13</f>
        <v>11</v>
      </c>
      <c r="BZ13" s="5">
        <f>BY13-BY12</f>
        <v>5</v>
      </c>
      <c r="CA13">
        <f>P13+W13+AD13+AK13+AR13+AY13+BF13+BM13</f>
        <v>0</v>
      </c>
      <c r="CC13">
        <f>R13+Y13+AF13+AM13+AT13+BA13+BH13+BO13</f>
        <v>0</v>
      </c>
      <c r="CH13">
        <v>1</v>
      </c>
      <c r="CI13" t="s">
        <v>13</v>
      </c>
      <c r="CJ13" s="8">
        <v>43919</v>
      </c>
      <c r="CK13">
        <v>0</v>
      </c>
      <c r="CM13">
        <v>0</v>
      </c>
      <c r="CN13">
        <v>0</v>
      </c>
      <c r="CW13">
        <v>100</v>
      </c>
      <c r="CX13">
        <v>100</v>
      </c>
      <c r="DC13" s="9">
        <v>43855</v>
      </c>
      <c r="DD13">
        <v>2</v>
      </c>
      <c r="DE13">
        <f>(DD13/DD12)-1</f>
        <v>0</v>
      </c>
      <c r="DG13" s="2">
        <v>1039909</v>
      </c>
      <c r="DH13" s="2"/>
      <c r="DJ13" s="2"/>
      <c r="DK13" s="2"/>
    </row>
    <row r="14" spans="1:206" ht="18.41">
      <c r="C14">
        <f>H13*D14</f>
        <v>9.0000000000003624</v>
      </c>
      <c r="D14">
        <v>0.81818181818199998</v>
      </c>
      <c r="E14" t="s">
        <v>19</v>
      </c>
      <c r="F14" s="9">
        <v>43904</v>
      </c>
      <c r="G14" s="2">
        <f>H14*15</f>
        <v>299.99999999997544</v>
      </c>
      <c r="H14">
        <f>H13+C14</f>
        <v>19.999999999998362</v>
      </c>
      <c r="I14">
        <v>20</v>
      </c>
      <c r="J14">
        <v>2727</v>
      </c>
      <c r="K14">
        <f>N14+U14+AB14+AI14+AP14+AW14+BD14+BK14</f>
        <v>20</v>
      </c>
      <c r="L14" s="3">
        <f>(K14/K13)-1</f>
        <v>0.81818181818181812</v>
      </c>
      <c r="N14">
        <f>N13+0</f>
        <v>3</v>
      </c>
      <c r="O14" s="5">
        <f>N14-N13</f>
        <v>0</v>
      </c>
      <c r="U14">
        <f>U13+1</f>
        <v>1</v>
      </c>
      <c r="V14" s="5">
        <f>U14-U13</f>
        <v>1</v>
      </c>
      <c r="AB14">
        <f>AB13+1</f>
        <v>1</v>
      </c>
      <c r="AC14" s="5">
        <f>AB14-AB13</f>
        <v>1</v>
      </c>
      <c r="AI14">
        <f>AI13+7</f>
        <v>15</v>
      </c>
      <c r="AJ14" s="5">
        <f>AI14-AI13</f>
        <v>7</v>
      </c>
      <c r="BY14">
        <f>N14+U14+AB14+AI14+AP14+AW14+BD14+BK14</f>
        <v>20</v>
      </c>
      <c r="BZ14" s="5">
        <f>BY14-BY13</f>
        <v>9</v>
      </c>
      <c r="CA14">
        <f>P14+W14+AD14+AK14+AR14+AY14+BF14+BM14</f>
        <v>0</v>
      </c>
      <c r="CC14">
        <f>R14+Y14+AF14+AM14+AT14+BA14+BH14+BO14</f>
        <v>0</v>
      </c>
      <c r="CF14" s="1"/>
      <c r="CH14">
        <v>1</v>
      </c>
      <c r="CI14" t="s">
        <v>13</v>
      </c>
      <c r="CJ14" s="8">
        <v>43920</v>
      </c>
      <c r="CK14">
        <v>0</v>
      </c>
      <c r="CM14">
        <v>0</v>
      </c>
      <c r="CN14">
        <v>1</v>
      </c>
      <c r="CW14">
        <v>100</v>
      </c>
      <c r="CX14">
        <v>100</v>
      </c>
      <c r="DC14" s="9">
        <v>43856</v>
      </c>
      <c r="DD14">
        <v>5</v>
      </c>
      <c r="DE14">
        <f>(DD14/DD13)-1</f>
        <v>1.5</v>
      </c>
      <c r="DG14" s="2">
        <v>1069424</v>
      </c>
    </row>
    <row r="15" spans="1:206" ht="18.41">
      <c r="C15">
        <f>H14*D15</f>
        <v>5.9999999999995088</v>
      </c>
      <c r="D15">
        <v>0.29999999999999999</v>
      </c>
      <c r="E15" t="s">
        <v>12</v>
      </c>
      <c r="F15" s="9">
        <v>43905</v>
      </c>
      <c r="G15" s="2">
        <f>H15*15</f>
        <v>389.99999999996805</v>
      </c>
      <c r="H15">
        <f>H14+C15</f>
        <v>25.999999999997872</v>
      </c>
      <c r="I15">
        <v>26</v>
      </c>
      <c r="J15">
        <v>3499</v>
      </c>
      <c r="K15">
        <f>N15+U15+AB15+AI15+AP15+AW15+BD15+BK15</f>
        <v>26</v>
      </c>
      <c r="L15" s="3">
        <f>(K15/K14)-1</f>
        <v>0.30000000000000004</v>
      </c>
      <c r="N15">
        <f>N14+1</f>
        <v>4</v>
      </c>
      <c r="O15" s="5">
        <f>N15-N14</f>
        <v>1</v>
      </c>
      <c r="U15">
        <f>U14+2</f>
        <v>3</v>
      </c>
      <c r="V15" s="5">
        <f>U15-U14</f>
        <v>2</v>
      </c>
      <c r="AB15">
        <f>AB14+2</f>
        <v>3</v>
      </c>
      <c r="AC15" s="5">
        <f>AB15-AB14</f>
        <v>2</v>
      </c>
      <c r="AI15">
        <f>AI14+1</f>
        <v>16</v>
      </c>
      <c r="AJ15" s="5">
        <f>AI15-AI14</f>
        <v>1</v>
      </c>
      <c r="BY15">
        <f>N15+U15+AB15+AI15+AP15+AW15+BD15+BK15</f>
        <v>26</v>
      </c>
      <c r="BZ15" s="5">
        <f>BY15-BY14</f>
        <v>6</v>
      </c>
      <c r="CA15">
        <f>P15+W15+AD15+AK15+AR15+AY15+BF15+BM15</f>
        <v>0</v>
      </c>
      <c r="CC15">
        <f>R15+Y15+AF15+AM15+AT15+BA15+BH15+BO15</f>
        <v>0</v>
      </c>
      <c r="CH15">
        <v>1</v>
      </c>
      <c r="CI15" t="s">
        <v>13</v>
      </c>
      <c r="CJ15" s="8">
        <v>43921</v>
      </c>
      <c r="CK15">
        <v>0</v>
      </c>
      <c r="CM15">
        <v>0</v>
      </c>
      <c r="CN15">
        <v>2</v>
      </c>
      <c r="CW15">
        <v>25</v>
      </c>
      <c r="CX15">
        <v>25</v>
      </c>
      <c r="DC15" s="9">
        <v>43857</v>
      </c>
      <c r="DD15">
        <v>5</v>
      </c>
      <c r="DE15">
        <f>(DD15/DD14)-1</f>
        <v>0</v>
      </c>
      <c r="DG15" s="2">
        <v>1103461</v>
      </c>
      <c r="DK15" s="2"/>
      <c r="DL15" s="2"/>
      <c r="DM15" s="2"/>
      <c r="DN15" s="2"/>
    </row>
    <row r="16" spans="1:206" ht="18.41">
      <c r="C16">
        <f>H15*D16</f>
        <v>14.999999999996774</v>
      </c>
      <c r="D16">
        <v>0.57692307692300004</v>
      </c>
      <c r="E16" t="s">
        <v>14</v>
      </c>
      <c r="F16" s="9">
        <v>43906</v>
      </c>
      <c r="G16" s="2">
        <f>H16*15</f>
        <v>614.99999999991962</v>
      </c>
      <c r="H16">
        <f>H15+C16</f>
        <v>40.999999999994643</v>
      </c>
      <c r="I16">
        <v>41</v>
      </c>
      <c r="J16">
        <v>4632</v>
      </c>
      <c r="K16">
        <f>N16+U16+AB16+AI16+AP16+AW16+BD16+BK16</f>
        <v>41</v>
      </c>
      <c r="L16" s="3">
        <f>(K16/K15)-1</f>
        <v>0.57692307692307687</v>
      </c>
      <c r="N16">
        <f>N15+0</f>
        <v>4</v>
      </c>
      <c r="O16" s="5">
        <f>N16-N15</f>
        <v>0</v>
      </c>
      <c r="U16">
        <f>U15+1</f>
        <v>4</v>
      </c>
      <c r="V16" s="5">
        <f>U16-U15</f>
        <v>1</v>
      </c>
      <c r="AB16">
        <f>AB15+1</f>
        <v>4</v>
      </c>
      <c r="AC16" s="5">
        <f>AB16-AB15</f>
        <v>1</v>
      </c>
      <c r="AI16">
        <f>AI15+13</f>
        <v>29</v>
      </c>
      <c r="AJ16" s="5">
        <f>AI16-AI15</f>
        <v>13</v>
      </c>
      <c r="BY16">
        <f>N16+U16+AB16+AI16+AP16+AW16+BD16+BK16</f>
        <v>41</v>
      </c>
      <c r="BZ16" s="5">
        <f>BY16-BY15</f>
        <v>15</v>
      </c>
      <c r="CA16">
        <f>P16+W16+AD16+AK16+AR16+AY16+BF16+BM16</f>
        <v>0</v>
      </c>
      <c r="CC16">
        <f>R16+Y16+AF16+AM16+AT16+BA16+BH16+BO16</f>
        <v>0</v>
      </c>
      <c r="CH16">
        <v>1</v>
      </c>
      <c r="CI16" t="s">
        <v>13</v>
      </c>
      <c r="CJ16" s="8">
        <v>43922</v>
      </c>
      <c r="CK16">
        <v>0</v>
      </c>
      <c r="CM16">
        <v>0</v>
      </c>
      <c r="CN16">
        <v>3</v>
      </c>
      <c r="CW16">
        <v>100</v>
      </c>
      <c r="CX16">
        <v>100</v>
      </c>
      <c r="DC16" s="9">
        <v>43858</v>
      </c>
      <c r="DD16">
        <v>5</v>
      </c>
      <c r="DE16">
        <f>(DD16/DD15)-1</f>
        <v>0</v>
      </c>
      <c r="DG16" s="2">
        <v>1132539</v>
      </c>
    </row>
    <row r="17" spans="1:206" ht="19.5">
      <c r="C17">
        <f>H16*D17</f>
        <v>27.000000000002473</v>
      </c>
      <c r="D17">
        <v>0.65853658536600002</v>
      </c>
      <c r="E17" t="s">
        <v>15</v>
      </c>
      <c r="F17" s="9">
        <v>43907</v>
      </c>
      <c r="G17" s="2">
        <f>H17*15</f>
        <v>1019.9999999999567</v>
      </c>
      <c r="H17">
        <f>H16+C17</f>
        <v>67.999999999997115</v>
      </c>
      <c r="I17">
        <v>68</v>
      </c>
      <c r="J17">
        <v>6421</v>
      </c>
      <c r="K17">
        <f>N17+U17+AB17+AI17+AP17+AW17+BD17+BK17</f>
        <v>68</v>
      </c>
      <c r="L17" s="3">
        <f>(K17/K16)-1</f>
        <v>0.65853658536585358</v>
      </c>
      <c r="N17">
        <f>N16+1</f>
        <v>5</v>
      </c>
      <c r="O17" s="5">
        <f>N17-N16</f>
        <v>1</v>
      </c>
      <c r="U17">
        <f>U16+3</f>
        <v>7</v>
      </c>
      <c r="V17" s="5">
        <f>U17-U16</f>
        <v>3</v>
      </c>
      <c r="AB17">
        <f>AB16+4</f>
        <v>8</v>
      </c>
      <c r="AC17" s="5">
        <f>AB17-AB16</f>
        <v>4</v>
      </c>
      <c r="AI17">
        <f>AI16+19</f>
        <v>48</v>
      </c>
      <c r="AJ17" s="5">
        <f>AI17-AI16</f>
        <v>19</v>
      </c>
      <c r="BY17">
        <f>N17+U17+AB17+AI17+AP17+AW17+BD17+BK17</f>
        <v>68</v>
      </c>
      <c r="BZ17" s="5">
        <f>BY17-BY16</f>
        <v>27</v>
      </c>
      <c r="CA17">
        <f>P17+W17+AD17+AK17+AR17+AY17+BF17+BM17</f>
        <v>0</v>
      </c>
      <c r="CC17">
        <f>R17+Y17+AF17+AM17+AT17+BA17+BH17+BO17</f>
        <v>0</v>
      </c>
      <c r="CH17">
        <v>1</v>
      </c>
      <c r="CI17" t="s">
        <v>13</v>
      </c>
      <c r="CJ17" s="8">
        <v>43923</v>
      </c>
      <c r="CK17">
        <v>0</v>
      </c>
      <c r="CM17">
        <v>0</v>
      </c>
      <c r="CN17">
        <v>4</v>
      </c>
      <c r="CW17">
        <v>100</v>
      </c>
      <c r="CX17">
        <v>100</v>
      </c>
      <c r="DC17" s="9">
        <v>43859</v>
      </c>
      <c r="DD17">
        <v>5</v>
      </c>
      <c r="DE17">
        <f>(DD17/DD16)-1</f>
        <v>0</v>
      </c>
    </row>
    <row r="18" spans="1:206" ht="18.41">
      <c r="C18">
        <f>H17*D18</f>
        <v>27.999999999974811</v>
      </c>
      <c r="D18">
        <v>0.41176470588199998</v>
      </c>
      <c r="E18" t="s">
        <v>16</v>
      </c>
      <c r="F18" s="9">
        <v>43908</v>
      </c>
      <c r="G18" s="2">
        <f>H18*15</f>
        <v>1439.9999999995789</v>
      </c>
      <c r="H18">
        <f>H17+C18</f>
        <v>95.999999999971919</v>
      </c>
      <c r="I18">
        <v>96</v>
      </c>
      <c r="J18">
        <v>7783</v>
      </c>
      <c r="K18">
        <f>N18+U18+AB18+AI18+AP18+AW18+BD18+BK18</f>
        <v>96</v>
      </c>
      <c r="L18" s="3">
        <f>(K18/K17)-1</f>
        <v>0.41176470588235303</v>
      </c>
      <c r="N18">
        <f>N17+0</f>
        <v>5</v>
      </c>
      <c r="O18" s="5">
        <f>N18-N17</f>
        <v>0</v>
      </c>
      <c r="U18">
        <f>U17+4</f>
        <v>11</v>
      </c>
      <c r="V18" s="5">
        <f>U18-U17</f>
        <v>4</v>
      </c>
      <c r="AB18">
        <f>AB17+2</f>
        <v>10</v>
      </c>
      <c r="AC18" s="5">
        <f>AB18-AB17</f>
        <v>2</v>
      </c>
      <c r="AI18">
        <f>AI17+21</f>
        <v>69</v>
      </c>
      <c r="AJ18" s="5">
        <f>AI18-AI17</f>
        <v>21</v>
      </c>
      <c r="AK18">
        <f>AK17+0</f>
        <v>0</v>
      </c>
      <c r="AM18">
        <f>AM17+1</f>
        <v>1</v>
      </c>
      <c r="AP18">
        <f>AP17+1</f>
        <v>1</v>
      </c>
      <c r="AQ18" s="5">
        <f>AP18-AP17</f>
        <v>1</v>
      </c>
      <c r="AW18">
        <f>AW17+0</f>
        <v>0</v>
      </c>
      <c r="BD18">
        <f>BD17+0</f>
        <v>0</v>
      </c>
      <c r="BY18">
        <f>N18+U18+AB18+AI18+AP18+AW18+BD18+BK18</f>
        <v>96</v>
      </c>
      <c r="BZ18" s="5">
        <f>BY18-BY17</f>
        <v>28</v>
      </c>
      <c r="CA18">
        <f>P18+W18+AD18+AK18+AR18+AY18+BF18+BM18</f>
        <v>0</v>
      </c>
      <c r="CC18">
        <f>R18+Y18+AF18+AM18+AT18+BA18+BH18+BO18</f>
        <v>1</v>
      </c>
      <c r="CH18">
        <v>1</v>
      </c>
      <c r="CI18" t="s">
        <v>13</v>
      </c>
      <c r="CJ18" s="8">
        <v>43924</v>
      </c>
      <c r="CK18">
        <v>0</v>
      </c>
      <c r="CM18">
        <v>0</v>
      </c>
      <c r="CN18">
        <v>5</v>
      </c>
      <c r="CW18">
        <v>100</v>
      </c>
      <c r="CX18">
        <v>100</v>
      </c>
      <c r="DC18" s="9">
        <v>43860</v>
      </c>
      <c r="DD18">
        <v>5</v>
      </c>
      <c r="DE18">
        <f>(DD18/DD17)-1</f>
        <v>0</v>
      </c>
    </row>
    <row r="19" spans="1:206" ht="18.41">
      <c r="C19">
        <f>H18*D19</f>
        <v>62.999999999981569</v>
      </c>
      <c r="D19">
        <v>0.65625</v>
      </c>
      <c r="E19" t="s">
        <v>17</v>
      </c>
      <c r="F19" s="9">
        <v>43909</v>
      </c>
      <c r="G19" s="2">
        <f>H19*15</f>
        <v>2384.9999999993024</v>
      </c>
      <c r="H19">
        <f>H18+C19</f>
        <v>158.9999999999535</v>
      </c>
      <c r="I19">
        <v>159</v>
      </c>
      <c r="J19">
        <v>13677</v>
      </c>
      <c r="K19">
        <f>N19+U19+AB19+AI19+AP19+AW19+BD19+BK19</f>
        <v>159</v>
      </c>
      <c r="L19" s="3">
        <f>(K19/K18)-1</f>
        <v>0.65625</v>
      </c>
      <c r="N19">
        <f>N18+2</f>
        <v>7</v>
      </c>
      <c r="O19" s="5">
        <f>N19-N18</f>
        <v>2</v>
      </c>
      <c r="U19">
        <f>U18+7</f>
        <v>18</v>
      </c>
      <c r="V19" s="5">
        <f>U19-U18</f>
        <v>7</v>
      </c>
      <c r="AB19">
        <f>AB18+13</f>
        <v>23</v>
      </c>
      <c r="AC19" s="5">
        <f>AB19-AB18</f>
        <v>13</v>
      </c>
      <c r="AI19">
        <f>AI18+33</f>
        <v>102</v>
      </c>
      <c r="AJ19" s="5">
        <f>AI19-AI18</f>
        <v>33</v>
      </c>
      <c r="AK19">
        <f>AK18+0</f>
        <v>0</v>
      </c>
      <c r="AM19">
        <f>AM18+2</f>
        <v>3</v>
      </c>
      <c r="AN19" s="3">
        <f>(AM19/AM18)-1</f>
        <v>2</v>
      </c>
      <c r="AP19">
        <f>AP18+2</f>
        <v>3</v>
      </c>
      <c r="AQ19" s="5">
        <f>AP19-AP18</f>
        <v>2</v>
      </c>
      <c r="AR19">
        <f>AR18+0</f>
        <v>0</v>
      </c>
      <c r="AW19">
        <f>AW18+4</f>
        <v>4</v>
      </c>
      <c r="AX19" s="5">
        <f>AW19-AW18</f>
        <v>4</v>
      </c>
      <c r="BD19">
        <f>BD18+2</f>
        <v>2</v>
      </c>
      <c r="BE19" s="5">
        <f>BD19-BD18</f>
        <v>2</v>
      </c>
      <c r="BY19">
        <f>N19+U19+AB19+AI19+AP19+AW19+BD19+BK19</f>
        <v>159</v>
      </c>
      <c r="BZ19" s="5">
        <f>BY19-BY18</f>
        <v>63</v>
      </c>
      <c r="CA19">
        <f>P19+W19+AD19+AK19+AR19+AY19+BF19+BM19</f>
        <v>0</v>
      </c>
      <c r="CC19">
        <f>R19+Y19+AF19+AM19+AT19+BA19+BH19+BO19</f>
        <v>3</v>
      </c>
      <c r="CD19" s="3">
        <f>(CC19/CC18)-1</f>
        <v>2</v>
      </c>
      <c r="CE19" s="3"/>
      <c r="CH19">
        <v>1</v>
      </c>
      <c r="CI19" t="s">
        <v>13</v>
      </c>
      <c r="CJ19" s="8">
        <v>43925</v>
      </c>
      <c r="CK19">
        <v>0</v>
      </c>
      <c r="CM19">
        <v>0</v>
      </c>
      <c r="CN19">
        <v>6</v>
      </c>
      <c r="CW19">
        <v>100</v>
      </c>
      <c r="CX19">
        <v>100</v>
      </c>
      <c r="DC19" s="9">
        <v>43861</v>
      </c>
      <c r="DD19">
        <v>7</v>
      </c>
      <c r="DE19">
        <f>(DD19/DD18)-1</f>
        <v>0.39999999999999991</v>
      </c>
    </row>
    <row r="20" spans="1:206" ht="18.41">
      <c r="C20">
        <f>H19*D20</f>
        <v>35.000000000065768</v>
      </c>
      <c r="D20">
        <v>0.220125786164</v>
      </c>
      <c r="E20" t="s">
        <v>18</v>
      </c>
      <c r="F20" s="9">
        <v>43910</v>
      </c>
      <c r="G20" s="2">
        <f>H20*15</f>
        <v>2910.0000000002892</v>
      </c>
      <c r="H20">
        <f>H19+C20</f>
        <v>194.00000000001927</v>
      </c>
      <c r="I20">
        <v>194</v>
      </c>
      <c r="J20">
        <v>19100</v>
      </c>
      <c r="K20">
        <f>N20+U20+AB20+AI20+AP20+AW20+BD20+BK20</f>
        <v>194</v>
      </c>
      <c r="L20" s="3">
        <f>(K20/K19)-1</f>
        <v>0.22012578616352196</v>
      </c>
      <c r="N20">
        <f>N19+1</f>
        <v>8</v>
      </c>
      <c r="O20" s="5">
        <f>N20-N19</f>
        <v>1</v>
      </c>
      <c r="P20">
        <f>P19+0</f>
        <v>0</v>
      </c>
      <c r="U20">
        <f>U19+11</f>
        <v>29</v>
      </c>
      <c r="V20" s="5">
        <f>U20-U19</f>
        <v>11</v>
      </c>
      <c r="W20">
        <f>W19+0</f>
        <v>0</v>
      </c>
      <c r="AB20">
        <f>AB19+0</f>
        <v>23</v>
      </c>
      <c r="AC20" s="5">
        <f>AB20-AB19</f>
        <v>0</v>
      </c>
      <c r="AI20">
        <f>AI19+20</f>
        <v>122</v>
      </c>
      <c r="AJ20" s="5">
        <f>AI20-AI19</f>
        <v>20</v>
      </c>
      <c r="AK20">
        <f>AK19+0</f>
        <v>0</v>
      </c>
      <c r="AM20">
        <f>AM19+1</f>
        <v>4</v>
      </c>
      <c r="AN20" s="3">
        <f>(AM20/AM19)-1</f>
        <v>0.33333333333333326</v>
      </c>
      <c r="AP20">
        <f>AP19+2</f>
        <v>5</v>
      </c>
      <c r="AQ20" s="5">
        <f>AP20-AP19</f>
        <v>2</v>
      </c>
      <c r="AR20">
        <f>AR19+0</f>
        <v>0</v>
      </c>
      <c r="AT20">
        <f>AT19+0</f>
        <v>0</v>
      </c>
      <c r="AW20">
        <f>AW19+0</f>
        <v>4</v>
      </c>
      <c r="AX20" s="5">
        <f>AW20-AW19</f>
        <v>0</v>
      </c>
      <c r="BD20">
        <f>BD19+0</f>
        <v>2</v>
      </c>
      <c r="BE20" s="5">
        <f>BD20-BD19</f>
        <v>0</v>
      </c>
      <c r="BK20">
        <f>BK19+1</f>
        <v>1</v>
      </c>
      <c r="BL20" s="5">
        <f>BK20-BK19</f>
        <v>1</v>
      </c>
      <c r="BY20">
        <f>N20+U20+AB20+AI20+AP20+AW20+BD20+BK20</f>
        <v>194</v>
      </c>
      <c r="BZ20" s="5">
        <f>BY20-BY19</f>
        <v>35</v>
      </c>
      <c r="CA20">
        <f>P20+W20+AD20+AK20+AR20+AY20+BF20+BM20</f>
        <v>0</v>
      </c>
      <c r="CC20">
        <f>R20+Y20+AF20+AM20+AT20+BA20+BH20+BO20</f>
        <v>4</v>
      </c>
      <c r="CD20" s="3">
        <f>(CC20/CC19)-1</f>
        <v>0.33333333333333326</v>
      </c>
      <c r="CE20" s="3"/>
      <c r="CH20">
        <v>1</v>
      </c>
      <c r="CI20" t="s">
        <v>13</v>
      </c>
      <c r="CJ20" s="8">
        <v>43926</v>
      </c>
      <c r="CK20">
        <v>0</v>
      </c>
      <c r="CM20">
        <v>0</v>
      </c>
      <c r="CN20">
        <v>7</v>
      </c>
      <c r="CW20">
        <v>11</v>
      </c>
      <c r="CX20">
        <v>22</v>
      </c>
      <c r="DC20" s="9">
        <v>43862</v>
      </c>
      <c r="DD20">
        <v>8</v>
      </c>
      <c r="DE20">
        <f>(DD20/DD19)-1</f>
        <v>0.14285714285714279</v>
      </c>
      <c r="DG20" s="2"/>
    </row>
    <row r="21" spans="1:206" ht="18.41">
      <c r="C21">
        <f>H20*D21</f>
        <v>28.99999999991088</v>
      </c>
      <c r="D21">
        <v>0.14948453608199999</v>
      </c>
      <c r="E21" t="s">
        <v>19</v>
      </c>
      <c r="F21" s="9">
        <v>43911</v>
      </c>
      <c r="G21" s="2">
        <f>H21*15</f>
        <v>3344.9999999989523</v>
      </c>
      <c r="H21">
        <f>H20+C21</f>
        <v>222.99999999993014</v>
      </c>
      <c r="I21">
        <v>223</v>
      </c>
      <c r="J21">
        <v>25489</v>
      </c>
      <c r="K21">
        <f>N21+U21+AB21+AI21+AP21+AW21+BD21+BK21</f>
        <v>223</v>
      </c>
      <c r="L21" s="3">
        <f>(K21/K20)-1</f>
        <v>0.14948453608247414</v>
      </c>
      <c r="N21">
        <f>N20+3</f>
        <v>11</v>
      </c>
      <c r="O21" s="5">
        <f>N21-N20</f>
        <v>3</v>
      </c>
      <c r="P21">
        <f>P20+2</f>
        <v>2</v>
      </c>
      <c r="Q21" s="5">
        <f>P21-P20</f>
        <v>2</v>
      </c>
      <c r="R21">
        <f>R20+0</f>
        <v>0</v>
      </c>
      <c r="U21">
        <f>U20+6</f>
        <v>35</v>
      </c>
      <c r="V21" s="5">
        <f>U21-U20</f>
        <v>6</v>
      </c>
      <c r="W21">
        <f>W20+12</f>
        <v>12</v>
      </c>
      <c r="X21" s="5">
        <f>W21-W20</f>
        <v>12</v>
      </c>
      <c r="AB21">
        <f>AB20+1</f>
        <v>24</v>
      </c>
      <c r="AC21" s="5">
        <f>AB21-AB20</f>
        <v>1</v>
      </c>
      <c r="AD21">
        <f>AD20+9</f>
        <v>9</v>
      </c>
      <c r="AE21" s="5">
        <f>AD21-AD20</f>
        <v>9</v>
      </c>
      <c r="AF21">
        <f>AF20+0</f>
        <v>0</v>
      </c>
      <c r="AI21">
        <f>AI20+18</f>
        <v>140</v>
      </c>
      <c r="AJ21" s="5">
        <f>AI21-AI20</f>
        <v>18</v>
      </c>
      <c r="AK21">
        <f>AK20+15</f>
        <v>15</v>
      </c>
      <c r="AL21" s="5">
        <f>AK21-AK20</f>
        <v>15</v>
      </c>
      <c r="AM21">
        <f>AM20+0</f>
        <v>4</v>
      </c>
      <c r="AN21" s="3">
        <f>(AM21/AM20)-1</f>
        <v>0</v>
      </c>
      <c r="AP21">
        <f>AP20+1</f>
        <v>6</v>
      </c>
      <c r="AQ21" s="5">
        <f>AP21-AP20</f>
        <v>1</v>
      </c>
      <c r="AR21">
        <f>AR20+3</f>
        <v>3</v>
      </c>
      <c r="AS21" s="5">
        <f>AR21-AR20</f>
        <v>3</v>
      </c>
      <c r="AT21">
        <f>AT20+0</f>
        <v>0</v>
      </c>
      <c r="AW21">
        <f>AW20+1</f>
        <v>5</v>
      </c>
      <c r="AX21" s="5">
        <f>AW21-AW20</f>
        <v>1</v>
      </c>
      <c r="AY21">
        <f>AY20+2</f>
        <v>2</v>
      </c>
      <c r="AZ21" s="5">
        <f>AY21-AY20</f>
        <v>2</v>
      </c>
      <c r="BA21">
        <f>BA20+1</f>
        <v>1</v>
      </c>
      <c r="BD21">
        <f>BD20-1</f>
        <v>1</v>
      </c>
      <c r="BE21" s="5">
        <f>BD21-BD20</f>
        <v>-1</v>
      </c>
      <c r="BF21">
        <f>BF20+0</f>
        <v>0</v>
      </c>
      <c r="BH21">
        <f>BH20+0</f>
        <v>0</v>
      </c>
      <c r="BK21">
        <f>BK20+0</f>
        <v>1</v>
      </c>
      <c r="BL21" s="5">
        <f>BK21-BK20</f>
        <v>0</v>
      </c>
      <c r="BO21">
        <f>BO20+0</f>
        <v>0</v>
      </c>
      <c r="BY21">
        <f>N21+U21+AB21+AI21+AP21+AW21+BD21+BK21</f>
        <v>223</v>
      </c>
      <c r="BZ21" s="5">
        <f>BY21-BY20</f>
        <v>29</v>
      </c>
      <c r="CA21">
        <f>P21+W21+AD21+AK21+AR21+AY21+BF21+BM21</f>
        <v>43</v>
      </c>
      <c r="CC21">
        <f>R21+Y21+AF21+AM21+AT21+BA21+BH21+BO21</f>
        <v>5</v>
      </c>
      <c r="CD21" s="3">
        <f>(CC21/CC20)-1</f>
        <v>0.25</v>
      </c>
      <c r="CE21" s="3"/>
      <c r="CF21">
        <f>CA21-CA20</f>
        <v>43</v>
      </c>
      <c r="CH21">
        <v>1</v>
      </c>
      <c r="CI21" t="s">
        <v>13</v>
      </c>
      <c r="CJ21" s="8">
        <v>43927</v>
      </c>
      <c r="CK21">
        <v>0</v>
      </c>
      <c r="CM21">
        <v>0</v>
      </c>
      <c r="CN21">
        <v>8</v>
      </c>
      <c r="CW21">
        <v>100</v>
      </c>
      <c r="CX21">
        <v>100</v>
      </c>
      <c r="DC21" s="9">
        <v>43863</v>
      </c>
      <c r="DD21">
        <v>8</v>
      </c>
      <c r="DE21">
        <f>(DD21/DD20)-1</f>
        <v>0</v>
      </c>
    </row>
    <row r="22" spans="1:206" ht="18.41">
      <c r="C22">
        <f>H21*D22</f>
        <v>103.99999999896743</v>
      </c>
      <c r="D22">
        <v>0.46636771300000002</v>
      </c>
      <c r="E22" t="s">
        <v>12</v>
      </c>
      <c r="F22" s="9">
        <v>43912</v>
      </c>
      <c r="G22" s="2">
        <f>H22*15</f>
        <v>4904.9999999834636</v>
      </c>
      <c r="H22">
        <f>H21+C22</f>
        <v>326.99999999889758</v>
      </c>
      <c r="I22">
        <v>327</v>
      </c>
      <c r="J22">
        <v>33276</v>
      </c>
      <c r="K22">
        <f>N22+U22+AB22+AI22+AP22+AW22+BD22+BK22</f>
        <v>327</v>
      </c>
      <c r="L22" s="3">
        <f>(K22/K21)-1</f>
        <v>0.46636771300448432</v>
      </c>
      <c r="N22">
        <f>N21+1</f>
        <v>12</v>
      </c>
      <c r="O22" s="5">
        <f>N22-N21</f>
        <v>1</v>
      </c>
      <c r="P22">
        <f>P21+1</f>
        <v>3</v>
      </c>
      <c r="Q22" s="5">
        <f>P22-P21</f>
        <v>1</v>
      </c>
      <c r="R22">
        <f>R21+0</f>
        <v>0</v>
      </c>
      <c r="U22">
        <f>U21+19</f>
        <v>54</v>
      </c>
      <c r="V22" s="5">
        <f>U22-U21</f>
        <v>19</v>
      </c>
      <c r="W22">
        <f>W21+1</f>
        <v>13</v>
      </c>
      <c r="X22" s="5">
        <f>W22-W21</f>
        <v>1</v>
      </c>
      <c r="Y22">
        <f>Y21+1</f>
        <v>1</v>
      </c>
      <c r="AB22">
        <f>AB21+5</f>
        <v>29</v>
      </c>
      <c r="AC22" s="5">
        <f>AB22-AB21</f>
        <v>5</v>
      </c>
      <c r="AD22">
        <f>AD21+0</f>
        <v>9</v>
      </c>
      <c r="AE22" s="5">
        <f>AD22-AD21</f>
        <v>0</v>
      </c>
      <c r="AF22">
        <f>AF21+0</f>
        <v>0</v>
      </c>
      <c r="AI22">
        <f>AI21+68</f>
        <v>208</v>
      </c>
      <c r="AJ22" s="5">
        <f>AI22-AI21</f>
        <v>68</v>
      </c>
      <c r="AK22">
        <f>AK21+5</f>
        <v>20</v>
      </c>
      <c r="AL22" s="5">
        <f>AK22-AK21</f>
        <v>5</v>
      </c>
      <c r="AM22">
        <f>AM21+1</f>
        <v>5</v>
      </c>
      <c r="AN22" s="3">
        <f>(AM22/AM21)-1</f>
        <v>0.25</v>
      </c>
      <c r="AP22">
        <f>AP21+0</f>
        <v>6</v>
      </c>
      <c r="AQ22" s="5">
        <f>AP22-AP21</f>
        <v>0</v>
      </c>
      <c r="AR22">
        <f>AR21+0</f>
        <v>3</v>
      </c>
      <c r="AS22" s="5">
        <f>AR22-AR21</f>
        <v>0</v>
      </c>
      <c r="AT22">
        <f>AT21+0</f>
        <v>0</v>
      </c>
      <c r="AW22">
        <f>AW21+9</f>
        <v>14</v>
      </c>
      <c r="AX22" s="5">
        <f>AW22-AW21</f>
        <v>9</v>
      </c>
      <c r="AY22">
        <f>AY21+0</f>
        <v>2</v>
      </c>
      <c r="AZ22" s="5">
        <f>AY22-AY21</f>
        <v>0</v>
      </c>
      <c r="BA22">
        <f>BA21+1</f>
        <v>2</v>
      </c>
      <c r="BB22" s="3">
        <f>(BA22/BA21)-1</f>
        <v>1</v>
      </c>
      <c r="BD22">
        <f>BD21+0</f>
        <v>1</v>
      </c>
      <c r="BE22" s="5">
        <f>BD22-BD21</f>
        <v>0</v>
      </c>
      <c r="BF22">
        <f>BF21+0</f>
        <v>0</v>
      </c>
      <c r="BH22">
        <f>BH21+0</f>
        <v>0</v>
      </c>
      <c r="BK22">
        <f>BK21+2</f>
        <v>3</v>
      </c>
      <c r="BL22" s="5">
        <f>BK22-BK21</f>
        <v>2</v>
      </c>
      <c r="BM22">
        <f>BM21+1</f>
        <v>1</v>
      </c>
      <c r="BN22" s="5">
        <f>BM22-BM21</f>
        <v>1</v>
      </c>
      <c r="BO22">
        <f>BO21+0</f>
        <v>0</v>
      </c>
      <c r="BY22">
        <f>N22+U22+AB22+AI22+AP22+AW22+BD22+BK22</f>
        <v>327</v>
      </c>
      <c r="BZ22" s="5">
        <f>BY22-BY21</f>
        <v>104</v>
      </c>
      <c r="CA22">
        <f>P22+W22+AD22+AK22+AR22+AY22+BF22+BM22</f>
        <v>51</v>
      </c>
      <c r="CB22" s="3">
        <f>(CA22/CA21)-1</f>
        <v>0.18604651162790709</v>
      </c>
      <c r="CC22">
        <f>R22+Y22+AF22+AM22+AT22+BA22+BH22+BO22</f>
        <v>8</v>
      </c>
      <c r="CD22" s="3">
        <f>(CC22/CC21)-1</f>
        <v>0.60000000000000009</v>
      </c>
      <c r="CE22" s="3"/>
      <c r="CF22">
        <f>CA22-CA21</f>
        <v>8</v>
      </c>
      <c r="CH22">
        <v>1</v>
      </c>
      <c r="CI22" t="s">
        <v>13</v>
      </c>
      <c r="CJ22" s="8">
        <v>43928</v>
      </c>
      <c r="CK22">
        <v>0</v>
      </c>
      <c r="CM22">
        <v>0</v>
      </c>
      <c r="CN22">
        <v>9</v>
      </c>
      <c r="CW22">
        <v>100</v>
      </c>
      <c r="CX22">
        <v>100</v>
      </c>
      <c r="DC22" s="9">
        <v>43864</v>
      </c>
      <c r="DD22">
        <v>11</v>
      </c>
      <c r="DE22">
        <f>(DD22/DD21)-1</f>
        <v>0.375</v>
      </c>
    </row>
    <row r="23" spans="1:206" ht="19.5">
      <c r="C23">
        <f>H22*D23</f>
        <v>87.999999999672326</v>
      </c>
      <c r="D23">
        <v>0.26911314984700002</v>
      </c>
      <c r="E23" t="s">
        <v>14</v>
      </c>
      <c r="F23" s="9">
        <v>43913</v>
      </c>
      <c r="G23" s="2">
        <f>H23*15</f>
        <v>6224.9999999785487</v>
      </c>
      <c r="H23">
        <f>H22+C23</f>
        <v>414.99999999856993</v>
      </c>
      <c r="I23">
        <v>415</v>
      </c>
      <c r="J23">
        <v>43847</v>
      </c>
      <c r="K23">
        <f>N23+U23+AB23+AI23+AP23+AW23+BD23+BK23</f>
        <v>415</v>
      </c>
      <c r="L23" s="3">
        <f>(K23/K22)-1</f>
        <v>0.26911314984709489</v>
      </c>
      <c r="N23">
        <f>N22+1</f>
        <v>13</v>
      </c>
      <c r="O23" s="5">
        <f>N23-N22</f>
        <v>1</v>
      </c>
      <c r="P23">
        <f>P22-1</f>
        <v>2</v>
      </c>
      <c r="Q23" s="5">
        <f>P23-P22</f>
        <v>-1</v>
      </c>
      <c r="R23">
        <f>R22+0</f>
        <v>0</v>
      </c>
      <c r="U23">
        <f>U22+7</f>
        <v>61</v>
      </c>
      <c r="V23" s="5">
        <f>U23-U22</f>
        <v>7</v>
      </c>
      <c r="W23">
        <f>W22+0</f>
        <v>13</v>
      </c>
      <c r="X23" s="5">
        <f>W23-W22</f>
        <v>0</v>
      </c>
      <c r="Y23">
        <f>Y22+1</f>
        <v>2</v>
      </c>
      <c r="Z23" s="3">
        <f>(Y23/Y22)-1</f>
        <v>1</v>
      </c>
      <c r="AB23">
        <f>AB22+12</f>
        <v>41</v>
      </c>
      <c r="AC23" s="5">
        <f>AB23-AB22</f>
        <v>12</v>
      </c>
      <c r="AD23">
        <f>AD22+3</f>
        <v>12</v>
      </c>
      <c r="AE23" s="5">
        <f>AD23-AD22</f>
        <v>3</v>
      </c>
      <c r="AF23">
        <f>AF22+0</f>
        <v>0</v>
      </c>
      <c r="AI23">
        <f>AI22+62</f>
        <v>270</v>
      </c>
      <c r="AJ23" s="5">
        <f>AI23-AI22</f>
        <v>62</v>
      </c>
      <c r="AK23">
        <f>AK22+0</f>
        <v>20</v>
      </c>
      <c r="AL23" s="5">
        <f>AK23-AK22</f>
        <v>0</v>
      </c>
      <c r="AM23">
        <f>AM22+1</f>
        <v>6</v>
      </c>
      <c r="AN23" s="3">
        <f>(AM23/AM22)-1</f>
        <v>0.19999999999999996</v>
      </c>
      <c r="AP23">
        <f>AP22+2</f>
        <v>8</v>
      </c>
      <c r="AQ23" s="5">
        <f>AP23-AP22</f>
        <v>2</v>
      </c>
      <c r="AR23">
        <f>AR22+1</f>
        <v>4</v>
      </c>
      <c r="AS23" s="5">
        <f>AR23-AR22</f>
        <v>1</v>
      </c>
      <c r="AT23">
        <f>AT22+0</f>
        <v>0</v>
      </c>
      <c r="AW23">
        <f>AW22+2</f>
        <v>16</v>
      </c>
      <c r="AX23" s="5">
        <f>AW23-AW22</f>
        <v>2</v>
      </c>
      <c r="AY23">
        <f>AY22+0</f>
        <v>2</v>
      </c>
      <c r="AZ23" s="5">
        <f>AY23-AY22</f>
        <v>0</v>
      </c>
      <c r="BA23">
        <f>BA22+0</f>
        <v>2</v>
      </c>
      <c r="BB23" s="3">
        <f>(BA23/BA22)-1</f>
        <v>0</v>
      </c>
      <c r="BD23">
        <f>BD22+1</f>
        <v>2</v>
      </c>
      <c r="BE23" s="5">
        <f>BD23-BD22</f>
        <v>1</v>
      </c>
      <c r="BF23">
        <f>BF22+0</f>
        <v>0</v>
      </c>
      <c r="BH23">
        <f>BH22+0</f>
        <v>0</v>
      </c>
      <c r="BK23">
        <f>BK22+1</f>
        <v>4</v>
      </c>
      <c r="BL23" s="5">
        <f>BK23-BK22</f>
        <v>1</v>
      </c>
      <c r="BM23">
        <f>BM22+0</f>
        <v>1</v>
      </c>
      <c r="BN23" s="5">
        <f>BM23-BM22</f>
        <v>0</v>
      </c>
      <c r="BO23">
        <f>BO22+0</f>
        <v>0</v>
      </c>
      <c r="BY23">
        <f>N23+U23+AB23+AI23+AP23+AW23+BD23+BK23</f>
        <v>415</v>
      </c>
      <c r="BZ23" s="5">
        <f>BY23-BY22</f>
        <v>88</v>
      </c>
      <c r="CA23">
        <f>P23+W23+AD23+AK23+AR23+AY23+BF23+BM23</f>
        <v>54</v>
      </c>
      <c r="CB23" s="3">
        <f>(CA23/CA22)-1</f>
        <v>0.058823529411764719</v>
      </c>
      <c r="CC23">
        <f>R23+Y23+AF23+AM23+AT23+BA23+BH23+BO23</f>
        <v>10</v>
      </c>
      <c r="CD23" s="3">
        <f>(CC23/CC22)-1</f>
        <v>0.25</v>
      </c>
      <c r="CE23" s="3"/>
      <c r="CF23">
        <f>CA23-CA22</f>
        <v>3</v>
      </c>
      <c r="CH23">
        <v>1</v>
      </c>
      <c r="CI23" t="s">
        <v>13</v>
      </c>
      <c r="CJ23" s="8">
        <v>43929</v>
      </c>
      <c r="CK23">
        <v>1</v>
      </c>
      <c r="CM23">
        <v>0</v>
      </c>
      <c r="CN23">
        <v>10</v>
      </c>
      <c r="CW23">
        <v>100</v>
      </c>
      <c r="CX23">
        <v>100</v>
      </c>
      <c r="DC23" s="9">
        <v>43865</v>
      </c>
      <c r="DD23">
        <v>11</v>
      </c>
      <c r="DE23">
        <f>(DD23/DD22)-1</f>
        <v>0</v>
      </c>
    </row>
    <row r="24" spans="1:206" ht="19.5">
      <c r="C24">
        <f>H23*D24</f>
        <v>202.99999999929048</v>
      </c>
      <c r="D24">
        <v>0.489156626506</v>
      </c>
      <c r="E24" t="s">
        <v>15</v>
      </c>
      <c r="F24" s="9">
        <v>43914</v>
      </c>
      <c r="G24" s="2">
        <f>H24*15</f>
        <v>9269.9999999679058</v>
      </c>
      <c r="H24">
        <f>H23+C24</f>
        <v>617.99999999786041</v>
      </c>
      <c r="I24">
        <v>618</v>
      </c>
      <c r="J24">
        <v>53740</v>
      </c>
      <c r="K24">
        <f>N24+U24+AB24+AI24+AP24+AW24+BD24+BK24</f>
        <v>618</v>
      </c>
      <c r="L24" s="3">
        <f>(K24/K23)-1</f>
        <v>0.48915662650602409</v>
      </c>
      <c r="N24">
        <f>N23+9</f>
        <v>22</v>
      </c>
      <c r="O24" s="5">
        <f>N24-N23</f>
        <v>9</v>
      </c>
      <c r="P24">
        <f>P23+1</f>
        <v>3</v>
      </c>
      <c r="Q24" s="5">
        <f>P24-P23</f>
        <v>1</v>
      </c>
      <c r="R24">
        <f>R23+0</f>
        <v>0</v>
      </c>
      <c r="U24">
        <f>U23+27</f>
        <v>88</v>
      </c>
      <c r="V24" s="5">
        <f>U24-U23</f>
        <v>27</v>
      </c>
      <c r="W24">
        <f>W23+4</f>
        <v>17</v>
      </c>
      <c r="X24" s="5">
        <f>W24-W23</f>
        <v>4</v>
      </c>
      <c r="Y24">
        <f>Y23+0</f>
        <v>2</v>
      </c>
      <c r="Z24" s="3">
        <f>(Y24/Y23)-1</f>
        <v>0</v>
      </c>
      <c r="AB24">
        <f>AB23+48</f>
        <v>89</v>
      </c>
      <c r="AC24" s="5">
        <f>AB24-AB23</f>
        <v>48</v>
      </c>
      <c r="AD24">
        <f>AD23+7</f>
        <v>19</v>
      </c>
      <c r="AE24" s="5">
        <f>AD24-AD23</f>
        <v>7</v>
      </c>
      <c r="AF24">
        <f>AF23+0</f>
        <v>0</v>
      </c>
      <c r="AI24">
        <f>AI23+114</f>
        <v>384</v>
      </c>
      <c r="AJ24" s="5">
        <f>AI24-AI23</f>
        <v>114</v>
      </c>
      <c r="AK24">
        <f>AK23+3</f>
        <v>23</v>
      </c>
      <c r="AL24" s="5">
        <f>AK24-AK23</f>
        <v>3</v>
      </c>
      <c r="AM24">
        <f>AM23+1</f>
        <v>7</v>
      </c>
      <c r="AN24" s="3">
        <f>(AM24/AM23)-1</f>
        <v>0.16666666666666674</v>
      </c>
      <c r="AP24">
        <f>AP23+0</f>
        <v>8</v>
      </c>
      <c r="AQ24" s="5">
        <f>AP24-AP23</f>
        <v>0</v>
      </c>
      <c r="AR24">
        <f>AR23+0</f>
        <v>4</v>
      </c>
      <c r="AS24" s="5">
        <f>AR24-AR23</f>
        <v>0</v>
      </c>
      <c r="AT24">
        <f>AT23+0</f>
        <v>0</v>
      </c>
      <c r="AW24">
        <f>AW23+3</f>
        <v>19</v>
      </c>
      <c r="AX24" s="5">
        <f>AW24-AW23</f>
        <v>3</v>
      </c>
      <c r="AY24">
        <f>AY23+2</f>
        <v>4</v>
      </c>
      <c r="AZ24" s="5">
        <f>AY24-AY23</f>
        <v>2</v>
      </c>
      <c r="BA24">
        <f>BA23+1</f>
        <v>3</v>
      </c>
      <c r="BB24" s="3">
        <f>(BA24/BA23)-1</f>
        <v>0.5</v>
      </c>
      <c r="BD24">
        <f>BD23+0</f>
        <v>2</v>
      </c>
      <c r="BE24" s="5">
        <f>BD24-BD23</f>
        <v>0</v>
      </c>
      <c r="BF24">
        <f>BF23+0</f>
        <v>0</v>
      </c>
      <c r="BH24">
        <f>BH23+0</f>
        <v>0</v>
      </c>
      <c r="BK24">
        <f>BK23+2</f>
        <v>6</v>
      </c>
      <c r="BL24" s="5">
        <f>BK24-BK23</f>
        <v>2</v>
      </c>
      <c r="BM24">
        <f>BM23+0</f>
        <v>1</v>
      </c>
      <c r="BN24" s="5">
        <f>BM24-BM23</f>
        <v>0</v>
      </c>
      <c r="BO24">
        <f>BO23+0</f>
        <v>0</v>
      </c>
      <c r="BY24">
        <f>N24+U24+AB24+AI24+AP24+AW24+BD24+BK24</f>
        <v>618</v>
      </c>
      <c r="BZ24" s="5">
        <f>BY24-BY23</f>
        <v>203</v>
      </c>
      <c r="CA24">
        <f>P24+W24+AD24+AK24+AR24+AY24+BF24+BM24</f>
        <v>71</v>
      </c>
      <c r="CB24" s="3">
        <f>(CA24/CA23)-1</f>
        <v>0.31481481481481488</v>
      </c>
      <c r="CC24">
        <f>R24+Y24+AF24+AM24+AT24+BA24+BH24+BO24</f>
        <v>12</v>
      </c>
      <c r="CD24" s="3">
        <f>(CC24/CC23)-1</f>
        <v>0.19999999999999996</v>
      </c>
      <c r="CE24" s="3"/>
      <c r="CF24">
        <f>CA24-CA23</f>
        <v>17</v>
      </c>
      <c r="CH24">
        <v>1</v>
      </c>
      <c r="CI24" t="s">
        <v>13</v>
      </c>
      <c r="CJ24" s="8">
        <v>43930</v>
      </c>
      <c r="CK24">
        <v>1</v>
      </c>
      <c r="CM24">
        <v>0</v>
      </c>
      <c r="CN24">
        <v>11</v>
      </c>
      <c r="CW24">
        <v>100</v>
      </c>
      <c r="CX24">
        <v>100</v>
      </c>
      <c r="DC24" s="9">
        <v>43866</v>
      </c>
      <c r="DD24">
        <v>11</v>
      </c>
      <c r="DE24">
        <f>(DD24/DD23)-1</f>
        <v>0</v>
      </c>
    </row>
    <row r="25" spans="1:206" ht="19.5">
      <c r="C25">
        <f>H24*D25</f>
        <v>256.99999999911427</v>
      </c>
      <c r="D25">
        <v>0.41585760517800002</v>
      </c>
      <c r="E25" t="s">
        <v>16</v>
      </c>
      <c r="F25" s="9">
        <v>43915</v>
      </c>
      <c r="G25" s="2">
        <f>H25*15</f>
        <v>13124.99999995462</v>
      </c>
      <c r="H25">
        <f>H24+C25</f>
        <v>874.99999999697468</v>
      </c>
      <c r="I25">
        <v>875</v>
      </c>
      <c r="J25">
        <v>65778</v>
      </c>
      <c r="K25">
        <f>N25+U25+AB25+AI25+AP25+AW25+BD25+BK25</f>
        <v>875</v>
      </c>
      <c r="L25" s="3">
        <f>(K25/K24)-1</f>
        <v>0.41585760517799342</v>
      </c>
      <c r="N25">
        <f>N24+11</f>
        <v>33</v>
      </c>
      <c r="O25" s="5">
        <f>N25-N24</f>
        <v>11</v>
      </c>
      <c r="P25">
        <f>P24+0</f>
        <v>3</v>
      </c>
      <c r="Q25" s="5">
        <f>P25-P24</f>
        <v>0</v>
      </c>
      <c r="R25">
        <f>R24+0</f>
        <v>0</v>
      </c>
      <c r="U25">
        <f>U24+28</f>
        <v>116</v>
      </c>
      <c r="V25" s="5">
        <f>U25-U24</f>
        <v>28</v>
      </c>
      <c r="W25">
        <f>W24+7</f>
        <v>24</v>
      </c>
      <c r="X25" s="5">
        <f>W25-W24</f>
        <v>7</v>
      </c>
      <c r="Y25">
        <f>Y24+0</f>
        <v>2</v>
      </c>
      <c r="Z25" s="3">
        <f>(Y25/Y24)-1</f>
        <v>0</v>
      </c>
      <c r="AB25">
        <f>AB24+38</f>
        <v>127</v>
      </c>
      <c r="AC25" s="5">
        <f>AB25-AB24</f>
        <v>38</v>
      </c>
      <c r="AD25">
        <f>AD24+9</f>
        <v>28</v>
      </c>
      <c r="AE25" s="5">
        <f>AD25-AD24</f>
        <v>9</v>
      </c>
      <c r="AF25">
        <f>AF24+2</f>
        <v>2</v>
      </c>
      <c r="AI25">
        <f>AI24+162</f>
        <v>546</v>
      </c>
      <c r="AJ25" s="5">
        <f>AI25-AI24</f>
        <v>162</v>
      </c>
      <c r="AK25">
        <f>AK24+24</f>
        <v>47</v>
      </c>
      <c r="AL25" s="5">
        <f>AK25-AK24</f>
        <v>24</v>
      </c>
      <c r="AM25">
        <f>AM24+5</f>
        <v>12</v>
      </c>
      <c r="AN25" s="3">
        <f>(AM25/AM24)-1</f>
        <v>0.71428571428571419</v>
      </c>
      <c r="AP25">
        <f>AP24+7</f>
        <v>15</v>
      </c>
      <c r="AQ25" s="5">
        <f>AP25-AP24</f>
        <v>7</v>
      </c>
      <c r="AR25">
        <f>AR24+0</f>
        <v>4</v>
      </c>
      <c r="AS25" s="5">
        <f>AR25-AR24</f>
        <v>0</v>
      </c>
      <c r="AT25">
        <f>AT24+0</f>
        <v>0</v>
      </c>
      <c r="AW25">
        <f>AW24+8</f>
        <v>27</v>
      </c>
      <c r="AX25" s="5">
        <f>AW25-AW24</f>
        <v>8</v>
      </c>
      <c r="AY25">
        <f>AY24+1</f>
        <v>5</v>
      </c>
      <c r="AZ25" s="5">
        <f>AY25-AY24</f>
        <v>1</v>
      </c>
      <c r="BA25">
        <f>BA24+0</f>
        <v>3</v>
      </c>
      <c r="BB25" s="3">
        <f>(BA25/BA24)-1</f>
        <v>0</v>
      </c>
      <c r="BD25">
        <f>BD24+0</f>
        <v>2</v>
      </c>
      <c r="BE25" s="5">
        <f>BD25-BD24</f>
        <v>0</v>
      </c>
      <c r="BF25">
        <f>BF24+0</f>
        <v>0</v>
      </c>
      <c r="BH25">
        <f>BH24+0</f>
        <v>0</v>
      </c>
      <c r="BK25">
        <f>BK24+3</f>
        <v>9</v>
      </c>
      <c r="BL25" s="5">
        <f>BK25-BK24</f>
        <v>3</v>
      </c>
      <c r="BM25">
        <f>BM24+1</f>
        <v>2</v>
      </c>
      <c r="BN25" s="5">
        <f>BM25-BM24</f>
        <v>1</v>
      </c>
      <c r="BO25">
        <f>BO24+0</f>
        <v>0</v>
      </c>
      <c r="BY25">
        <f>N25+U25+AB25+AI25+AP25+AW25+BD25+BK25</f>
        <v>875</v>
      </c>
      <c r="BZ25" s="5">
        <f>BY25-BY24</f>
        <v>257</v>
      </c>
      <c r="CA25">
        <f>P25+W25+AD25+AK25+AR25+AY25+BF25+BM25</f>
        <v>113</v>
      </c>
      <c r="CB25" s="3">
        <f>(CA25/CA24)-1</f>
        <v>0.59154929577464799</v>
      </c>
      <c r="CC25">
        <f>R25+Y25+AF25+AM25+AT25+BA25+BH25+BO25</f>
        <v>19</v>
      </c>
      <c r="CD25" s="3">
        <f>(CC25/CC24)-1</f>
        <v>0.58333333333333326</v>
      </c>
      <c r="CE25" s="3"/>
      <c r="CF25">
        <f>CA25-CA24</f>
        <v>42</v>
      </c>
      <c r="CH25">
        <v>1</v>
      </c>
      <c r="CI25" t="s">
        <v>13</v>
      </c>
      <c r="CJ25" s="8">
        <v>43931</v>
      </c>
      <c r="CK25">
        <v>1</v>
      </c>
      <c r="CM25">
        <v>0</v>
      </c>
      <c r="CN25">
        <v>12</v>
      </c>
      <c r="CW25">
        <v>100</v>
      </c>
      <c r="CX25">
        <v>100</v>
      </c>
      <c r="DC25" s="9">
        <v>43867</v>
      </c>
      <c r="DD25">
        <v>11</v>
      </c>
      <c r="DE25">
        <f>(DD25/DD24)-1</f>
        <v>0</v>
      </c>
    </row>
    <row r="26" spans="1:206" ht="19.5">
      <c r="C26">
        <f>H25*D26</f>
        <v>136.99999999915133</v>
      </c>
      <c r="D26">
        <v>0.15657142857100001</v>
      </c>
      <c r="E26" t="s">
        <v>17</v>
      </c>
      <c r="F26" s="9">
        <v>43916</v>
      </c>
      <c r="G26" s="2">
        <f>H26*15</f>
        <v>15179.999999941891</v>
      </c>
      <c r="H26">
        <f>H25+C26</f>
        <v>1011.999999996126</v>
      </c>
      <c r="I26">
        <v>1012</v>
      </c>
      <c r="J26">
        <v>83836</v>
      </c>
      <c r="K26">
        <f>N26+U26+AB26+AI26+AP26+AW26+BD26+BK26</f>
        <v>1012</v>
      </c>
      <c r="L26" s="3">
        <f>(K26/K25)-1</f>
        <v>0.15657142857142858</v>
      </c>
      <c r="N26">
        <f>N25+11</f>
        <v>44</v>
      </c>
      <c r="O26" s="5">
        <f>N26-N25</f>
        <v>11</v>
      </c>
      <c r="P26">
        <f>P25+0</f>
        <v>3</v>
      </c>
      <c r="Q26" s="5">
        <f>P26-P25</f>
        <v>0</v>
      </c>
      <c r="R26">
        <f>R25+0</f>
        <v>0</v>
      </c>
      <c r="U26">
        <f>U25+22</f>
        <v>138</v>
      </c>
      <c r="V26" s="5">
        <f>U26-U25</f>
        <v>22</v>
      </c>
      <c r="W26">
        <f>W25+3</f>
        <v>27</v>
      </c>
      <c r="X26" s="5">
        <f>W26-W25</f>
        <v>3</v>
      </c>
      <c r="Y26">
        <f>Y25+0</f>
        <v>2</v>
      </c>
      <c r="Z26" s="3">
        <f>(Y26/Y25)-1</f>
        <v>0</v>
      </c>
      <c r="AB26">
        <f>AB25+29</f>
        <v>156</v>
      </c>
      <c r="AC26" s="5">
        <f>AB26-AB25</f>
        <v>29</v>
      </c>
      <c r="AD26">
        <f>AD25+6</f>
        <v>34</v>
      </c>
      <c r="AE26" s="5">
        <f>AD26-AD25</f>
        <v>6</v>
      </c>
      <c r="AF26">
        <f>AF25+0</f>
        <v>2</v>
      </c>
      <c r="AG26" s="3">
        <f>(AF26/AF25)-1</f>
        <v>0</v>
      </c>
      <c r="AI26">
        <f>AI25+61</f>
        <v>607</v>
      </c>
      <c r="AJ26" s="5">
        <f>AI26-AI25</f>
        <v>61</v>
      </c>
      <c r="AK26">
        <f>AK25+2</f>
        <v>49</v>
      </c>
      <c r="AL26" s="5">
        <f>AK26-AK25</f>
        <v>2</v>
      </c>
      <c r="AM26">
        <f>AM25+1</f>
        <v>13</v>
      </c>
      <c r="AN26" s="3">
        <f>(AM26/AM25)-1</f>
        <v>0.083333333333333259</v>
      </c>
      <c r="AP26">
        <f>AP25+3</f>
        <v>18</v>
      </c>
      <c r="AQ26" s="5">
        <f>AP26-AP25</f>
        <v>3</v>
      </c>
      <c r="AR26">
        <f>AR25+1</f>
        <v>5</v>
      </c>
      <c r="AS26" s="5">
        <f>AR26-AR25</f>
        <v>1</v>
      </c>
      <c r="AT26">
        <f>AT25+1</f>
        <v>1</v>
      </c>
      <c r="AW26">
        <f>AW25+6</f>
        <v>33</v>
      </c>
      <c r="AX26" s="5">
        <f>AW26-AW25</f>
        <v>6</v>
      </c>
      <c r="AY26">
        <f>AY25+0</f>
        <v>5</v>
      </c>
      <c r="AZ26" s="5">
        <f>AY26-AY25</f>
        <v>0</v>
      </c>
      <c r="BA26">
        <f>BA25+0</f>
        <v>3</v>
      </c>
      <c r="BB26" s="3">
        <f>(BA26/BA25)-1</f>
        <v>0</v>
      </c>
      <c r="BD26">
        <f>BD25+1</f>
        <v>3</v>
      </c>
      <c r="BE26" s="5">
        <f>BD26-BD25</f>
        <v>1</v>
      </c>
      <c r="BF26">
        <f>BF25+0</f>
        <v>0</v>
      </c>
      <c r="BH26">
        <f>BH25+0</f>
        <v>0</v>
      </c>
      <c r="BK26">
        <f>BK25+4</f>
        <v>13</v>
      </c>
      <c r="BL26" s="5">
        <f>BK26-BK25</f>
        <v>4</v>
      </c>
      <c r="BM26">
        <f>BM25+0</f>
        <v>2</v>
      </c>
      <c r="BN26" s="5">
        <f>BM26-BM25</f>
        <v>0</v>
      </c>
      <c r="BO26">
        <f>BO25+0</f>
        <v>0</v>
      </c>
      <c r="BY26">
        <f>N26+U26+AB26+AI26+AP26+AW26+BD26+BK26</f>
        <v>1012</v>
      </c>
      <c r="BZ26" s="5">
        <f>BY26-BY25</f>
        <v>137</v>
      </c>
      <c r="CA26">
        <f>P26+W26+AD26+AK26+AR26+AY26+BF26+BM26</f>
        <v>125</v>
      </c>
      <c r="CB26" s="3">
        <f>(CA26/CA25)-1</f>
        <v>0.10619469026548667</v>
      </c>
      <c r="CC26">
        <f>R26+Y26+AF26+AM26+AT26+BA26+BH26+BO26</f>
        <v>21</v>
      </c>
      <c r="CD26" s="3">
        <f>(CC26/CC25)-1</f>
        <v>0.10526315789473695</v>
      </c>
      <c r="CE26" s="3"/>
      <c r="CF26">
        <f>CA26-CA25</f>
        <v>12</v>
      </c>
      <c r="CH26">
        <v>1</v>
      </c>
      <c r="CI26" t="s">
        <v>13</v>
      </c>
      <c r="CJ26" s="8">
        <v>43932</v>
      </c>
      <c r="CK26">
        <v>1</v>
      </c>
      <c r="CM26">
        <v>0</v>
      </c>
      <c r="CN26">
        <v>13</v>
      </c>
      <c r="CW26">
        <v>44</v>
      </c>
      <c r="CX26">
        <v>33</v>
      </c>
      <c r="DC26" s="9">
        <v>43868</v>
      </c>
      <c r="DD26">
        <v>11</v>
      </c>
      <c r="DE26">
        <f>(DD26/DD25)-1</f>
        <v>0</v>
      </c>
    </row>
    <row r="27" spans="1:206" ht="19.5">
      <c r="C27">
        <f>H26*D27</f>
        <v>278.999999994132</v>
      </c>
      <c r="D27">
        <v>0.27569169960000001</v>
      </c>
      <c r="E27" t="s">
        <v>18</v>
      </c>
      <c r="F27" s="9">
        <v>43917</v>
      </c>
      <c r="G27" s="2">
        <f>H27*15</f>
        <v>19364.99999985387</v>
      </c>
      <c r="H27">
        <f>H26+C27</f>
        <v>1290.9999999902579</v>
      </c>
      <c r="I27">
        <v>1291</v>
      </c>
      <c r="J27">
        <v>101657</v>
      </c>
      <c r="K27">
        <f>N27+U27+AB27+AI27+AP27+AW27+BD27+BK27</f>
        <v>1291</v>
      </c>
      <c r="L27" s="3">
        <f>(K27/K26)-1</f>
        <v>0.27569169960474316</v>
      </c>
      <c r="N27">
        <f>N26+8</f>
        <v>52</v>
      </c>
      <c r="O27" s="5">
        <f>N27-N26</f>
        <v>8</v>
      </c>
      <c r="P27">
        <f>P26+6</f>
        <v>9</v>
      </c>
      <c r="Q27" s="5">
        <f>P27-P26</f>
        <v>6</v>
      </c>
      <c r="R27">
        <f>R26+0</f>
        <v>0</v>
      </c>
      <c r="U27">
        <f>U26+51</f>
        <v>189</v>
      </c>
      <c r="V27" s="5">
        <f>U27-U26</f>
        <v>51</v>
      </c>
      <c r="W27">
        <f>W26+9</f>
        <v>36</v>
      </c>
      <c r="X27" s="5">
        <f>W27-W26</f>
        <v>9</v>
      </c>
      <c r="Y27">
        <f>Y26+0</f>
        <v>2</v>
      </c>
      <c r="Z27" s="3">
        <f>(Y27/Y26)-1</f>
        <v>0</v>
      </c>
      <c r="AB27">
        <f>AB26+66</f>
        <v>222</v>
      </c>
      <c r="AC27" s="5">
        <f>AB27-AB26</f>
        <v>66</v>
      </c>
      <c r="AD27">
        <f>AD26+12</f>
        <v>46</v>
      </c>
      <c r="AE27" s="5">
        <f>AD27-AD26</f>
        <v>12</v>
      </c>
      <c r="AF27">
        <f>AF26+4</f>
        <v>6</v>
      </c>
      <c r="AG27" s="3">
        <f>(AF27/AF26)-1</f>
        <v>2</v>
      </c>
      <c r="AI27">
        <f>AI26+145</f>
        <v>752</v>
      </c>
      <c r="AJ27" s="5">
        <f>AI27-AI26</f>
        <v>145</v>
      </c>
      <c r="AK27">
        <f>AK26+19</f>
        <v>68</v>
      </c>
      <c r="AL27" s="5">
        <f>AK27-AK26</f>
        <v>19</v>
      </c>
      <c r="AM27">
        <f>AM26+2</f>
        <v>15</v>
      </c>
      <c r="AN27" s="3">
        <f>(AM27/AM26)-1</f>
        <v>0.15384615384615374</v>
      </c>
      <c r="AP27">
        <f>AP26+7</f>
        <v>25</v>
      </c>
      <c r="AQ27" s="5">
        <f>AP27-AP26</f>
        <v>7</v>
      </c>
      <c r="AR27">
        <f>AR26+0</f>
        <v>5</v>
      </c>
      <c r="AS27" s="5">
        <f>AR27-AR26</f>
        <v>0</v>
      </c>
      <c r="AT27">
        <f>AT26+0</f>
        <v>1</v>
      </c>
      <c r="AU27" s="3">
        <f>(AT27/AT26)-1</f>
        <v>0</v>
      </c>
      <c r="AW27">
        <f>AW26+0</f>
        <v>33</v>
      </c>
      <c r="AX27" s="5">
        <f>AW27-AW26</f>
        <v>0</v>
      </c>
      <c r="AY27">
        <f>AY26+2</f>
        <v>7</v>
      </c>
      <c r="AZ27" s="5">
        <f>AY27-AY26</f>
        <v>2</v>
      </c>
      <c r="BA27">
        <f>BA26+0</f>
        <v>3</v>
      </c>
      <c r="BB27" s="3">
        <f>(BA27/BA26)-1</f>
        <v>0</v>
      </c>
      <c r="BD27">
        <f>BD26+0</f>
        <v>3</v>
      </c>
      <c r="BE27" s="5">
        <f>BD27-BD26</f>
        <v>0</v>
      </c>
      <c r="BF27">
        <f>BF26+0</f>
        <v>0</v>
      </c>
      <c r="BH27">
        <f>BH26+0</f>
        <v>0</v>
      </c>
      <c r="BK27">
        <f>BK26+2</f>
        <v>15</v>
      </c>
      <c r="BL27" s="5">
        <f>BK27-BK26</f>
        <v>2</v>
      </c>
      <c r="BM27">
        <f>BM26+0</f>
        <v>2</v>
      </c>
      <c r="BN27" s="5">
        <f>BM27-BM26</f>
        <v>0</v>
      </c>
      <c r="BO27">
        <f>BO26+0</f>
        <v>0</v>
      </c>
      <c r="BY27">
        <f>N27+U27+AB27+AI27+AP27+AW27+BD27+BK27</f>
        <v>1291</v>
      </c>
      <c r="BZ27" s="5">
        <f>BY27-BY26</f>
        <v>279</v>
      </c>
      <c r="CA27">
        <f>P27+W27+AD27+AK27+AR27+AY27+BF27+BM27</f>
        <v>173</v>
      </c>
      <c r="CB27" s="3">
        <f>(CA27/CA26)-1</f>
        <v>0.3839999999999999</v>
      </c>
      <c r="CC27">
        <f>R27+Y27+AF27+AM27+AT27+BA27+BH27+BO27</f>
        <v>27</v>
      </c>
      <c r="CD27" s="3">
        <f>(CC27/CC26)-1</f>
        <v>0.28571428571428581</v>
      </c>
      <c r="CE27" s="3"/>
      <c r="CF27">
        <f>CA27-CA26</f>
        <v>48</v>
      </c>
      <c r="CH27">
        <v>1</v>
      </c>
      <c r="CI27" t="s">
        <v>13</v>
      </c>
      <c r="CJ27" s="8">
        <v>43933</v>
      </c>
      <c r="CK27">
        <v>1</v>
      </c>
      <c r="CM27">
        <v>0</v>
      </c>
      <c r="CN27">
        <v>14</v>
      </c>
      <c r="CW27">
        <v>100</v>
      </c>
      <c r="CX27">
        <v>100</v>
      </c>
      <c r="DC27" s="9">
        <v>43869</v>
      </c>
      <c r="DD27">
        <v>11</v>
      </c>
      <c r="DE27">
        <f>(DD27/DD26)-1</f>
        <v>0</v>
      </c>
    </row>
    <row r="28" spans="1:206" ht="19.5">
      <c r="C28">
        <f>H27*D28</f>
        <v>232.99999999841174</v>
      </c>
      <c r="D28">
        <v>0.18048024787</v>
      </c>
      <c r="E28" t="s">
        <v>19</v>
      </c>
      <c r="F28" s="9">
        <v>43918</v>
      </c>
      <c r="G28" s="2">
        <f>H28*15</f>
        <v>22859.999999830045</v>
      </c>
      <c r="H28">
        <f>H27+C28</f>
        <v>1523.9999999886697</v>
      </c>
      <c r="I28">
        <v>1524</v>
      </c>
      <c r="J28">
        <v>121478</v>
      </c>
      <c r="K28">
        <f>N28+U28+AB28+AI28+AP28+AW28+BD28+BK28</f>
        <v>1524</v>
      </c>
      <c r="L28" s="3">
        <f>(K28/K27)-1</f>
        <v>0.18048024786986838</v>
      </c>
      <c r="N28">
        <f>N27+13</f>
        <v>65</v>
      </c>
      <c r="O28" s="5">
        <f>N28-N27</f>
        <v>13</v>
      </c>
      <c r="P28">
        <f>P27+3</f>
        <v>12</v>
      </c>
      <c r="Q28" s="5">
        <f>P28-P27</f>
        <v>3</v>
      </c>
      <c r="R28">
        <f>R27+0</f>
        <v>0</v>
      </c>
      <c r="U28">
        <f>U27+39</f>
        <v>228</v>
      </c>
      <c r="V28" s="5">
        <f>U28-U27</f>
        <v>39</v>
      </c>
      <c r="W28">
        <f>W27+5</f>
        <v>41</v>
      </c>
      <c r="X28" s="5">
        <f>W28-W27</f>
        <v>5</v>
      </c>
      <c r="Y28">
        <f>Y27+0</f>
        <v>2</v>
      </c>
      <c r="Z28" s="3">
        <f>(Y28/Y27)-1</f>
        <v>0</v>
      </c>
      <c r="AB28">
        <f>AB27+14</f>
        <v>236</v>
      </c>
      <c r="AC28" s="5">
        <f>AB28-AB27</f>
        <v>14</v>
      </c>
      <c r="AD28">
        <f>AD27+4</f>
        <v>50</v>
      </c>
      <c r="AE28" s="5">
        <f>AD28-AD27</f>
        <v>4</v>
      </c>
      <c r="AF28">
        <f>AF27+0</f>
        <v>6</v>
      </c>
      <c r="AG28" s="3">
        <f>(AF28/AF27)-1</f>
        <v>0</v>
      </c>
      <c r="AI28">
        <f>AI27+156</f>
        <v>908</v>
      </c>
      <c r="AJ28" s="5">
        <f>AI28-AI27</f>
        <v>156</v>
      </c>
      <c r="AK28">
        <f>AK27+20</f>
        <v>88</v>
      </c>
      <c r="AL28" s="5">
        <f>AK28-AK27</f>
        <v>20</v>
      </c>
      <c r="AM28">
        <f>AM27+5</f>
        <v>20</v>
      </c>
      <c r="AN28" s="3">
        <f>(AM28/AM27)-1</f>
        <v>0.33333333333333326</v>
      </c>
      <c r="AP28">
        <f>AP27+3</f>
        <v>28</v>
      </c>
      <c r="AQ28" s="5">
        <f>AP28-AP27</f>
        <v>3</v>
      </c>
      <c r="AR28">
        <f>AR27+0</f>
        <v>5</v>
      </c>
      <c r="AS28" s="5">
        <f>AR28-AR27</f>
        <v>0</v>
      </c>
      <c r="AT28">
        <f>AT27+0</f>
        <v>1</v>
      </c>
      <c r="AU28" s="3">
        <f>(AT28/AT27)-1</f>
        <v>0</v>
      </c>
      <c r="AW28">
        <f>AW27+4</f>
        <v>37</v>
      </c>
      <c r="AX28" s="5">
        <f>AW28-AW27</f>
        <v>4</v>
      </c>
      <c r="AY28">
        <f>AY27+0</f>
        <v>7</v>
      </c>
      <c r="AZ28" s="5">
        <f>AY28-AY27</f>
        <v>0</v>
      </c>
      <c r="BA28">
        <f>BA27+1</f>
        <v>4</v>
      </c>
      <c r="BB28" s="3">
        <f>(BA28/BA27)-1</f>
        <v>0.33333333333333326</v>
      </c>
      <c r="BD28">
        <f>BD27+0</f>
        <v>3</v>
      </c>
      <c r="BE28" s="5">
        <f>BD28-BD27</f>
        <v>0</v>
      </c>
      <c r="BF28">
        <f>BF27+0</f>
        <v>0</v>
      </c>
      <c r="BH28">
        <f>BH27+0</f>
        <v>0</v>
      </c>
      <c r="BK28">
        <f>BK27+4</f>
        <v>19</v>
      </c>
      <c r="BL28" s="5">
        <f>BK28-BK27</f>
        <v>4</v>
      </c>
      <c r="BM28">
        <f>BM27+0</f>
        <v>2</v>
      </c>
      <c r="BN28" s="5">
        <f>BM28-BM27</f>
        <v>0</v>
      </c>
      <c r="BO28">
        <f>BO27+0</f>
        <v>0</v>
      </c>
      <c r="BY28">
        <f>N28+U28+AB28+AI28+AP28+AW28+BD28+BK28</f>
        <v>1524</v>
      </c>
      <c r="BZ28" s="5">
        <f>BY28-BY27</f>
        <v>233</v>
      </c>
      <c r="CA28">
        <f>P28+W28+AD28+AK28+AR28+AY28+BF28+BM28</f>
        <v>205</v>
      </c>
      <c r="CB28" s="3">
        <f>(CA28/CA27)-1</f>
        <v>0.18497109826589586</v>
      </c>
      <c r="CC28">
        <f>R28+Y28+AF28+AM28+AT28+BA28+BH28+BO28</f>
        <v>33</v>
      </c>
      <c r="CD28" s="3">
        <f>(CC28/CC27)-1</f>
        <v>0.22222222222222232</v>
      </c>
      <c r="CE28" s="3"/>
      <c r="CF28">
        <f>CA28-CA27</f>
        <v>32</v>
      </c>
      <c r="CH28">
        <v>1</v>
      </c>
      <c r="CI28" t="s">
        <v>13</v>
      </c>
      <c r="CJ28" s="8">
        <v>43934</v>
      </c>
      <c r="CK28">
        <v>1</v>
      </c>
      <c r="CM28">
        <v>0</v>
      </c>
      <c r="CN28">
        <v>15</v>
      </c>
      <c r="CW28">
        <v>100</v>
      </c>
      <c r="CX28" t="inlineStr">
        <is>
          <t>28th</t>
        </is>
      </c>
      <c r="DC28" s="9">
        <v>43870</v>
      </c>
      <c r="DD28">
        <v>11</v>
      </c>
      <c r="DE28">
        <f>(DD28/DD27)-1</f>
        <v>0</v>
      </c>
    </row>
    <row r="29" spans="1:206" ht="19.5">
      <c r="C29">
        <f>H28*D29</f>
        <v>468.99999999616119</v>
      </c>
      <c r="D29">
        <v>0.30774278215200002</v>
      </c>
      <c r="E29" t="s">
        <v>12</v>
      </c>
      <c r="F29" s="9">
        <v>43919</v>
      </c>
      <c r="G29" s="2">
        <f>H29*15</f>
        <v>29894.999999772466</v>
      </c>
      <c r="H29">
        <f>H28+C29</f>
        <v>1992.999999984831</v>
      </c>
      <c r="I29">
        <v>1993</v>
      </c>
      <c r="J29">
        <v>140886</v>
      </c>
      <c r="K29">
        <f>N29+U29+AB29+AI29+AP29+AW29+BD29+BK29</f>
        <v>1993</v>
      </c>
      <c r="L29" s="3">
        <f>(K29/K28)-1</f>
        <v>0.30774278215223094</v>
      </c>
      <c r="N29">
        <f>N28+22</f>
        <v>87</v>
      </c>
      <c r="O29" s="5">
        <f>N29-N28</f>
        <v>22</v>
      </c>
      <c r="P29">
        <f>P28-7</f>
        <v>5</v>
      </c>
      <c r="Q29" s="5">
        <f>P29-P28</f>
        <v>-7</v>
      </c>
      <c r="R29">
        <f>R28+0</f>
        <v>0</v>
      </c>
      <c r="U29">
        <f>U28+48</f>
        <v>276</v>
      </c>
      <c r="V29" s="5">
        <f>U29-U28</f>
        <v>48</v>
      </c>
      <c r="W29">
        <f>W28+26</f>
        <v>67</v>
      </c>
      <c r="X29" s="5">
        <f>W29-W28</f>
        <v>26</v>
      </c>
      <c r="Y29">
        <f>Y28+0</f>
        <v>2</v>
      </c>
      <c r="Z29" s="3">
        <f>(Y29/Y28)-1</f>
        <v>0</v>
      </c>
      <c r="AB29">
        <f>AB28+44</f>
        <v>280</v>
      </c>
      <c r="AC29" s="5">
        <f>AB29-AB28</f>
        <v>44</v>
      </c>
      <c r="AD29">
        <f>AD28+87</f>
        <v>137</v>
      </c>
      <c r="AE29" s="5">
        <f>AD29-AD28</f>
        <v>87</v>
      </c>
      <c r="AF29">
        <f>AF28+0</f>
        <v>6</v>
      </c>
      <c r="AG29" s="3">
        <f>(AF29/AF28)-1</f>
        <v>0</v>
      </c>
      <c r="AI29">
        <f>AI28+337</f>
        <v>1245</v>
      </c>
      <c r="AJ29" s="5">
        <f>AI29-AI28</f>
        <v>337</v>
      </c>
      <c r="AK29">
        <f>AK28+101</f>
        <v>189</v>
      </c>
      <c r="AL29" s="5">
        <f>AK29-AK28</f>
        <v>101</v>
      </c>
      <c r="AM29">
        <f>AM28+1</f>
        <v>21</v>
      </c>
      <c r="AN29" s="3">
        <f>(AM29/AM28)-1</f>
        <v>0.050000000000000044</v>
      </c>
      <c r="AP29">
        <f>AP28+10</f>
        <v>38</v>
      </c>
      <c r="AQ29" s="5">
        <f>AP29-AP28</f>
        <v>10</v>
      </c>
      <c r="AR29">
        <f>AR28-4</f>
        <v>1</v>
      </c>
      <c r="AS29" s="5">
        <f>AR29-AR28</f>
        <v>-4</v>
      </c>
      <c r="AT29">
        <f>AT28+0</f>
        <v>1</v>
      </c>
      <c r="AU29" s="3">
        <f>(AT29/AT28)-1</f>
        <v>0</v>
      </c>
      <c r="AW29">
        <f>AW28+3</f>
        <v>40</v>
      </c>
      <c r="AX29" s="5">
        <f>AW29-AW28</f>
        <v>3</v>
      </c>
      <c r="AY29">
        <f>AY28-7</f>
        <v>0</v>
      </c>
      <c r="AZ29" s="5">
        <f>AY29-AY28</f>
        <v>-7</v>
      </c>
      <c r="BA29">
        <f>BA28+0</f>
        <v>4</v>
      </c>
      <c r="BB29" s="3">
        <f>(BA29/BA28)-1</f>
        <v>0</v>
      </c>
      <c r="BD29">
        <f>BD28+4</f>
        <v>7</v>
      </c>
      <c r="BE29" s="5">
        <f>BD29-BD28</f>
        <v>4</v>
      </c>
      <c r="BF29">
        <f>BF28+1</f>
        <v>1</v>
      </c>
      <c r="BG29" s="5">
        <f>BF29-BF28</f>
        <v>1</v>
      </c>
      <c r="BH29">
        <f>BH28+0</f>
        <v>0</v>
      </c>
      <c r="BK29">
        <f>BK28+1</f>
        <v>20</v>
      </c>
      <c r="BL29" s="5">
        <f>BK29-BK28</f>
        <v>1</v>
      </c>
      <c r="BM29">
        <f>BM28+2</f>
        <v>4</v>
      </c>
      <c r="BN29" s="5">
        <f>BM29-BM28</f>
        <v>2</v>
      </c>
      <c r="BO29">
        <f>BO28+0</f>
        <v>0</v>
      </c>
      <c r="BY29">
        <f>N29+U29+AB29+AI29+AP29+AW29+BD29+BK29</f>
        <v>1993</v>
      </c>
      <c r="BZ29" s="5">
        <f>BY29-BY28</f>
        <v>469</v>
      </c>
      <c r="CA29">
        <f>P29+W29+AD29+AK29+AR29+AY29+BF29+BM29</f>
        <v>404</v>
      </c>
      <c r="CB29" s="3">
        <f>(CA29/CA28)-1</f>
        <v>0.97073170731707314</v>
      </c>
      <c r="CC29">
        <f>R29+Y29+AF29+AM29+AT29+BA29+BH29+BO29</f>
        <v>34</v>
      </c>
      <c r="CD29" s="3">
        <f>(CC29/CC28)-1</f>
        <v>0.030303030303030276</v>
      </c>
      <c r="CE29" s="3"/>
      <c r="CF29">
        <f>CA29-CA28</f>
        <v>199</v>
      </c>
      <c r="CH29">
        <v>1</v>
      </c>
      <c r="CI29" t="s">
        <v>13</v>
      </c>
      <c r="CJ29" s="8">
        <v>43935</v>
      </c>
      <c r="CK29">
        <v>1</v>
      </c>
      <c r="CM29">
        <v>0</v>
      </c>
      <c r="CN29">
        <v>16</v>
      </c>
      <c r="CW29">
        <v>100</v>
      </c>
      <c r="CX29" t="inlineStr">
        <is>
          <t>29th</t>
        </is>
      </c>
      <c r="DC29" s="9">
        <v>43871</v>
      </c>
      <c r="DD29">
        <v>11</v>
      </c>
      <c r="DE29">
        <f>(DD29/DD28)-1</f>
        <v>0</v>
      </c>
    </row>
    <row r="30" spans="1:206" ht="19.5">
      <c r="C30">
        <f>H29*D30</f>
        <v>577.99999999481281</v>
      </c>
      <c r="D30">
        <f>0.29001505268400002</f>
        <v>0.29001505268400002</v>
      </c>
      <c r="E30" t="s">
        <v>14</v>
      </c>
      <c r="F30" s="9">
        <v>43920</v>
      </c>
      <c r="G30" s="2">
        <f>H30*15</f>
        <v>38564.999999694657</v>
      </c>
      <c r="H30">
        <f>H29+C30</f>
        <v>2570.9999999796437</v>
      </c>
      <c r="I30">
        <v>2571</v>
      </c>
      <c r="J30">
        <v>161807</v>
      </c>
      <c r="K30">
        <f>N30+U30+AB30+AI30+AP30+AW30+BD30+BK30+BR30</f>
        <v>2571</v>
      </c>
      <c r="L30" s="3">
        <f>(K30/K29)-1</f>
        <v>0.29001505268439542</v>
      </c>
      <c r="N30">
        <f>N29+26</f>
        <v>113</v>
      </c>
      <c r="O30" s="5">
        <f>N30-N29</f>
        <v>26</v>
      </c>
      <c r="P30">
        <f>P29+2</f>
        <v>7</v>
      </c>
      <c r="Q30" s="5">
        <f>P30-P29</f>
        <v>2</v>
      </c>
      <c r="R30">
        <f>R29+1</f>
        <v>1</v>
      </c>
      <c r="S30" s="3"/>
      <c r="U30">
        <f>U29+54</f>
        <v>330</v>
      </c>
      <c r="V30" s="5">
        <f>U30-U29</f>
        <v>54</v>
      </c>
      <c r="W30">
        <f>W29+29</f>
        <v>96</v>
      </c>
      <c r="X30" s="5">
        <f>W30-W29</f>
        <v>29</v>
      </c>
      <c r="Y30">
        <f>Y29+1</f>
        <v>3</v>
      </c>
      <c r="Z30" s="3">
        <f>(Y30/Y29)-1</f>
        <v>0.5</v>
      </c>
      <c r="AB30">
        <f>AB29+93</f>
        <v>373</v>
      </c>
      <c r="AC30" s="5">
        <f>AB30-AB29</f>
        <v>93</v>
      </c>
      <c r="AD30">
        <f>AD29+39</f>
        <v>176</v>
      </c>
      <c r="AE30" s="5">
        <f>AD30-AD29</f>
        <v>39</v>
      </c>
      <c r="AF30">
        <f>AF29+0</f>
        <v>6</v>
      </c>
      <c r="AG30" s="3">
        <f>(AF30/AF29)-1</f>
        <v>0</v>
      </c>
      <c r="AI30">
        <f>AI29+200</f>
        <v>1445</v>
      </c>
      <c r="AJ30" s="5">
        <f>AI30-AI29</f>
        <v>200</v>
      </c>
      <c r="AK30">
        <f>AK29+41</f>
        <v>230</v>
      </c>
      <c r="AL30" s="5">
        <f>AK30-AK29</f>
        <v>41</v>
      </c>
      <c r="AM30">
        <f>AM29+0</f>
        <v>21</v>
      </c>
      <c r="AN30" s="3">
        <f>(AM30/AM29)-1</f>
        <v>0</v>
      </c>
      <c r="AP30">
        <f>AP29+12</f>
        <v>50</v>
      </c>
      <c r="AQ30" s="5">
        <f>AP30-AP29</f>
        <v>12</v>
      </c>
      <c r="AR30">
        <f>AR29+0</f>
        <v>1</v>
      </c>
      <c r="AS30" s="5">
        <f>AR30-AR29</f>
        <v>0</v>
      </c>
      <c r="AT30">
        <f>AT29+0</f>
        <v>1</v>
      </c>
      <c r="AU30" s="3">
        <f>(AT30/AT29)-1</f>
        <v>0</v>
      </c>
      <c r="AW30">
        <f>AW29+10</f>
        <v>50</v>
      </c>
      <c r="AX30" s="5">
        <f>AW30-AW29</f>
        <v>10</v>
      </c>
      <c r="AY30">
        <f>AY29+2</f>
        <v>2</v>
      </c>
      <c r="AZ30" s="5">
        <f>AY30-AY29</f>
        <v>2</v>
      </c>
      <c r="BA30">
        <f>BA29+0</f>
        <v>4</v>
      </c>
      <c r="BB30" s="3">
        <f>(BA30/BA29)-1</f>
        <v>0</v>
      </c>
      <c r="BD30">
        <f>BD29+3</f>
        <v>10</v>
      </c>
      <c r="BE30" s="5">
        <f>BD30-BD29</f>
        <v>3</v>
      </c>
      <c r="BF30">
        <f>BF29-1</f>
        <v>0</v>
      </c>
      <c r="BG30" s="5">
        <f>BF30-BF29</f>
        <v>-1</v>
      </c>
      <c r="BH30">
        <f>BH29+0</f>
        <v>0</v>
      </c>
      <c r="BK30">
        <f>BK29+4</f>
        <v>24</v>
      </c>
      <c r="BL30" s="5">
        <f>BK30-BK29</f>
        <v>4</v>
      </c>
      <c r="BM30">
        <f>BM29+1</f>
        <v>5</v>
      </c>
      <c r="BN30" s="5">
        <f>BM30-BM29</f>
        <v>1</v>
      </c>
      <c r="BO30">
        <f>BO29+0</f>
        <v>0</v>
      </c>
      <c r="BR30">
        <f>BR29+176</f>
        <v>176</v>
      </c>
      <c r="BS30" s="5">
        <f>BR30-BR29</f>
        <v>176</v>
      </c>
      <c r="BV30">
        <f>BV29+0</f>
        <v>0</v>
      </c>
      <c r="BY30">
        <f>N30+U30+AB30+AI30+AP30+AW30+BD30+BK30+BR30</f>
        <v>2571</v>
      </c>
      <c r="BZ30" s="5">
        <f>BY30-BY29</f>
        <v>578</v>
      </c>
      <c r="CA30">
        <f>P30+W30+AD30+AK30+AR30+AY30+BF30+BM30+BT30</f>
        <v>517</v>
      </c>
      <c r="CB30" s="3">
        <f>(CA30/CA29)-1</f>
        <v>0.27970297029702973</v>
      </c>
      <c r="CC30">
        <f>R30+Y30+AF30+AM30+AT30+BA30+BH30+BO30+BV30</f>
        <v>36</v>
      </c>
      <c r="CD30" s="3">
        <f>(CC30/CC29)-1</f>
        <v>0.058823529411764719</v>
      </c>
      <c r="CE30" s="3"/>
      <c r="CF30">
        <f>CA30-CA29</f>
        <v>113</v>
      </c>
      <c r="CH30">
        <v>1</v>
      </c>
      <c r="CI30" t="s">
        <v>13</v>
      </c>
      <c r="CJ30" s="8">
        <v>43936</v>
      </c>
      <c r="CK30">
        <v>1</v>
      </c>
      <c r="CM30">
        <v>0</v>
      </c>
      <c r="CN30">
        <v>17</v>
      </c>
      <c r="CW30">
        <v>100</v>
      </c>
      <c r="CX30">
        <v>100</v>
      </c>
      <c r="DC30" s="9">
        <v>43872</v>
      </c>
      <c r="DD30">
        <v>12</v>
      </c>
      <c r="DE30">
        <f>(DD30/DD29)-1</f>
        <v>0.090909090909090828</v>
      </c>
    </row>
    <row r="31" spans="1:206" ht="19.5">
      <c r="C31">
        <f>H30*D31</f>
        <v>556.99999999574084</v>
      </c>
      <c r="D31">
        <f>0.21664721898100001</f>
        <v>0.21664721898100001</v>
      </c>
      <c r="E31" t="s">
        <v>15</v>
      </c>
      <c r="F31" s="9">
        <v>43921</v>
      </c>
      <c r="G31" s="2">
        <f>H31*15</f>
        <v>46919.999999630767</v>
      </c>
      <c r="H31">
        <f>H30+C31</f>
        <v>3127.9999999753845</v>
      </c>
      <c r="I31">
        <v>3128</v>
      </c>
      <c r="J31">
        <v>188172</v>
      </c>
      <c r="K31">
        <f>N31+U31+AB31+AI31+AP31+AW31+BD31+BK31+BR31</f>
        <v>3128</v>
      </c>
      <c r="L31" s="3">
        <f>(K31/K30)-1</f>
        <v>0.21664721898094119</v>
      </c>
      <c r="N31">
        <f>N30+8</f>
        <v>121</v>
      </c>
      <c r="O31" s="5">
        <f>N31-N30</f>
        <v>8</v>
      </c>
      <c r="P31">
        <f>P30+0</f>
        <v>7</v>
      </c>
      <c r="Q31" s="5">
        <f>P31-P30</f>
        <v>0</v>
      </c>
      <c r="R31">
        <f>R30+0</f>
        <v>1</v>
      </c>
      <c r="S31" s="3">
        <f>(R31/R30)-1</f>
        <v>0</v>
      </c>
      <c r="U31">
        <f>U30+63</f>
        <v>393</v>
      </c>
      <c r="V31" s="5">
        <f>U31-U30</f>
        <v>63</v>
      </c>
      <c r="W31">
        <f>W30+14</f>
        <v>110</v>
      </c>
      <c r="X31" s="5">
        <f>W31-W30</f>
        <v>14</v>
      </c>
      <c r="Y31">
        <f>Y30+4</f>
        <v>7</v>
      </c>
      <c r="Z31" s="3">
        <f>(Y31/Y30)-1</f>
        <v>1.3333333333333335</v>
      </c>
      <c r="AB31">
        <f>AB30+144</f>
        <v>517</v>
      </c>
      <c r="AC31" s="5">
        <f>AB31-AB30</f>
        <v>144</v>
      </c>
      <c r="AD31">
        <f>AD30+26</f>
        <v>202</v>
      </c>
      <c r="AE31" s="5">
        <f>AD31-AD30</f>
        <v>26</v>
      </c>
      <c r="AF31">
        <f>AF30+6</f>
        <v>12</v>
      </c>
      <c r="AG31" s="3">
        <f>(AF31/AF30)-1</f>
        <v>1</v>
      </c>
      <c r="AI31">
        <f>AI30+425</f>
        <v>1870</v>
      </c>
      <c r="AJ31" s="5">
        <f>AI31-AI30</f>
        <v>425</v>
      </c>
      <c r="AK31">
        <f>AK30+45</f>
        <v>275</v>
      </c>
      <c r="AL31" s="5">
        <f>AK31-AK30</f>
        <v>45</v>
      </c>
      <c r="AM31">
        <f>AM30+17</f>
        <v>38</v>
      </c>
      <c r="AN31" s="3">
        <f>(AM31/AM30)-1</f>
        <v>0.80952380952380953</v>
      </c>
      <c r="AP31">
        <f>AP30+6</f>
        <v>56</v>
      </c>
      <c r="AQ31" s="5">
        <f>AP31-AP30</f>
        <v>6</v>
      </c>
      <c r="AR31">
        <f>AR30+4</f>
        <v>5</v>
      </c>
      <c r="AS31" s="5">
        <f>AR31-AR30</f>
        <v>4</v>
      </c>
      <c r="AT31">
        <f>AT30+0</f>
        <v>1</v>
      </c>
      <c r="AU31" s="3">
        <f>(AT31/AT30)-1</f>
        <v>0</v>
      </c>
      <c r="AW31">
        <f>AW30+6</f>
        <v>56</v>
      </c>
      <c r="AX31" s="5">
        <f>AW31-AW30</f>
        <v>6</v>
      </c>
      <c r="AY31">
        <f>AY30+-1</f>
        <v>1</v>
      </c>
      <c r="AZ31" s="5">
        <f>AY31-AY30</f>
        <v>-1</v>
      </c>
      <c r="BA31">
        <f>BA30+3</f>
        <v>7</v>
      </c>
      <c r="BB31" s="3">
        <f>(BA31/BA30)-1</f>
        <v>0.75</v>
      </c>
      <c r="BD31">
        <f>BD30+1</f>
        <v>11</v>
      </c>
      <c r="BE31" s="5">
        <f>BD31-BD30</f>
        <v>1</v>
      </c>
      <c r="BF31">
        <f>BF30+0</f>
        <v>0</v>
      </c>
      <c r="BG31" s="5">
        <f>BF31-BF30</f>
        <v>0</v>
      </c>
      <c r="BH31">
        <f>BH30+0</f>
        <v>0</v>
      </c>
      <c r="BK31">
        <f>BK30+3</f>
        <v>27</v>
      </c>
      <c r="BL31" s="5">
        <f>BK31-BK30</f>
        <v>3</v>
      </c>
      <c r="BM31">
        <f>BM30+3</f>
        <v>8</v>
      </c>
      <c r="BN31" s="5">
        <f>BM31-BM30</f>
        <v>3</v>
      </c>
      <c r="BO31">
        <f>BO30+1</f>
        <v>1</v>
      </c>
      <c r="BR31">
        <f>BR30-99</f>
        <v>77</v>
      </c>
      <c r="BS31" s="5">
        <f>BR31-BR30</f>
        <v>-99</v>
      </c>
      <c r="BV31">
        <f>BV30+2</f>
        <v>2</v>
      </c>
      <c r="BW31" s="3"/>
      <c r="BY31">
        <f>N31+U31+AB31+AI31+AP31+AW31+BD31+BK31+BR31</f>
        <v>3128</v>
      </c>
      <c r="BZ31" s="5">
        <f>BY31-BY30</f>
        <v>557</v>
      </c>
      <c r="CA31">
        <f>P31+W31+AD31+AK31+AR31+AY31+BF31+BM31+BT31</f>
        <v>608</v>
      </c>
      <c r="CB31" s="3">
        <f>(CA31/CA30)-1</f>
        <v>0.17601547388781436</v>
      </c>
      <c r="CC31">
        <f>R31+Y31+AF31+AM31+AT31+BA31+BH31+BO31+BV31</f>
        <v>69</v>
      </c>
      <c r="CD31" s="3">
        <f>(CC31/CC30)-1</f>
        <v>0.91666666666666674</v>
      </c>
      <c r="CE31" s="3"/>
      <c r="CF31">
        <f>CA31-CA30</f>
        <v>91</v>
      </c>
      <c r="CH31">
        <v>1</v>
      </c>
      <c r="CI31" t="s">
        <v>13</v>
      </c>
      <c r="CJ31" s="8">
        <v>43937</v>
      </c>
      <c r="CK31">
        <v>2</v>
      </c>
      <c r="CL31">
        <v>62</v>
      </c>
      <c r="CM31">
        <v>0</v>
      </c>
      <c r="CN31">
        <v>18</v>
      </c>
      <c r="CW31">
        <v>31</v>
      </c>
      <c r="CX31">
        <v>31</v>
      </c>
      <c r="DC31" s="9">
        <v>43873</v>
      </c>
      <c r="DD31">
        <v>12</v>
      </c>
      <c r="DE31">
        <f>(DD31/DD30)-1</f>
        <v>0</v>
      </c>
    </row>
    <row r="32" spans="1:206" ht="19.5">
      <c r="C32">
        <f>H31*D32</f>
        <v>429.00000000942401</v>
      </c>
      <c r="D32">
        <v>0.1371483376</v>
      </c>
      <c r="E32" t="s">
        <v>16</v>
      </c>
      <c r="F32" s="9">
        <v>43922</v>
      </c>
      <c r="G32" s="2">
        <f>H32*15</f>
        <v>53354.999999772132</v>
      </c>
      <c r="H32">
        <f>H31+C32</f>
        <v>3556.9999999848087</v>
      </c>
      <c r="I32">
        <v>3557</v>
      </c>
      <c r="J32">
        <v>213372</v>
      </c>
      <c r="K32">
        <f>N32+U32+AB32+AI32+AP32+AW32+BD32+BK32+BR32</f>
        <v>3557</v>
      </c>
      <c r="L32" s="3">
        <f>(K32/K31)-1</f>
        <v>0.13714833759590794</v>
      </c>
      <c r="N32">
        <f>N31+10</f>
        <v>131</v>
      </c>
      <c r="O32" s="5">
        <f>N32-N31</f>
        <v>10</v>
      </c>
      <c r="P32">
        <f>P31+4</f>
        <v>11</v>
      </c>
      <c r="Q32" s="5">
        <f>P32-P31</f>
        <v>4</v>
      </c>
      <c r="R32">
        <f>R31+0</f>
        <v>1</v>
      </c>
      <c r="S32" s="3">
        <f>(R32/R31)-1</f>
        <v>0</v>
      </c>
      <c r="U32">
        <f>U31+76</f>
        <v>469</v>
      </c>
      <c r="V32" s="5">
        <f>U32-U31</f>
        <v>76</v>
      </c>
      <c r="W32">
        <f>W31+16</f>
        <v>126</v>
      </c>
      <c r="X32" s="5">
        <f>W32-W31</f>
        <v>16</v>
      </c>
      <c r="Y32">
        <f>Y31+4</f>
        <v>11</v>
      </c>
      <c r="Z32" s="3">
        <f>(Y32/Y31)-1</f>
        <v>0.5714285714285714</v>
      </c>
      <c r="AB32">
        <f>AB31+94</f>
        <v>611</v>
      </c>
      <c r="AC32" s="5">
        <f>AB32-AB31</f>
        <v>94</v>
      </c>
      <c r="AD32">
        <f>AD31+49</f>
        <v>251</v>
      </c>
      <c r="AE32" s="5">
        <f>AD32-AD31</f>
        <v>49</v>
      </c>
      <c r="AF32">
        <f>AF31+3</f>
        <v>15</v>
      </c>
      <c r="AG32" s="3">
        <f>(AF32/AF31)-1</f>
        <v>0.25</v>
      </c>
      <c r="AI32">
        <f>AI31+116</f>
        <v>1986</v>
      </c>
      <c r="AJ32" s="5">
        <f>AI32-AI31</f>
        <v>116</v>
      </c>
      <c r="AK32">
        <f>AK31+84</f>
        <v>359</v>
      </c>
      <c r="AL32" s="5">
        <f>AK32-AK31</f>
        <v>84</v>
      </c>
      <c r="AM32">
        <f>AM31+8</f>
        <v>46</v>
      </c>
      <c r="AN32" s="3">
        <f>(AM32/AM31)-1</f>
        <v>0.21052631578947367</v>
      </c>
      <c r="AP32">
        <f>AP31+10</f>
        <v>66</v>
      </c>
      <c r="AQ32" s="5">
        <f>AP32-AP31</f>
        <v>10</v>
      </c>
      <c r="AR32">
        <f>AR31+3</f>
        <v>8</v>
      </c>
      <c r="AS32" s="5">
        <f>AR32-AR31</f>
        <v>3</v>
      </c>
      <c r="AT32">
        <f>AT31+1</f>
        <v>2</v>
      </c>
      <c r="AU32" s="3">
        <f>(AT32/AT31)-1</f>
        <v>1</v>
      </c>
      <c r="AW32">
        <f>AW31+5</f>
        <v>61</v>
      </c>
      <c r="AX32" s="5">
        <f>AW32-AW31</f>
        <v>5</v>
      </c>
      <c r="AY32">
        <f>AY31+0</f>
        <v>1</v>
      </c>
      <c r="AZ32" s="5">
        <f>AY32-AY31</f>
        <v>0</v>
      </c>
      <c r="BA32">
        <f>BA31+0</f>
        <v>7</v>
      </c>
      <c r="BB32" s="3">
        <f>(BA32/BA31)-1</f>
        <v>0</v>
      </c>
      <c r="BD32">
        <f>BD31+8</f>
        <v>19</v>
      </c>
      <c r="BE32" s="5">
        <f>BD32-BD31</f>
        <v>8</v>
      </c>
      <c r="BF32">
        <f>BF31+0</f>
        <v>0</v>
      </c>
      <c r="BG32" s="5">
        <f>BF32-BF31</f>
        <v>0</v>
      </c>
      <c r="BH32">
        <f>BH31+0</f>
        <v>0</v>
      </c>
      <c r="BK32">
        <f>BK31+2</f>
        <v>29</v>
      </c>
      <c r="BL32" s="5">
        <f>BK32-BK31</f>
        <v>2</v>
      </c>
      <c r="BM32">
        <f>BM31+2</f>
        <v>10</v>
      </c>
      <c r="BN32" s="5">
        <f>BM32-BM31</f>
        <v>2</v>
      </c>
      <c r="BO32">
        <f>BO31+0</f>
        <v>1</v>
      </c>
      <c r="BP32" s="3">
        <f>(BO32/BO31)-1</f>
        <v>0</v>
      </c>
      <c r="BR32">
        <f>BR31+108</f>
        <v>185</v>
      </c>
      <c r="BS32" s="5">
        <f>BR32-BR31</f>
        <v>108</v>
      </c>
      <c r="BV32">
        <f>BV31+0</f>
        <v>2</v>
      </c>
      <c r="BW32" s="3">
        <f>(BV32/BV31)-1</f>
        <v>0</v>
      </c>
      <c r="BY32">
        <f>N32+U32+AB32+AI32+AP32+AW32+BD32+BK32+BR32</f>
        <v>3557</v>
      </c>
      <c r="BZ32" s="5">
        <f>BY32-BY31</f>
        <v>429</v>
      </c>
      <c r="CA32">
        <f>P32+W32+AD32+AK32+AR32+AY32+BF32+BM32+BT32</f>
        <v>766</v>
      </c>
      <c r="CB32" s="3">
        <f>(CA32/CA31)-1</f>
        <v>0.25986842105263164</v>
      </c>
      <c r="CC32">
        <f>R32+Y32+AF32+AM32+AT32+BA32+BH32+BO32+BV32</f>
        <v>85</v>
      </c>
      <c r="CD32" s="3">
        <f>(CC32/CC31)-1</f>
        <v>0.23188405797101441</v>
      </c>
      <c r="CE32" s="3"/>
      <c r="CF32">
        <f>CA32-CA31</f>
        <v>158</v>
      </c>
      <c r="CH32">
        <v>1</v>
      </c>
      <c r="CI32" t="s">
        <v>13</v>
      </c>
      <c r="CJ32" s="8">
        <v>43938</v>
      </c>
      <c r="CK32">
        <v>2</v>
      </c>
      <c r="CL32">
        <v>62</v>
      </c>
      <c r="CM32">
        <v>0</v>
      </c>
      <c r="CN32">
        <v>19</v>
      </c>
      <c r="CW32">
        <v>22</v>
      </c>
      <c r="CX32">
        <v>99</v>
      </c>
      <c r="DC32" s="9">
        <v>43874</v>
      </c>
      <c r="DD32">
        <v>13</v>
      </c>
      <c r="DE32">
        <f>(DD32/DD31)-1</f>
        <v>0.083333333333333259</v>
      </c>
    </row>
    <row r="33" spans="1:206" ht="19.5">
      <c r="C33">
        <f>H32*D33</f>
        <v>266.99999999874649</v>
      </c>
      <c r="D33">
        <v>0.075063255552399996</v>
      </c>
      <c r="E33" t="s">
        <v>17</v>
      </c>
      <c r="F33" s="9">
        <v>43923</v>
      </c>
      <c r="G33" s="2">
        <f>H33*15</f>
        <v>57359.99999975333</v>
      </c>
      <c r="H33">
        <f>H32+C33</f>
        <v>3823.9999999835554</v>
      </c>
      <c r="I33">
        <v>3824</v>
      </c>
      <c r="J33">
        <v>243453</v>
      </c>
      <c r="K33">
        <f>N33+U33+AB33+AI33+AP33+AW33+BD33+BK33+BR33</f>
        <v>3824</v>
      </c>
      <c r="L33" s="3">
        <f>(K33/K32)-1</f>
        <v>0.075063255552431762</v>
      </c>
      <c r="N33">
        <f>N32+10</f>
        <v>141</v>
      </c>
      <c r="O33" s="5">
        <f>N33-N32</f>
        <v>10</v>
      </c>
      <c r="P33">
        <f>P32+0</f>
        <v>11</v>
      </c>
      <c r="Q33" s="5">
        <f>P33-P32</f>
        <v>0</v>
      </c>
      <c r="R33">
        <f>R32+1</f>
        <v>2</v>
      </c>
      <c r="S33" s="3">
        <f>(R33/R32)-1</f>
        <v>1</v>
      </c>
      <c r="U33">
        <f>U32+70</f>
        <v>539</v>
      </c>
      <c r="V33" s="5">
        <f>U33-U32</f>
        <v>70</v>
      </c>
      <c r="W33">
        <f>W32+10</f>
        <v>136</v>
      </c>
      <c r="X33" s="5">
        <f>W33-W32</f>
        <v>10</v>
      </c>
      <c r="Y33">
        <f>Y32+2</f>
        <v>13</v>
      </c>
      <c r="Z33" s="3">
        <f>(Y33/Y32)-1</f>
        <v>0.18181818181818188</v>
      </c>
      <c r="AB33">
        <f>AB32+36</f>
        <v>647</v>
      </c>
      <c r="AC33" s="5">
        <f>AB33-AB32</f>
        <v>36</v>
      </c>
      <c r="AD33">
        <f>AD32+23</f>
        <v>274</v>
      </c>
      <c r="AE33" s="5">
        <f>AD33-AD32</f>
        <v>23</v>
      </c>
      <c r="AF33">
        <f>AF32+2</f>
        <v>17</v>
      </c>
      <c r="AG33" s="3">
        <f>(AF33/AF32)-1</f>
        <v>0.1333333333333333</v>
      </c>
      <c r="AI33">
        <f>AI32+146</f>
        <v>2132</v>
      </c>
      <c r="AJ33" s="5">
        <f>AI33-AI32</f>
        <v>146</v>
      </c>
      <c r="AK33">
        <f>AK32+22</f>
        <v>381</v>
      </c>
      <c r="AL33" s="5">
        <f>AK33-AK32</f>
        <v>22</v>
      </c>
      <c r="AM33">
        <f>AM32+19</f>
        <v>65</v>
      </c>
      <c r="AN33" s="3">
        <f>(AM33/AM32)-1</f>
        <v>0.41304347826086962</v>
      </c>
      <c r="AP33">
        <f>AP32+8</f>
        <v>74</v>
      </c>
      <c r="AQ33" s="5">
        <f>AP33-AP32</f>
        <v>8</v>
      </c>
      <c r="AR33">
        <f>AR32+3</f>
        <v>11</v>
      </c>
      <c r="AS33" s="5">
        <f>AR33-AR32</f>
        <v>3</v>
      </c>
      <c r="AT33">
        <f>AT32+1</f>
        <v>3</v>
      </c>
      <c r="AU33" s="3">
        <f>(AT33/AT32)-1</f>
        <v>0.5</v>
      </c>
      <c r="AW33">
        <f>AW32+6</f>
        <v>67</v>
      </c>
      <c r="AX33" s="5">
        <f>AW33-AW32</f>
        <v>6</v>
      </c>
      <c r="AY33">
        <f>AY32+1</f>
        <v>2</v>
      </c>
      <c r="AZ33" s="5">
        <f>AY33-AY32</f>
        <v>1</v>
      </c>
      <c r="BA33">
        <f>BA32+3</f>
        <v>10</v>
      </c>
      <c r="BB33" s="3">
        <f>(BA33/BA32)-1</f>
        <v>0.4285714285714286</v>
      </c>
      <c r="BD33">
        <f>BD32+2</f>
        <v>21</v>
      </c>
      <c r="BE33" s="5">
        <f>BD33-BD32</f>
        <v>2</v>
      </c>
      <c r="BF33">
        <f>BF32+3</f>
        <v>3</v>
      </c>
      <c r="BG33" s="5">
        <f>BF33-BF32</f>
        <v>3</v>
      </c>
      <c r="BH33">
        <f>BH32+0</f>
        <v>0</v>
      </c>
      <c r="BK33">
        <f>BK32+0</f>
        <v>29</v>
      </c>
      <c r="BL33" s="5">
        <f>BK33-BK32</f>
        <v>0</v>
      </c>
      <c r="BM33">
        <f>BM32+-1</f>
        <v>9</v>
      </c>
      <c r="BN33" s="5">
        <f>BM33-BM32</f>
        <v>-1</v>
      </c>
      <c r="BO33">
        <f>BO32+0</f>
        <v>1</v>
      </c>
      <c r="BP33" s="3">
        <f>(BO33/BO32)-1</f>
        <v>0</v>
      </c>
      <c r="BR33">
        <f>BR32+-11</f>
        <v>174</v>
      </c>
      <c r="BS33" s="5">
        <f>BR33-BR32</f>
        <v>-11</v>
      </c>
      <c r="BV33">
        <f>BV32+-1</f>
        <v>1</v>
      </c>
      <c r="BW33" s="3">
        <f>(BV33/BV32)-1</f>
        <v>-0.5</v>
      </c>
      <c r="BY33">
        <f>N33+U33+AB33+AI33+AP33+AW33+BD33+BK33+BR33</f>
        <v>3824</v>
      </c>
      <c r="BZ33" s="5">
        <f>BY33-BY32</f>
        <v>267</v>
      </c>
      <c r="CA33">
        <f>P33+W33+AD33+AK33+AR33+AY33+BF33+BM33+BT33</f>
        <v>827</v>
      </c>
      <c r="CB33" s="3">
        <f>(CA33/CA32)-1</f>
        <v>0.079634464751958234</v>
      </c>
      <c r="CC33">
        <f>R33+Y33+AF33+AM33+AT33+BA33+BH33+BO33+BV33</f>
        <v>112</v>
      </c>
      <c r="CD33" s="3">
        <f>(CC33/CC32)-1</f>
        <v>0.31764705882352939</v>
      </c>
      <c r="CE33" s="3"/>
      <c r="CF33">
        <f>CA33-CA32</f>
        <v>61</v>
      </c>
      <c r="CH33">
        <v>1</v>
      </c>
      <c r="CI33" t="s">
        <v>13</v>
      </c>
      <c r="CJ33" s="8">
        <v>43939</v>
      </c>
      <c r="CK33">
        <v>2</v>
      </c>
      <c r="CL33">
        <v>62</v>
      </c>
      <c r="CM33">
        <v>0</v>
      </c>
      <c r="CN33">
        <v>20</v>
      </c>
      <c r="CW33">
        <v>111</v>
      </c>
      <c r="CX33" t="inlineStr">
        <is>
          <t>2nd</t>
        </is>
      </c>
      <c r="DC33" s="9">
        <v>43875</v>
      </c>
      <c r="DD33">
        <v>13</v>
      </c>
      <c r="DE33">
        <f>(DD33/DD32)-1</f>
        <v>0</v>
      </c>
    </row>
    <row r="34" spans="1:206" ht="19.5">
      <c r="C34">
        <f>H33*D34</f>
        <v>1089.9999999793126</v>
      </c>
      <c r="D34">
        <v>0.28504184100000002</v>
      </c>
      <c r="E34" t="s">
        <v>18</v>
      </c>
      <c r="F34" s="9">
        <v>43924</v>
      </c>
      <c r="G34" s="2">
        <f>H34*15</f>
        <v>73709.999999443025</v>
      </c>
      <c r="H34">
        <f>H33+C34</f>
        <v>4913.9999999628681</v>
      </c>
      <c r="I34">
        <v>4914</v>
      </c>
      <c r="J34">
        <v>275586</v>
      </c>
      <c r="K34">
        <f>N34+U34+AB34+AI34+AP34+AW34+BD34+BK34+BR34</f>
        <v>4914</v>
      </c>
      <c r="L34" s="3">
        <f>(K34/K33)-1</f>
        <v>0.28504184100418417</v>
      </c>
      <c r="N34">
        <f>N33+32</f>
        <v>173</v>
      </c>
      <c r="O34" s="5">
        <f>N34-N33</f>
        <v>32</v>
      </c>
      <c r="P34">
        <f>P33+3</f>
        <v>14</v>
      </c>
      <c r="Q34" s="5">
        <f>P34-P33</f>
        <v>3</v>
      </c>
      <c r="R34">
        <f>R33+2</f>
        <v>4</v>
      </c>
      <c r="S34" s="3">
        <f>(R34/R33)-1</f>
        <v>1</v>
      </c>
      <c r="U34">
        <f>U33+140</f>
        <v>679</v>
      </c>
      <c r="V34" s="5">
        <f>U34-U33</f>
        <v>140</v>
      </c>
      <c r="W34">
        <f>W33+30</f>
        <v>166</v>
      </c>
      <c r="X34" s="5">
        <f>W34-W33</f>
        <v>30</v>
      </c>
      <c r="Y34">
        <f>Y33+5</f>
        <v>18</v>
      </c>
      <c r="Z34" s="3">
        <f>(Y34/Y33)-1</f>
        <v>0.38461538461538458</v>
      </c>
      <c r="AB34">
        <f>AB33+244</f>
        <v>891</v>
      </c>
      <c r="AC34" s="5">
        <f>AB34-AB33</f>
        <v>244</v>
      </c>
      <c r="AD34">
        <f>AD33+19</f>
        <v>293</v>
      </c>
      <c r="AE34" s="5">
        <f>AD34-AD33</f>
        <v>19</v>
      </c>
      <c r="AF34">
        <f>AF33+1</f>
        <v>18</v>
      </c>
      <c r="AG34" s="3">
        <f>(AF34/AF33)-1</f>
        <v>0.058823529411764719</v>
      </c>
      <c r="AI34">
        <f>AI33+584</f>
        <v>2716</v>
      </c>
      <c r="AJ34" s="5">
        <f>AI34-AI33</f>
        <v>584</v>
      </c>
      <c r="AK34">
        <f>AK33+28</f>
        <v>409</v>
      </c>
      <c r="AL34" s="5">
        <f>AK34-AK33</f>
        <v>28</v>
      </c>
      <c r="AM34">
        <f>AM33+10</f>
        <v>75</v>
      </c>
      <c r="AN34" s="3">
        <f>(AM34/AM33)-1</f>
        <v>0.15384615384615374</v>
      </c>
      <c r="AP34">
        <f>AP33+17</f>
        <v>91</v>
      </c>
      <c r="AQ34" s="5">
        <f>AP34-AP33</f>
        <v>17</v>
      </c>
      <c r="AR34">
        <f>AR33+1</f>
        <v>12</v>
      </c>
      <c r="AS34" s="5">
        <f>AR34-AR33</f>
        <v>1</v>
      </c>
      <c r="AT34">
        <f>AT33+-1</f>
        <v>2</v>
      </c>
      <c r="AU34" s="3">
        <f>(AT34/AT33)-1</f>
        <v>-0.33333333333333337</v>
      </c>
      <c r="AW34">
        <f>AW33+12</f>
        <v>79</v>
      </c>
      <c r="AX34" s="5">
        <f>AW34-AW33</f>
        <v>12</v>
      </c>
      <c r="AY34">
        <f>AY33+1</f>
        <v>3</v>
      </c>
      <c r="AZ34" s="5">
        <f>AY34-AY33</f>
        <v>1</v>
      </c>
      <c r="BA34">
        <f>BA33+0</f>
        <v>10</v>
      </c>
      <c r="BB34" s="3">
        <f>(BA34/BA33)-1</f>
        <v>0</v>
      </c>
      <c r="BD34">
        <f>BD33+6</f>
        <v>27</v>
      </c>
      <c r="BE34" s="5">
        <f>BD34-BD33</f>
        <v>6</v>
      </c>
      <c r="BF34">
        <f>BF33+0</f>
        <v>3</v>
      </c>
      <c r="BG34" s="5">
        <f>BF34-BF33</f>
        <v>0</v>
      </c>
      <c r="BH34">
        <f>BH33+0</f>
        <v>0</v>
      </c>
      <c r="BK34">
        <f>BK33+11</f>
        <v>40</v>
      </c>
      <c r="BL34" s="5">
        <f>BK34-BK33</f>
        <v>11</v>
      </c>
      <c r="BM34">
        <f>BM33+0</f>
        <v>9</v>
      </c>
      <c r="BN34" s="5">
        <f>BM34-BM33</f>
        <v>0</v>
      </c>
      <c r="BO34">
        <f>BO33+2</f>
        <v>3</v>
      </c>
      <c r="BP34" s="3">
        <f>(BO34/BO33)-1</f>
        <v>2</v>
      </c>
      <c r="BR34">
        <f>BR33+44</f>
        <v>218</v>
      </c>
      <c r="BS34" s="5">
        <f>BR34-BR33</f>
        <v>44</v>
      </c>
      <c r="BV34">
        <f>BV33+0</f>
        <v>1</v>
      </c>
      <c r="BW34" s="3">
        <f>(BV34/BV33)-1</f>
        <v>0</v>
      </c>
      <c r="BY34">
        <f>N34+U34+AB34+AI34+AP34+AW34+BD34+BK34+BR34</f>
        <v>4914</v>
      </c>
      <c r="BZ34" s="5">
        <f>BY34-BY33</f>
        <v>1090</v>
      </c>
      <c r="CA34">
        <f>P34+W34+AD34+AK34+AR34+AY34+BF34+BM34+BT34</f>
        <v>909</v>
      </c>
      <c r="CB34" s="3">
        <f>(CA34/CA33)-1</f>
        <v>0.099153567110036311</v>
      </c>
      <c r="CC34">
        <f>R34+Y34+AF34+AM34+AT34+BA34+BH34+BO34+BV34</f>
        <v>131</v>
      </c>
      <c r="CD34" s="3">
        <f>(CC34/CC33)-1</f>
        <v>0.16964285714285721</v>
      </c>
      <c r="CE34" s="3"/>
      <c r="CF34">
        <f>CA34-CA33</f>
        <v>82</v>
      </c>
      <c r="CH34">
        <v>1</v>
      </c>
      <c r="CI34" t="s">
        <v>13</v>
      </c>
      <c r="CJ34" s="8">
        <v>43940</v>
      </c>
      <c r="CK34">
        <v>2</v>
      </c>
      <c r="CL34">
        <v>62</v>
      </c>
      <c r="CM34">
        <v>0</v>
      </c>
      <c r="CN34">
        <v>21</v>
      </c>
      <c r="CW34">
        <v>100</v>
      </c>
      <c r="CX34" t="inlineStr">
        <is>
          <t>3rd</t>
        </is>
      </c>
      <c r="DC34" s="9">
        <v>43876</v>
      </c>
      <c r="DD34">
        <v>13</v>
      </c>
      <c r="DE34">
        <f>(DD34/DD33)-1</f>
        <v>0</v>
      </c>
    </row>
    <row r="35" spans="1:206" ht="19.5">
      <c r="C35">
        <f>H34*D35</f>
        <v>361.99999999739401</v>
      </c>
      <c r="D35">
        <v>0.0736670736671</v>
      </c>
      <c r="E35" t="s">
        <v>19</v>
      </c>
      <c r="F35" s="9">
        <v>43925</v>
      </c>
      <c r="G35" s="2">
        <f>H35*15</f>
        <v>79139.999999403939</v>
      </c>
      <c r="H35">
        <f>H34+C35</f>
        <v>5275.9999999602624</v>
      </c>
      <c r="I35">
        <v>5276</v>
      </c>
      <c r="J35">
        <v>308850</v>
      </c>
      <c r="K35">
        <f>N35+U35+AB35+AI35+AP35+AW35+BD35+BK35+BR35</f>
        <v>5276</v>
      </c>
      <c r="L35" s="3">
        <f>(K35/K34)-1</f>
        <v>0.073667073667073701</v>
      </c>
      <c r="N35">
        <f>N34+9</f>
        <v>182</v>
      </c>
      <c r="O35" s="5">
        <f>N35-N34</f>
        <v>9</v>
      </c>
      <c r="P35">
        <f>P34+1</f>
        <v>15</v>
      </c>
      <c r="Q35" s="5">
        <f>P35-P34</f>
        <v>1</v>
      </c>
      <c r="R35">
        <f>R34+1</f>
        <v>5</v>
      </c>
      <c r="S35" s="3">
        <f>(R35/R34)-1</f>
        <v>0.25</v>
      </c>
      <c r="U35">
        <f>U34+47</f>
        <v>726</v>
      </c>
      <c r="V35" s="5">
        <f>U35-U34</f>
        <v>47</v>
      </c>
      <c r="W35">
        <f>W34+18</f>
        <v>184</v>
      </c>
      <c r="X35" s="5">
        <f>W35-W34</f>
        <v>18</v>
      </c>
      <c r="Y35">
        <f>Y34+8</f>
        <v>26</v>
      </c>
      <c r="Z35" s="3">
        <f>(Y35/Y34)-1</f>
        <v>0.44444444444444442</v>
      </c>
      <c r="AB35">
        <f>AB34+133</f>
        <v>1024</v>
      </c>
      <c r="AC35" s="5">
        <f>AB35-AB34</f>
        <v>133</v>
      </c>
      <c r="AD35">
        <f>AD34+31</f>
        <v>324</v>
      </c>
      <c r="AE35" s="5">
        <f>AD35-AD34</f>
        <v>31</v>
      </c>
      <c r="AF35">
        <f>AF34+11</f>
        <v>29</v>
      </c>
      <c r="AG35" s="3">
        <f>(AF35/AF34)-1</f>
        <v>0.61111111111111116</v>
      </c>
      <c r="AI35">
        <f>AI34+108</f>
        <v>2824</v>
      </c>
      <c r="AJ35" s="5">
        <f>AI35-AI34</f>
        <v>108</v>
      </c>
      <c r="AK35">
        <f>AK34+66</f>
        <v>475</v>
      </c>
      <c r="AL35" s="5">
        <f>AK35-AK34</f>
        <v>66</v>
      </c>
      <c r="AM35">
        <f>AM34+11</f>
        <v>86</v>
      </c>
      <c r="AN35" s="3">
        <f>(AM35/AM34)-1</f>
        <v>0.14666666666666672</v>
      </c>
      <c r="AP35">
        <f>AP34+9</f>
        <v>100</v>
      </c>
      <c r="AQ35" s="5">
        <f>AP35-AP34</f>
        <v>9</v>
      </c>
      <c r="AR35">
        <f>AR34+7</f>
        <v>19</v>
      </c>
      <c r="AS35" s="5">
        <f>AR35-AR34</f>
        <v>7</v>
      </c>
      <c r="AT35">
        <f>AT34+2</f>
        <v>4</v>
      </c>
      <c r="AU35" s="3">
        <f>(AT35/AT34)-1</f>
        <v>1</v>
      </c>
      <c r="AW35">
        <f>AW34+12</f>
        <v>91</v>
      </c>
      <c r="AX35" s="5">
        <f>AW35-AW34</f>
        <v>12</v>
      </c>
      <c r="AY35">
        <f>AY34+0</f>
        <v>3</v>
      </c>
      <c r="AZ35" s="5">
        <f>AY35-AY34</f>
        <v>0</v>
      </c>
      <c r="BA35">
        <f>BA34+0</f>
        <v>10</v>
      </c>
      <c r="BB35" s="3">
        <f>(BA35/BA34)-1</f>
        <v>0</v>
      </c>
      <c r="BD35">
        <f>BD34+4</f>
        <v>31</v>
      </c>
      <c r="BE35" s="5">
        <f>BD35-BD34</f>
        <v>4</v>
      </c>
      <c r="BF35">
        <f>BF34+0</f>
        <v>3</v>
      </c>
      <c r="BG35" s="5">
        <f>BF35-BF34</f>
        <v>0</v>
      </c>
      <c r="BH35">
        <f>BH34+1</f>
        <v>1</v>
      </c>
      <c r="BK35">
        <f>BK34+17</f>
        <v>57</v>
      </c>
      <c r="BL35" s="5">
        <f>BK35-BK34</f>
        <v>17</v>
      </c>
      <c r="BM35">
        <f>BM34+1</f>
        <v>10</v>
      </c>
      <c r="BN35" s="5">
        <f>BM35-BM34</f>
        <v>1</v>
      </c>
      <c r="BO35">
        <f>BO34+0</f>
        <v>3</v>
      </c>
      <c r="BP35" s="3">
        <f>(BO35/BO34)-1</f>
        <v>0</v>
      </c>
      <c r="BR35">
        <f>BR34+23</f>
        <v>241</v>
      </c>
      <c r="BS35" s="5">
        <f>BR35-BR34</f>
        <v>23</v>
      </c>
      <c r="BV35">
        <f>BV34+0</f>
        <v>1</v>
      </c>
      <c r="BW35" s="3">
        <f>(BV35/BV34)-1</f>
        <v>0</v>
      </c>
      <c r="BY35">
        <f>N35+U35+AB35+AI35+AP35+AW35+BD35+BK35+BR35</f>
        <v>5276</v>
      </c>
      <c r="BZ35" s="5">
        <f>BY35-BY34</f>
        <v>362</v>
      </c>
      <c r="CA35">
        <f>P35+W35+AD35+AK35+AR35+AY35+BF35+BM35+BT35</f>
        <v>1033</v>
      </c>
      <c r="CB35" s="3">
        <f>(CA35/CA34)-1</f>
        <v>0.13641364136413636</v>
      </c>
      <c r="CC35">
        <f>R35+Y35+AF35+AM35+AT35+BA35+BH35+BO35+BV35</f>
        <v>165</v>
      </c>
      <c r="CD35" s="3">
        <f>(CC35/CC34)-1</f>
        <v>0.25954198473282442</v>
      </c>
      <c r="CE35" s="3"/>
      <c r="CF35">
        <f>CA35-CA34</f>
        <v>124</v>
      </c>
      <c r="CH35">
        <v>1</v>
      </c>
      <c r="CI35" t="s">
        <v>13</v>
      </c>
      <c r="CJ35" s="8">
        <v>43941</v>
      </c>
      <c r="CK35">
        <v>2</v>
      </c>
      <c r="CL35">
        <v>62</v>
      </c>
      <c r="CM35">
        <v>0</v>
      </c>
      <c r="CN35">
        <v>22</v>
      </c>
      <c r="CW35">
        <v>33</v>
      </c>
      <c r="CX35">
        <v>33</v>
      </c>
      <c r="DC35" s="9">
        <v>43877</v>
      </c>
      <c r="DD35">
        <v>13</v>
      </c>
      <c r="DE35">
        <f>(DD35/DD34)-1</f>
        <v>0</v>
      </c>
    </row>
    <row r="36" spans="1:206" ht="19.5">
      <c r="C36">
        <f>H35*D36</f>
        <v>398.99999999688362</v>
      </c>
      <c r="D36">
        <v>0.075625473843800001</v>
      </c>
      <c r="E36" t="s">
        <v>12</v>
      </c>
      <c r="F36" s="9">
        <v>43926</v>
      </c>
      <c r="G36" s="2">
        <f>H36*15</f>
        <v>85124.999999357198</v>
      </c>
      <c r="H36">
        <f>H35+C36</f>
        <v>5674.9999999571464</v>
      </c>
      <c r="I36">
        <v>5675</v>
      </c>
      <c r="J36">
        <v>337072</v>
      </c>
      <c r="K36">
        <f>N36+U36+AB36+AI36+AP36+AW36+BD36+BK36+BR36</f>
        <v>5675</v>
      </c>
      <c r="L36" s="3">
        <f>(K36/K35)-1</f>
        <v>0.075625473843821123</v>
      </c>
      <c r="N36">
        <f>N35+15</f>
        <v>197</v>
      </c>
      <c r="O36" s="5">
        <f>N36-N35</f>
        <v>15</v>
      </c>
      <c r="P36">
        <f>P35+0</f>
        <v>15</v>
      </c>
      <c r="Q36" s="5">
        <f>P36-P35</f>
        <v>0</v>
      </c>
      <c r="R36">
        <f>R35+1</f>
        <v>6</v>
      </c>
      <c r="S36" s="3">
        <f>(R36/R35)-1</f>
        <v>0.19999999999999996</v>
      </c>
      <c r="U36">
        <f>U35+25</f>
        <v>751</v>
      </c>
      <c r="V36" s="5">
        <f>U36-U35</f>
        <v>25</v>
      </c>
      <c r="W36">
        <f>W35+5</f>
        <v>189</v>
      </c>
      <c r="X36" s="5">
        <f>W36-W35</f>
        <v>5</v>
      </c>
      <c r="Y36">
        <f>Y35+3</f>
        <v>29</v>
      </c>
      <c r="Z36" s="3">
        <f>(Y36/Y35)-1</f>
        <v>0.11538461538461542</v>
      </c>
      <c r="AB36">
        <f>AB35+138</f>
        <v>1162</v>
      </c>
      <c r="AC36" s="5">
        <f>AB36-AB35</f>
        <v>138</v>
      </c>
      <c r="AD36">
        <f>AD35+48</f>
        <v>372</v>
      </c>
      <c r="AE36" s="5">
        <f>AD36-AD35</f>
        <v>48</v>
      </c>
      <c r="AF36">
        <f>AF35+7</f>
        <v>36</v>
      </c>
      <c r="AG36" s="3">
        <f>(AF36/AF35)-1</f>
        <v>0.24137931034482762</v>
      </c>
      <c r="AI36">
        <f>AI35+226</f>
        <v>3050</v>
      </c>
      <c r="AJ36" s="5">
        <f>AI36-AI35</f>
        <v>226</v>
      </c>
      <c r="AK36">
        <f>AK35+56</f>
        <v>531</v>
      </c>
      <c r="AL36" s="5">
        <f>AK36-AK35</f>
        <v>56</v>
      </c>
      <c r="AM36">
        <f>AM35+10</f>
        <v>96</v>
      </c>
      <c r="AN36" s="3">
        <f>(AM36/AM35)-1</f>
        <v>0.11627906976744184</v>
      </c>
      <c r="AP36">
        <f>AP35+10</f>
        <v>110</v>
      </c>
      <c r="AQ36" s="5">
        <f>AP36-AP35</f>
        <v>10</v>
      </c>
      <c r="AR36">
        <f>AR35+0</f>
        <v>19</v>
      </c>
      <c r="AS36" s="5">
        <f>AR36-AR35</f>
        <v>0</v>
      </c>
      <c r="AT36">
        <f>AT35+1</f>
        <v>5</v>
      </c>
      <c r="AU36" s="3">
        <f>(AT36/AT35)-1</f>
        <v>0.25</v>
      </c>
      <c r="AW36">
        <f>AW35+3</f>
        <v>94</v>
      </c>
      <c r="AX36" s="5">
        <f>AW36-AW35</f>
        <v>3</v>
      </c>
      <c r="AY36">
        <f>AY35+0</f>
        <v>3</v>
      </c>
      <c r="AZ36" s="5">
        <f>AY36-AY35</f>
        <v>0</v>
      </c>
      <c r="BA36">
        <f>BA35+1</f>
        <v>11</v>
      </c>
      <c r="BB36" s="3">
        <f>(BA36/BA35)-1</f>
        <v>0.10000000000000009</v>
      </c>
      <c r="BD36">
        <f>BD35+1</f>
        <v>32</v>
      </c>
      <c r="BE36" s="5">
        <f>BD36-BD35</f>
        <v>1</v>
      </c>
      <c r="BF36">
        <f>BF35+0</f>
        <v>3</v>
      </c>
      <c r="BG36" s="5">
        <f>BF36-BF35</f>
        <v>0</v>
      </c>
      <c r="BH36">
        <f>BH35+0</f>
        <v>1</v>
      </c>
      <c r="BI36" s="3">
        <f>(BH36/BH35)-1</f>
        <v>0</v>
      </c>
      <c r="BK36">
        <f>BK35+0</f>
        <v>57</v>
      </c>
      <c r="BL36" s="5">
        <f>BK36-BK35</f>
        <v>0</v>
      </c>
      <c r="BM36">
        <f>BM35+0</f>
        <v>10</v>
      </c>
      <c r="BN36" s="5">
        <f>BM36-BM35</f>
        <v>0</v>
      </c>
      <c r="BO36">
        <f>BO35+1</f>
        <v>4</v>
      </c>
      <c r="BP36" s="3">
        <f>(BO36/BO35)-1</f>
        <v>0.33333333333333326</v>
      </c>
      <c r="BR36">
        <f>BR35+-19</f>
        <v>222</v>
      </c>
      <c r="BS36" s="5">
        <f>BR36-BR35</f>
        <v>-19</v>
      </c>
      <c r="BV36">
        <f>BV35+0</f>
        <v>1</v>
      </c>
      <c r="BW36" s="3">
        <f>(BV36/BV35)-1</f>
        <v>0</v>
      </c>
      <c r="BY36">
        <f>N36+U36+AB36+AI36+AP36+AW36+BD36+BK36+BR36</f>
        <v>5675</v>
      </c>
      <c r="BZ36" s="5">
        <f>BY36-BY35</f>
        <v>399</v>
      </c>
      <c r="CA36">
        <f>P36+W36+AD36+AK36+AR36+AY36+BF36+BM36+BT36</f>
        <v>1142</v>
      </c>
      <c r="CB36" s="3">
        <f>(CA36/CA35)-1</f>
        <v>0.10551790900290414</v>
      </c>
      <c r="CC36">
        <f>R36+Y36+AF36+AM36+AT36+BA36+BH36+BO36+BV36</f>
        <v>189</v>
      </c>
      <c r="CD36" s="3">
        <f>(CC36/CC35)-1</f>
        <v>0.1454545454545455</v>
      </c>
      <c r="CE36" s="3"/>
      <c r="CF36">
        <f>CA36-CA35</f>
        <v>109</v>
      </c>
      <c r="CH36">
        <v>1</v>
      </c>
      <c r="CI36" t="s">
        <v>13</v>
      </c>
      <c r="CJ36" s="8">
        <v>43942</v>
      </c>
      <c r="CK36">
        <v>2</v>
      </c>
      <c r="CL36">
        <v>62</v>
      </c>
      <c r="CM36">
        <v>0</v>
      </c>
      <c r="CN36">
        <v>23</v>
      </c>
      <c r="CW36">
        <v>100</v>
      </c>
      <c r="CX36" t="inlineStr">
        <is>
          <t>5th</t>
        </is>
      </c>
      <c r="DC36" s="9">
        <v>43878</v>
      </c>
      <c r="DD36">
        <v>13</v>
      </c>
      <c r="DE36">
        <f>(DD36/DD35)-1</f>
        <v>0</v>
      </c>
    </row>
    <row r="37" spans="1:206" ht="19.5">
      <c r="C37">
        <f>H36*D37</f>
        <v>1230.9999999880292</v>
      </c>
      <c r="D37">
        <v>0.21691629955899999</v>
      </c>
      <c r="E37" t="s">
        <v>14</v>
      </c>
      <c r="F37" s="9">
        <v>43927</v>
      </c>
      <c r="G37" s="2">
        <f>H37*15</f>
        <v>103589.99999917764</v>
      </c>
      <c r="H37">
        <f>H36+C37</f>
        <v>6905.9999999451757</v>
      </c>
      <c r="I37">
        <v>6906</v>
      </c>
      <c r="J37">
        <v>366667</v>
      </c>
      <c r="K37">
        <f>N37+U37+AB37+AI37+AP37+AW37+BD37+BK37+BR37</f>
        <v>6906</v>
      </c>
      <c r="L37" s="3">
        <f>(K37/K36)-1</f>
        <v>0.21691629955947134</v>
      </c>
      <c r="N37">
        <f>N36+33</f>
        <v>230</v>
      </c>
      <c r="O37" s="5">
        <f>N37-N36</f>
        <v>33</v>
      </c>
      <c r="P37">
        <f>P36+0</f>
        <v>15</v>
      </c>
      <c r="Q37" s="5">
        <f>P37-P36</f>
        <v>0</v>
      </c>
      <c r="R37">
        <f>R36+2</f>
        <v>8</v>
      </c>
      <c r="S37" s="3">
        <f>(R37/R36)-1</f>
        <v>0.33333333333333326</v>
      </c>
      <c r="U37">
        <f>U36+131</f>
        <v>882</v>
      </c>
      <c r="V37" s="5">
        <f>U37-U36</f>
        <v>131</v>
      </c>
      <c r="W37">
        <f>W36+24</f>
        <v>213</v>
      </c>
      <c r="X37" s="5">
        <f>W37-W36</f>
        <v>24</v>
      </c>
      <c r="Y37">
        <f>Y36+2</f>
        <v>31</v>
      </c>
      <c r="Z37" s="3">
        <f>(Y37/Y36)-1</f>
        <v>0.068965517241379226</v>
      </c>
      <c r="AB37">
        <f>AB36+306</f>
        <v>1468</v>
      </c>
      <c r="AC37" s="5">
        <f>AB37-AB36</f>
        <v>306</v>
      </c>
      <c r="AD37">
        <f>AD36+12</f>
        <v>384</v>
      </c>
      <c r="AE37" s="5">
        <f>AD37-AD36</f>
        <v>12</v>
      </c>
      <c r="AF37">
        <f>AF36+5</f>
        <v>41</v>
      </c>
      <c r="AG37" s="3">
        <f>(AF37/AF36)-1</f>
        <v>0.13888888888888884</v>
      </c>
      <c r="AI37">
        <f>AI36+669</f>
        <v>3719</v>
      </c>
      <c r="AJ37" s="5">
        <f>AI37-AI36</f>
        <v>669</v>
      </c>
      <c r="AK37">
        <f>AK36+41</f>
        <v>572</v>
      </c>
      <c r="AL37" s="5">
        <f>AK37-AK36</f>
        <v>41</v>
      </c>
      <c r="AM37">
        <f>AM36+5</f>
        <v>101</v>
      </c>
      <c r="AN37" s="3">
        <f>(AM37/AM36)-1</f>
        <v>0.052083333333333259</v>
      </c>
      <c r="AP37">
        <f>AP36+25</f>
        <v>135</v>
      </c>
      <c r="AQ37" s="5">
        <f>AP37-AP36</f>
        <v>25</v>
      </c>
      <c r="AR37">
        <f>AR36+3</f>
        <v>22</v>
      </c>
      <c r="AS37" s="5">
        <f>AR37-AR36</f>
        <v>3</v>
      </c>
      <c r="AT37">
        <f>AT36+2</f>
        <v>7</v>
      </c>
      <c r="AU37" s="3">
        <f>(AT37/AT36)-1</f>
        <v>0.39999999999999991</v>
      </c>
      <c r="AW37">
        <f>AW36+9</f>
        <v>103</v>
      </c>
      <c r="AX37" s="5">
        <f>AW37-AW36</f>
        <v>9</v>
      </c>
      <c r="AY37">
        <f>AY36+0</f>
        <v>3</v>
      </c>
      <c r="AZ37" s="5">
        <f>AY37-AY36</f>
        <v>0</v>
      </c>
      <c r="BA37">
        <f>BA36+2</f>
        <v>13</v>
      </c>
      <c r="BB37" s="3">
        <f>(BA37/BA36)-1</f>
        <v>0.18181818181818188</v>
      </c>
      <c r="BD37">
        <f>BD36+8</f>
        <v>40</v>
      </c>
      <c r="BE37" s="5">
        <f>BD37-BD36</f>
        <v>8</v>
      </c>
      <c r="BF37">
        <f>BF36+-1</f>
        <v>2</v>
      </c>
      <c r="BG37" s="5">
        <f>BF37-BF36</f>
        <v>-1</v>
      </c>
      <c r="BH37">
        <f>BH36+0</f>
        <v>1</v>
      </c>
      <c r="BI37" s="3">
        <f>(BH37/BH36)-1</f>
        <v>0</v>
      </c>
      <c r="BK37">
        <f>BK36+8</f>
        <v>65</v>
      </c>
      <c r="BL37" s="5">
        <f>BK37-BK36</f>
        <v>8</v>
      </c>
      <c r="BM37">
        <f>BM36+0</f>
        <v>10</v>
      </c>
      <c r="BN37" s="5">
        <f>BM37-BM36</f>
        <v>0</v>
      </c>
      <c r="BO37">
        <f>BO36+0</f>
        <v>4</v>
      </c>
      <c r="BP37" s="3">
        <f>(BO37/BO36)-1</f>
        <v>0</v>
      </c>
      <c r="BR37">
        <f>BR36+42</f>
        <v>264</v>
      </c>
      <c r="BS37" s="5">
        <f>BR37-BR36</f>
        <v>42</v>
      </c>
      <c r="BV37">
        <f>BV36+-1</f>
        <v>0</v>
      </c>
      <c r="BW37" s="3">
        <f>(BV37/BV36)-1</f>
        <v>-1</v>
      </c>
      <c r="BY37">
        <f>N37+U37+AB37+AI37+AP37+AW37+BD37+BK37+BR37</f>
        <v>6906</v>
      </c>
      <c r="BZ37" s="5">
        <f>BY37-BY36</f>
        <v>1231</v>
      </c>
      <c r="CA37">
        <f>P37+W37+AD37+AK37+AR37+AY37+BF37+BM37+BT37</f>
        <v>1221</v>
      </c>
      <c r="CB37" s="3">
        <f>(CA37/CA36)-1</f>
        <v>0.069176882661996508</v>
      </c>
      <c r="CC37">
        <f>R37+Y37+AF37+AM37+AT37+BA37+BH37+BO37+BV37</f>
        <v>206</v>
      </c>
      <c r="CD37" s="3">
        <f>(CC37/CC36)-1</f>
        <v>0.089947089947089998</v>
      </c>
      <c r="CE37" s="3"/>
      <c r="CF37">
        <f>CA37-CA36</f>
        <v>79</v>
      </c>
      <c r="CH37">
        <v>1</v>
      </c>
      <c r="CI37" t="s">
        <v>13</v>
      </c>
      <c r="CJ37" s="8">
        <v>43943</v>
      </c>
      <c r="CK37">
        <v>2</v>
      </c>
      <c r="CL37">
        <v>62</v>
      </c>
      <c r="CM37">
        <v>0</v>
      </c>
      <c r="CN37">
        <v>24</v>
      </c>
      <c r="CW37">
        <v>100</v>
      </c>
      <c r="CX37" t="inlineStr">
        <is>
          <t>6th</t>
        </is>
      </c>
      <c r="DC37" s="9">
        <v>43879</v>
      </c>
      <c r="DD37">
        <v>13</v>
      </c>
      <c r="DE37">
        <f>(DD37/DD36)-1</f>
        <v>0</v>
      </c>
    </row>
    <row r="38" spans="1:206" ht="19.5">
      <c r="C38">
        <f>H37*D38</f>
        <v>874.99999999378963</v>
      </c>
      <c r="D38">
        <v>0.12670141905599999</v>
      </c>
      <c r="E38" t="s">
        <v>15</v>
      </c>
      <c r="F38" s="9">
        <v>43928</v>
      </c>
      <c r="G38" s="2">
        <f>H38*15</f>
        <v>116714.99999908448</v>
      </c>
      <c r="H38">
        <f>H37+C38</f>
        <v>7780.9999999389656</v>
      </c>
      <c r="I38">
        <v>7781</v>
      </c>
      <c r="J38">
        <v>396223</v>
      </c>
      <c r="K38">
        <f>N38+U38+AB38+AI38+AP38+AW38+BD38+BK38+BR38</f>
        <v>7781</v>
      </c>
      <c r="L38" s="3">
        <f>(K38/K37)-1</f>
        <v>0.12670141905589349</v>
      </c>
      <c r="N38">
        <f>N37+25</f>
        <v>255</v>
      </c>
      <c r="O38" s="5">
        <f>N38-N37</f>
        <v>25</v>
      </c>
      <c r="P38">
        <f>P37+2</f>
        <v>17</v>
      </c>
      <c r="Q38" s="5">
        <f>P38-P37</f>
        <v>2</v>
      </c>
      <c r="R38">
        <f>R37+1</f>
        <v>9</v>
      </c>
      <c r="S38" s="3">
        <f>(R38/R37)-1</f>
        <v>0.125</v>
      </c>
      <c r="U38">
        <f>U37+163</f>
        <v>1045</v>
      </c>
      <c r="V38" s="5">
        <f>U38-U37</f>
        <v>163</v>
      </c>
      <c r="W38">
        <f>W37+30</f>
        <v>243</v>
      </c>
      <c r="X38" s="5">
        <f>W38-W37</f>
        <v>30</v>
      </c>
      <c r="Y38">
        <f>Y37+17</f>
        <v>48</v>
      </c>
      <c r="Z38" s="3">
        <f>(Y38/Y37)-1</f>
        <v>0.54838709677419351</v>
      </c>
      <c r="AB38">
        <f>AB37+196</f>
        <v>1664</v>
      </c>
      <c r="AC38" s="5">
        <f>AB38-AB37</f>
        <v>196</v>
      </c>
      <c r="AD38">
        <f>AD37+6</f>
        <v>390</v>
      </c>
      <c r="AE38" s="5">
        <f>AD38-AD37</f>
        <v>6</v>
      </c>
      <c r="AF38">
        <f>AF37+19</f>
        <v>60</v>
      </c>
      <c r="AG38" s="3">
        <f>(AF38/AF37)-1</f>
        <v>0.46341463414634143</v>
      </c>
      <c r="AI38">
        <f>AI37+417</f>
        <v>4136</v>
      </c>
      <c r="AJ38" s="5">
        <f>AI38-AI37</f>
        <v>417</v>
      </c>
      <c r="AK38">
        <f>AK37+41</f>
        <v>613</v>
      </c>
      <c r="AL38" s="5">
        <f>AK38-AK37</f>
        <v>41</v>
      </c>
      <c r="AM38">
        <f>AM37+31</f>
        <v>132</v>
      </c>
      <c r="AN38" s="3">
        <f>(AM38/AM37)-1</f>
        <v>0.30693069306930698</v>
      </c>
      <c r="AP38">
        <f>AP37+15</f>
        <v>150</v>
      </c>
      <c r="AQ38" s="5">
        <f>AP38-AP37</f>
        <v>15</v>
      </c>
      <c r="AR38">
        <f>AR37+4</f>
        <v>26</v>
      </c>
      <c r="AS38" s="5">
        <f>AR38-AR37</f>
        <v>4</v>
      </c>
      <c r="AT38">
        <f>AT37+0</f>
        <v>7</v>
      </c>
      <c r="AU38" s="3">
        <f>(AT38/AT37)-1</f>
        <v>0</v>
      </c>
      <c r="AW38">
        <f>AW37+8</f>
        <v>111</v>
      </c>
      <c r="AX38" s="5">
        <f>AW38-AW37</f>
        <v>8</v>
      </c>
      <c r="AY38">
        <f>AY37+1</f>
        <v>4</v>
      </c>
      <c r="AZ38" s="5">
        <f>AY38-AY37</f>
        <v>1</v>
      </c>
      <c r="BA38">
        <f>BA37+0</f>
        <v>13</v>
      </c>
      <c r="BB38" s="3">
        <f>(BA38/BA37)-1</f>
        <v>0</v>
      </c>
      <c r="BD38">
        <f>BD37+3</f>
        <v>43</v>
      </c>
      <c r="BE38" s="5">
        <f>BD38-BD37</f>
        <v>3</v>
      </c>
      <c r="BF38">
        <f>BF37+1</f>
        <v>3</v>
      </c>
      <c r="BG38" s="5">
        <f>BF38-BF37</f>
        <v>1</v>
      </c>
      <c r="BH38">
        <f>BH37+0</f>
        <v>1</v>
      </c>
      <c r="BI38" s="3">
        <f>(BH38/BH37)-1</f>
        <v>0</v>
      </c>
      <c r="BK38">
        <f>BK37+20</f>
        <v>85</v>
      </c>
      <c r="BL38" s="5">
        <f>BK38-BK37</f>
        <v>20</v>
      </c>
      <c r="BM38">
        <f>BM37+2</f>
        <v>12</v>
      </c>
      <c r="BN38" s="5">
        <f>BM38-BM37</f>
        <v>2</v>
      </c>
      <c r="BO38">
        <f>BO37+0</f>
        <v>4</v>
      </c>
      <c r="BP38" s="3">
        <f>(BO38/BO37)-1</f>
        <v>0</v>
      </c>
      <c r="BR38">
        <f>BR37+28</f>
        <v>292</v>
      </c>
      <c r="BS38" s="5">
        <f>BR38-BR37</f>
        <v>28</v>
      </c>
      <c r="BV38">
        <f>BV37+3</f>
        <v>3</v>
      </c>
      <c r="BW38" s="3"/>
      <c r="BY38">
        <f>N38+U38+AB38+AI38+AP38+AW38+BD38+BK38+BR38</f>
        <v>7781</v>
      </c>
      <c r="BZ38" s="5">
        <f>BY38-BY37</f>
        <v>875</v>
      </c>
      <c r="CA38">
        <f>P38+W38+AD38+AK38+AR38+AY38+BF38+BM38+BT38</f>
        <v>1308</v>
      </c>
      <c r="CB38" s="3">
        <f>(CA38/CA37)-1</f>
        <v>0.071253071253071232</v>
      </c>
      <c r="CC38">
        <f>R38+Y38+AF38+AM38+AT38+BA38+BH38+BO38+BV38</f>
        <v>277</v>
      </c>
      <c r="CD38" s="3">
        <f>(CC38/CC37)-1</f>
        <v>0.34466019417475735</v>
      </c>
      <c r="CE38" s="3"/>
      <c r="CF38">
        <f>CA38-CA37</f>
        <v>87</v>
      </c>
      <c r="CH38">
        <v>1</v>
      </c>
      <c r="CI38" t="s">
        <v>13</v>
      </c>
      <c r="CJ38" s="8">
        <v>43944</v>
      </c>
      <c r="CK38">
        <v>3</v>
      </c>
      <c r="CL38">
        <v>93</v>
      </c>
      <c r="CM38">
        <v>0</v>
      </c>
      <c r="CN38">
        <v>25</v>
      </c>
      <c r="CW38">
        <v>100</v>
      </c>
      <c r="CX38" t="inlineStr">
        <is>
          <t>7th</t>
        </is>
      </c>
      <c r="DC38" s="9">
        <v>43880</v>
      </c>
      <c r="DD38">
        <v>13</v>
      </c>
      <c r="DE38">
        <f>(DD38/DD37)-1</f>
        <v>0</v>
      </c>
    </row>
    <row r="39" spans="1:206" ht="19.5">
      <c r="C39">
        <f>H38*D39</f>
        <v>999.99999999041893</v>
      </c>
      <c r="D39">
        <v>0.12851818532299999</v>
      </c>
      <c r="E39" t="s">
        <v>16</v>
      </c>
      <c r="F39" s="9">
        <v>43929</v>
      </c>
      <c r="G39" s="2">
        <f>H39*15</f>
        <v>131714.99999894077</v>
      </c>
      <c r="H39">
        <f>H38+C39</f>
        <v>8780.999999929385</v>
      </c>
      <c r="I39">
        <v>8781</v>
      </c>
      <c r="J39">
        <v>429052</v>
      </c>
      <c r="K39">
        <f>N39+U39+AB39+AI39+AP39+AW39+BD39+BK39+BR39</f>
        <v>8781</v>
      </c>
      <c r="L39" s="3">
        <f>(K39/K38)-1</f>
        <v>0.12851818532322334</v>
      </c>
      <c r="N39">
        <f>N38+37</f>
        <v>292</v>
      </c>
      <c r="O39" s="5">
        <f>N39-N38</f>
        <v>37</v>
      </c>
      <c r="P39">
        <f>P38+3</f>
        <v>20</v>
      </c>
      <c r="Q39" s="5">
        <f>P39-P38</f>
        <v>3</v>
      </c>
      <c r="R39">
        <f>R38+3</f>
        <v>12</v>
      </c>
      <c r="S39" s="3">
        <f>(R39/R38)-1</f>
        <v>0.33333333333333326</v>
      </c>
      <c r="U39">
        <f>U38+245</f>
        <v>1290</v>
      </c>
      <c r="V39" s="5">
        <f>U39-U38</f>
        <v>245</v>
      </c>
      <c r="W39">
        <f>W38+8</f>
        <v>251</v>
      </c>
      <c r="X39" s="5">
        <f>W39-W38</f>
        <v>8</v>
      </c>
      <c r="Y39">
        <f>Y38+20</f>
        <v>68</v>
      </c>
      <c r="Z39" s="3">
        <f>(Y39/Y38)-1</f>
        <v>0.41666666666666674</v>
      </c>
      <c r="AB39">
        <f>AB38+281</f>
        <v>1945</v>
      </c>
      <c r="AC39" s="5">
        <f>AB39-AB38</f>
        <v>281</v>
      </c>
      <c r="AD39">
        <f>AD38+38</f>
        <v>428</v>
      </c>
      <c r="AE39" s="5">
        <f>AD39-AD38</f>
        <v>38</v>
      </c>
      <c r="AF39">
        <f>AF38+10</f>
        <v>70</v>
      </c>
      <c r="AG39" s="3">
        <f>(AF39/AF38)-1</f>
        <v>0.16666666666666674</v>
      </c>
      <c r="AI39">
        <f>AI38+281</f>
        <v>4417</v>
      </c>
      <c r="AJ39" s="5">
        <f>AI39-AI38</f>
        <v>281</v>
      </c>
      <c r="AK39">
        <f>AK38+52</f>
        <v>665</v>
      </c>
      <c r="AL39" s="5">
        <f>AK39-AK38</f>
        <v>52</v>
      </c>
      <c r="AM39">
        <f>AM38+23</f>
        <v>155</v>
      </c>
      <c r="AN39" s="3">
        <f>(AM39/AM38)-1</f>
        <v>0.17424242424242431</v>
      </c>
      <c r="AP39">
        <f>AP38+24</f>
        <v>174</v>
      </c>
      <c r="AQ39" s="5">
        <f>AP39-AP38</f>
        <v>24</v>
      </c>
      <c r="AR39">
        <f>AR38+2</f>
        <v>28</v>
      </c>
      <c r="AS39" s="5">
        <f>AR39-AR38</f>
        <v>2</v>
      </c>
      <c r="AT39">
        <f>AT38+2</f>
        <v>9</v>
      </c>
      <c r="AU39" s="3">
        <f>(AT39/AT38)-1</f>
        <v>0.28571428571428581</v>
      </c>
      <c r="AW39">
        <f>AW38+17</f>
        <v>128</v>
      </c>
      <c r="AX39" s="5">
        <f>AW39-AW38</f>
        <v>17</v>
      </c>
      <c r="AY39">
        <f>AY38+3</f>
        <v>7</v>
      </c>
      <c r="AZ39" s="5">
        <f>AY39-AY38</f>
        <v>3</v>
      </c>
      <c r="BA39">
        <f>BA38+0</f>
        <v>13</v>
      </c>
      <c r="BB39" s="3">
        <f>(BA39/BA38)-1</f>
        <v>0</v>
      </c>
      <c r="BD39">
        <f>BD38+6</f>
        <v>49</v>
      </c>
      <c r="BE39" s="5">
        <f>BD39-BD38</f>
        <v>6</v>
      </c>
      <c r="BF39">
        <f>BF38+0</f>
        <v>3</v>
      </c>
      <c r="BG39" s="5">
        <f>BF39-BF38</f>
        <v>0</v>
      </c>
      <c r="BH39">
        <f>BH38+0</f>
        <v>1</v>
      </c>
      <c r="BI39" s="3">
        <f>(BH39/BH38)-1</f>
        <v>0</v>
      </c>
      <c r="BK39">
        <f>BK38+35</f>
        <v>120</v>
      </c>
      <c r="BL39" s="5">
        <f>BK39-BK38</f>
        <v>35</v>
      </c>
      <c r="BM39">
        <f>BM38+4</f>
        <v>16</v>
      </c>
      <c r="BN39" s="5">
        <f>BM39-BM38</f>
        <v>4</v>
      </c>
      <c r="BO39">
        <f>BO38+1</f>
        <v>5</v>
      </c>
      <c r="BP39" s="3">
        <f>(BO39/BO38)-1</f>
        <v>0.25</v>
      </c>
      <c r="BR39">
        <f>BR38+74</f>
        <v>366</v>
      </c>
      <c r="BS39" s="5">
        <f>BR39-BR38</f>
        <v>74</v>
      </c>
      <c r="BV39">
        <f>BV38+-1</f>
        <v>2</v>
      </c>
      <c r="BW39" s="3">
        <f>(BV39/BV38)-1</f>
        <v>-0.33333333333333337</v>
      </c>
      <c r="BY39">
        <f>N39+U39+AB39+AI39+AP39+AW39+BD39+BK39+BR39</f>
        <v>8781</v>
      </c>
      <c r="BZ39" s="5">
        <f>BY39-BY38</f>
        <v>1000</v>
      </c>
      <c r="CA39">
        <f>P39+W39+AD39+AK39+AR39+AY39+BF39+BM39+BT39</f>
        <v>1418</v>
      </c>
      <c r="CB39" s="3">
        <f>(CA39/CA38)-1</f>
        <v>0.084097859327217028</v>
      </c>
      <c r="CC39">
        <f>R39+Y39+AF39+AM39+AT39+BA39+BH39+BO39+BV39</f>
        <v>335</v>
      </c>
      <c r="CD39" s="3">
        <f>(CC39/CC38)-1</f>
        <v>0.20938628158844774</v>
      </c>
      <c r="CE39" s="3"/>
      <c r="CF39">
        <f>CA39-CA38</f>
        <v>110</v>
      </c>
      <c r="CH39">
        <v>1</v>
      </c>
      <c r="CI39" t="s">
        <v>13</v>
      </c>
      <c r="CJ39" s="8">
        <v>43945</v>
      </c>
      <c r="CK39">
        <v>5</v>
      </c>
      <c r="CL39">
        <v>155</v>
      </c>
      <c r="CM39">
        <v>0</v>
      </c>
      <c r="CN39">
        <v>26</v>
      </c>
      <c r="CW39">
        <v>55</v>
      </c>
      <c r="CX39">
        <v>22</v>
      </c>
      <c r="DC39" s="9">
        <v>43881</v>
      </c>
      <c r="DD39">
        <v>13</v>
      </c>
      <c r="DE39">
        <f>(DD39/DD38)-1</f>
        <v>0</v>
      </c>
    </row>
    <row r="40" spans="1:206" ht="19.5">
      <c r="C40">
        <f>H39*D40</f>
        <v>1003.000000034434</v>
      </c>
      <c r="D40">
        <v>0.11422389249999999</v>
      </c>
      <c r="E40" t="s">
        <v>17</v>
      </c>
      <c r="F40" s="9">
        <v>43930</v>
      </c>
      <c r="G40" s="2">
        <f>H40*15</f>
        <v>146759.99999945727</v>
      </c>
      <c r="H40">
        <f>H39+C40</f>
        <v>9783.9999999638185</v>
      </c>
      <c r="I40">
        <v>9784</v>
      </c>
      <c r="J40">
        <v>461437</v>
      </c>
      <c r="K40">
        <f>N40+U40+AB40+AI40+AP40+AW40+BD40+BK40+BR40</f>
        <v>9784</v>
      </c>
      <c r="L40" s="3">
        <f>(K40/K39)-1</f>
        <v>0.11422389249515996</v>
      </c>
      <c r="N40">
        <f>N39+23</f>
        <v>315</v>
      </c>
      <c r="O40" s="5">
        <f>N40-N39</f>
        <v>23</v>
      </c>
      <c r="P40">
        <f>P39+5</f>
        <v>25</v>
      </c>
      <c r="Q40" s="5">
        <f>P40-P39</f>
        <v>5</v>
      </c>
      <c r="R40">
        <f>R39+1</f>
        <v>13</v>
      </c>
      <c r="S40" s="3">
        <f>(R40/R39)-1</f>
        <v>0.083333333333333259</v>
      </c>
      <c r="U40">
        <f>U39+181</f>
        <v>1471</v>
      </c>
      <c r="V40" s="5">
        <f>U40-U39</f>
        <v>181</v>
      </c>
      <c r="W40">
        <f>W39+25</f>
        <v>276</v>
      </c>
      <c r="X40" s="5">
        <f>W40-W39</f>
        <v>25</v>
      </c>
      <c r="Y40">
        <f>Y39+7</f>
        <v>75</v>
      </c>
      <c r="Z40" s="3">
        <f>(Y40/Y39)-1</f>
        <v>0.10294117647058831</v>
      </c>
      <c r="AB40">
        <f>AB39+238</f>
        <v>2183</v>
      </c>
      <c r="AC40" s="5">
        <f>AB40-AB39</f>
        <v>238</v>
      </c>
      <c r="AD40">
        <f>AD39+19</f>
        <v>447</v>
      </c>
      <c r="AE40" s="5">
        <f>AD40-AD39</f>
        <v>19</v>
      </c>
      <c r="AF40">
        <f>AF39+8</f>
        <v>78</v>
      </c>
      <c r="AG40" s="3">
        <f>(AF40/AF39)-1</f>
        <v>0.11428571428571432</v>
      </c>
      <c r="AI40">
        <f>AI39+465</f>
        <v>4882</v>
      </c>
      <c r="AJ40" s="5">
        <f>AI40-AI39</f>
        <v>465</v>
      </c>
      <c r="AK40">
        <f>AK39+-1</f>
        <v>664</v>
      </c>
      <c r="AL40" s="5">
        <f>AK40-AK39</f>
        <v>-1</v>
      </c>
      <c r="AM40">
        <f>AM39+23</f>
        <v>178</v>
      </c>
      <c r="AN40" s="3">
        <f>(AM40/AM39)-1</f>
        <v>0.14838709677419359</v>
      </c>
      <c r="AP40">
        <f>AP39+31</f>
        <v>205</v>
      </c>
      <c r="AQ40" s="5">
        <f>AP40-AP39</f>
        <v>31</v>
      </c>
      <c r="AR40">
        <f>AR39+-2</f>
        <v>26</v>
      </c>
      <c r="AS40" s="5">
        <f>AR40-AR39</f>
        <v>-2</v>
      </c>
      <c r="AT40">
        <f>AT39+5</f>
        <v>14</v>
      </c>
      <c r="AU40" s="3">
        <f>(AT40/AT39)-1</f>
        <v>0.55555555555555558</v>
      </c>
      <c r="AW40">
        <f>AW39+17</f>
        <v>145</v>
      </c>
      <c r="AX40" s="5">
        <f>AW40-AW39</f>
        <v>17</v>
      </c>
      <c r="AY40">
        <f>AY39+0</f>
        <v>7</v>
      </c>
      <c r="AZ40" s="5">
        <f>AY40-AY39</f>
        <v>0</v>
      </c>
      <c r="BA40">
        <f>BA39+0</f>
        <v>13</v>
      </c>
      <c r="BB40" s="3">
        <f>(BA40/BA39)-1</f>
        <v>0</v>
      </c>
      <c r="BD40">
        <f>BD39+3</f>
        <v>52</v>
      </c>
      <c r="BE40" s="5">
        <f>BD40-BD39</f>
        <v>3</v>
      </c>
      <c r="BF40">
        <f>BF39+1</f>
        <v>4</v>
      </c>
      <c r="BG40" s="5">
        <f>BF40-BF39</f>
        <v>1</v>
      </c>
      <c r="BH40">
        <f>BH39+0</f>
        <v>1</v>
      </c>
      <c r="BI40" s="3">
        <f>(BH40/BH39)-1</f>
        <v>0</v>
      </c>
      <c r="BK40">
        <f>BK39+19</f>
        <v>139</v>
      </c>
      <c r="BL40" s="5">
        <f>BK40-BK39</f>
        <v>19</v>
      </c>
      <c r="BM40">
        <f>BM39+-1</f>
        <v>15</v>
      </c>
      <c r="BN40" s="5">
        <f>BM40-BM39</f>
        <v>-1</v>
      </c>
      <c r="BO40">
        <f>BO39+1</f>
        <v>6</v>
      </c>
      <c r="BP40" s="3">
        <f>(BO40/BO39)-1</f>
        <v>0.19999999999999996</v>
      </c>
      <c r="BR40">
        <f>BR39+26</f>
        <v>392</v>
      </c>
      <c r="BS40" s="5">
        <f>BR40-BR39</f>
        <v>26</v>
      </c>
      <c r="BV40">
        <f>BV39+0</f>
        <v>2</v>
      </c>
      <c r="BW40" s="3">
        <f>(BV40/BV39)-1</f>
        <v>0</v>
      </c>
      <c r="BY40">
        <f>N40+U40+AB40+AI40+AP40+AW40+BD40+BK40+BR40</f>
        <v>9784</v>
      </c>
      <c r="BZ40" s="5">
        <f>BY40-BY39</f>
        <v>1003</v>
      </c>
      <c r="CA40">
        <f>P40+W40+AD40+AK40+AR40+AY40+BF40+BM40+BT40</f>
        <v>1464</v>
      </c>
      <c r="CB40" s="3">
        <f>(CA40/CA39)-1</f>
        <v>0.032440056417489371</v>
      </c>
      <c r="CC40">
        <f>R40+Y40+AF40+AM40+AT40+BA40+BH40+BO40+BV40</f>
        <v>380</v>
      </c>
      <c r="CD40" s="3">
        <f>(CC40/CC39)-1</f>
        <v>0.13432835820895517</v>
      </c>
      <c r="CE40" s="3"/>
      <c r="CF40">
        <f>CA40-CA39</f>
        <v>46</v>
      </c>
      <c r="CH40">
        <v>1</v>
      </c>
      <c r="CI40" t="s">
        <v>13</v>
      </c>
      <c r="CJ40" s="8">
        <v>43946</v>
      </c>
      <c r="CK40">
        <v>5</v>
      </c>
      <c r="CL40">
        <v>155</v>
      </c>
      <c r="CM40">
        <v>0</v>
      </c>
      <c r="CN40">
        <v>27</v>
      </c>
      <c r="CW40">
        <v>100</v>
      </c>
      <c r="CX40" t="inlineStr">
        <is>
          <t>9th</t>
        </is>
      </c>
      <c r="DC40" s="9">
        <v>43882</v>
      </c>
      <c r="DD40">
        <v>15</v>
      </c>
      <c r="DE40">
        <f>(DD40/DD39)-1</f>
        <v>0.15384615384615374</v>
      </c>
    </row>
    <row r="41" spans="1:206" ht="19.5">
      <c r="C41">
        <f>H40*D41</f>
        <v>753.99999999757006</v>
      </c>
      <c r="D41">
        <v>0.077064595257599997</v>
      </c>
      <c r="E41" t="s">
        <v>18</v>
      </c>
      <c r="F41" s="9">
        <v>43931</v>
      </c>
      <c r="G41" s="2">
        <f>H41*15</f>
        <v>158069.99999942083</v>
      </c>
      <c r="H41">
        <f>H40+C41</f>
        <v>10537.999999961388</v>
      </c>
      <c r="I41">
        <v>10538</v>
      </c>
      <c r="J41">
        <v>496535</v>
      </c>
      <c r="K41">
        <f>N41+U41+AB41+AI41+AP41+AW41+BD41+BK41+BR41</f>
        <v>10538</v>
      </c>
      <c r="L41" s="3">
        <f>(K41/K40)-1</f>
        <v>0.077064595257563262</v>
      </c>
      <c r="N41">
        <f>N40+31</f>
        <v>346</v>
      </c>
      <c r="O41" s="5">
        <f>N41-N40</f>
        <v>31</v>
      </c>
      <c r="P41">
        <f>P40+7</f>
        <v>32</v>
      </c>
      <c r="Q41" s="5">
        <f>P41-P40</f>
        <v>7</v>
      </c>
      <c r="R41">
        <f>R40+3</f>
        <v>16</v>
      </c>
      <c r="S41" s="3">
        <f>(R41/R40)-1</f>
        <v>0.23076923076923084</v>
      </c>
      <c r="U41">
        <f>U40+144</f>
        <v>1615</v>
      </c>
      <c r="V41" s="5">
        <f>U41-U40</f>
        <v>144</v>
      </c>
      <c r="W41">
        <f>W40+20</f>
        <v>296</v>
      </c>
      <c r="X41" s="5">
        <f>W41-W40</f>
        <v>20</v>
      </c>
      <c r="Y41">
        <f>Y40+13</f>
        <v>88</v>
      </c>
      <c r="Z41" s="3">
        <f>(Y41/Y40)-1</f>
        <v>0.17333333333333334</v>
      </c>
      <c r="AB41">
        <f>AB40+200</f>
        <v>2383</v>
      </c>
      <c r="AC41" s="5">
        <f>AB41-AB40</f>
        <v>200</v>
      </c>
      <c r="AD41">
        <f>AD40+46</f>
        <v>493</v>
      </c>
      <c r="AE41" s="5">
        <f>AD41-AD40</f>
        <v>46</v>
      </c>
      <c r="AF41">
        <f>AF40+20</f>
        <v>98</v>
      </c>
      <c r="AG41" s="3">
        <f>(AF41/AF40)-1</f>
        <v>0.25641025641025639</v>
      </c>
      <c r="AI41">
        <f>AI40+298</f>
        <v>5180</v>
      </c>
      <c r="AJ41" s="5">
        <f>AI41-AI40</f>
        <v>298</v>
      </c>
      <c r="AK41">
        <f>AK40+21</f>
        <v>685</v>
      </c>
      <c r="AL41" s="5">
        <f>AK41-AK40</f>
        <v>21</v>
      </c>
      <c r="AM41">
        <f>AM40+25</f>
        <v>203</v>
      </c>
      <c r="AN41" s="3">
        <f>(AM41/AM40)-1</f>
        <v>0.1404494382022472</v>
      </c>
      <c r="AP41">
        <f>AP40+35</f>
        <v>240</v>
      </c>
      <c r="AQ41" s="5">
        <f>AP41-AP40</f>
        <v>35</v>
      </c>
      <c r="AR41">
        <f>AR40+2</f>
        <v>28</v>
      </c>
      <c r="AS41" s="5">
        <f>AR41-AR40</f>
        <v>2</v>
      </c>
      <c r="AT41">
        <f>AT40+3</f>
        <v>17</v>
      </c>
      <c r="AU41" s="3">
        <f>(AT41/AT40)-1</f>
        <v>0.21428571428571419</v>
      </c>
      <c r="AW41">
        <f>AW40+7</f>
        <v>152</v>
      </c>
      <c r="AX41" s="5">
        <f>AW41-AW40</f>
        <v>7</v>
      </c>
      <c r="AY41">
        <f>AY40+-1</f>
        <v>6</v>
      </c>
      <c r="AZ41" s="5">
        <f>AY41-AY40</f>
        <v>-1</v>
      </c>
      <c r="BA41">
        <f>BA40+1</f>
        <v>14</v>
      </c>
      <c r="BB41" s="3">
        <f>(BA41/BA40)-1</f>
        <v>0.076923076923076872</v>
      </c>
      <c r="BD41">
        <f>BD40+7</f>
        <v>59</v>
      </c>
      <c r="BE41" s="5">
        <f>BD41-BD40</f>
        <v>7</v>
      </c>
      <c r="BF41">
        <f>BF40+1</f>
        <v>5</v>
      </c>
      <c r="BG41" s="5">
        <f>BF41-BF40</f>
        <v>1</v>
      </c>
      <c r="BH41">
        <f>BH40+0</f>
        <v>1</v>
      </c>
      <c r="BI41" s="3">
        <f>(BH41/BH40)-1</f>
        <v>0</v>
      </c>
      <c r="BK41">
        <f>BK40+17</f>
        <v>156</v>
      </c>
      <c r="BL41" s="5">
        <f>BK41-BK40</f>
        <v>17</v>
      </c>
      <c r="BM41">
        <f>BM40+2</f>
        <v>17</v>
      </c>
      <c r="BN41" s="5">
        <f>BM41-BM40</f>
        <v>2</v>
      </c>
      <c r="BO41">
        <f>BO40+1</f>
        <v>7</v>
      </c>
      <c r="BP41" s="3">
        <f>(BO41/BO40)-1</f>
        <v>0.16666666666666674</v>
      </c>
      <c r="BR41">
        <f>BR40+15</f>
        <v>407</v>
      </c>
      <c r="BS41" s="5">
        <f>BR41-BR40</f>
        <v>15</v>
      </c>
      <c r="BV41">
        <f>BV40+2</f>
        <v>4</v>
      </c>
      <c r="BW41" s="3">
        <f>(BV41/BV40)-1</f>
        <v>1</v>
      </c>
      <c r="BY41">
        <f>N41+U41+AB41+AI41+AP41+AW41+BD41+BK41+BR41</f>
        <v>10538</v>
      </c>
      <c r="BZ41" s="5">
        <f>BY41-BY40</f>
        <v>754</v>
      </c>
      <c r="CA41">
        <f>P41+W41+AD41+AK41+AR41+AY41+BF41+BM41+BT41</f>
        <v>1562</v>
      </c>
      <c r="CB41" s="3">
        <f>(CA41/CA40)-1</f>
        <v>0.066939890710382421</v>
      </c>
      <c r="CC41">
        <f>R41+Y41+AF41+AM41+AT41+BA41+BH41+BO41+BV41</f>
        <v>448</v>
      </c>
      <c r="CD41" s="3">
        <f>(CC41/CC40)-1</f>
        <v>0.17894736842105252</v>
      </c>
      <c r="CE41" s="3"/>
      <c r="CF41">
        <f>CA41-CA40</f>
        <v>98</v>
      </c>
      <c r="CH41">
        <v>1</v>
      </c>
      <c r="CI41" t="s">
        <v>13</v>
      </c>
      <c r="CJ41" s="8">
        <v>43947</v>
      </c>
      <c r="CK41">
        <v>6</v>
      </c>
      <c r="CL41">
        <v>186</v>
      </c>
      <c r="CM41">
        <v>0</v>
      </c>
      <c r="CN41">
        <v>28</v>
      </c>
      <c r="CW41">
        <v>100</v>
      </c>
      <c r="CX41" t="s">
        <v>20</v>
      </c>
      <c r="DC41" s="9">
        <v>43883</v>
      </c>
      <c r="DD41">
        <v>15</v>
      </c>
      <c r="DE41">
        <f>(DD41/DD40)-1</f>
        <v>0</v>
      </c>
    </row>
    <row r="42" spans="1:206" ht="19.5">
      <c r="C42">
        <f>H41*D42</f>
        <v>971.99999999678664</v>
      </c>
      <c r="D42">
        <f>0.092237616246000007</f>
        <v>0.092237616246000007</v>
      </c>
      <c r="E42" t="s">
        <v>19</v>
      </c>
      <c r="F42" s="9">
        <v>43932</v>
      </c>
      <c r="G42" s="2">
        <f>H42*15</f>
        <v>172649.99999937261</v>
      </c>
      <c r="H42">
        <f>H41+C42</f>
        <v>11509.999999958174</v>
      </c>
      <c r="I42">
        <v>11510</v>
      </c>
      <c r="J42">
        <v>526396</v>
      </c>
      <c r="K42">
        <f>N42+U42+AB42+AI42+AP42+AW42+BD42+BK42+BR42</f>
        <v>11510</v>
      </c>
      <c r="L42" s="3">
        <f>(K42/K41)-1</f>
        <v>0.092237616245967047</v>
      </c>
      <c r="N42">
        <f>N41+42</f>
        <v>388</v>
      </c>
      <c r="O42" s="5">
        <f>N42-N41</f>
        <v>42</v>
      </c>
      <c r="P42">
        <f>P41+6</f>
        <v>38</v>
      </c>
      <c r="Q42" s="5">
        <f>P42-P41</f>
        <v>6</v>
      </c>
      <c r="R42">
        <f>R41+4</f>
        <v>20</v>
      </c>
      <c r="S42" s="3">
        <f>(R42/R41)-1</f>
        <v>0.25</v>
      </c>
      <c r="U42">
        <f>U41+217</f>
        <v>1832</v>
      </c>
      <c r="V42" s="5">
        <f>U42-U41</f>
        <v>217</v>
      </c>
      <c r="W42">
        <f>W41+15</f>
        <v>311</v>
      </c>
      <c r="X42" s="5">
        <f>W42-W41</f>
        <v>15</v>
      </c>
      <c r="Y42">
        <f>Y41+13</f>
        <v>101</v>
      </c>
      <c r="Z42" s="3">
        <f>(Y42/Y41)-1</f>
        <v>0.14772727272727271</v>
      </c>
      <c r="AB42">
        <f>AB41+332</f>
        <v>2715</v>
      </c>
      <c r="AC42" s="5">
        <f>AB42-AB41</f>
        <v>332</v>
      </c>
      <c r="AD42">
        <f>AD41+21</f>
        <v>514</v>
      </c>
      <c r="AE42" s="5">
        <f>AD42-AD41</f>
        <v>21</v>
      </c>
      <c r="AF42">
        <f>AF41+9</f>
        <v>107</v>
      </c>
      <c r="AG42" s="3">
        <f>(AF42/AF41)-1</f>
        <v>0.091836734693877542</v>
      </c>
      <c r="AI42">
        <f>AI41+227</f>
        <v>5407</v>
      </c>
      <c r="AJ42" s="5">
        <f>AI42-AI41</f>
        <v>227</v>
      </c>
      <c r="AK42">
        <f>AK41+-9</f>
        <v>676</v>
      </c>
      <c r="AL42" s="5">
        <f>AK42-AK41</f>
        <v>-9</v>
      </c>
      <c r="AM42">
        <f>AM41+17</f>
        <v>220</v>
      </c>
      <c r="AN42" s="3">
        <f>(AM42/AM41)-1</f>
        <v>0.083743842364532028</v>
      </c>
      <c r="AP42">
        <f>AP41+50</f>
        <v>290</v>
      </c>
      <c r="AQ42" s="5">
        <f>AP42-AP41</f>
        <v>50</v>
      </c>
      <c r="AR42">
        <f>AR41+-1</f>
        <v>27</v>
      </c>
      <c r="AS42" s="5">
        <f>AR42-AR41</f>
        <v>-1</v>
      </c>
      <c r="AT42">
        <f>AT41+1</f>
        <v>18</v>
      </c>
      <c r="AU42" s="3">
        <f>(AT42/AT41)-1</f>
        <v>0.058823529411764719</v>
      </c>
      <c r="AW42">
        <f>AW41+19</f>
        <v>171</v>
      </c>
      <c r="AX42" s="5">
        <f>AW42-AW41</f>
        <v>19</v>
      </c>
      <c r="AY42">
        <f>AY41+1</f>
        <v>7</v>
      </c>
      <c r="AZ42" s="5">
        <f>AY42-AY41</f>
        <v>1</v>
      </c>
      <c r="BA42">
        <f>BA41+1</f>
        <v>15</v>
      </c>
      <c r="BB42" s="3">
        <f>(BA42/BA41)-1</f>
        <v>0.071428571428571397</v>
      </c>
      <c r="BD42">
        <f>BD41+7</f>
        <v>66</v>
      </c>
      <c r="BE42" s="5">
        <f>BD42-BD41</f>
        <v>7</v>
      </c>
      <c r="BF42">
        <f>BF41+-1</f>
        <v>4</v>
      </c>
      <c r="BG42" s="5">
        <f>BF42-BF41</f>
        <v>-1</v>
      </c>
      <c r="BH42">
        <f>BH41+0</f>
        <v>1</v>
      </c>
      <c r="BI42" s="3">
        <f>(BH42/BH41)-1</f>
        <v>0</v>
      </c>
      <c r="BK42">
        <f>BK41+29</f>
        <v>185</v>
      </c>
      <c r="BL42" s="5">
        <f>BK42-BK41</f>
        <v>29</v>
      </c>
      <c r="BM42">
        <f>BM41+-1</f>
        <v>16</v>
      </c>
      <c r="BN42" s="5">
        <f>BM42-BM41</f>
        <v>-1</v>
      </c>
      <c r="BO42">
        <f>BO41+0</f>
        <v>7</v>
      </c>
      <c r="BP42" s="3">
        <f>(BO42/BO41)-1</f>
        <v>0</v>
      </c>
      <c r="BR42">
        <f>BR41+49</f>
        <v>456</v>
      </c>
      <c r="BS42" s="5">
        <f>BR42-BR41</f>
        <v>49</v>
      </c>
      <c r="BV42">
        <f>BV41+1</f>
        <v>5</v>
      </c>
      <c r="BW42" s="3">
        <f>(BV42/BV41)-1</f>
        <v>0.25</v>
      </c>
      <c r="BY42">
        <f>N42+U42+AB42+AI42+AP42+AW42+BD42+BK42+BR42</f>
        <v>11510</v>
      </c>
      <c r="BZ42" s="5">
        <f>BY42-BY41</f>
        <v>972</v>
      </c>
      <c r="CA42">
        <f>P42+W42+AD42+AK42+AR42+AY42+BF42+BM42+BT42</f>
        <v>1593</v>
      </c>
      <c r="CB42" s="3">
        <f>(CA42/CA41)-1</f>
        <v>0.01984635083226638</v>
      </c>
      <c r="CC42">
        <f>R42+Y42+AF42+AM42+AT42+BA42+BH42+BO42+BV42</f>
        <v>494</v>
      </c>
      <c r="CD42" s="3">
        <f>(CC42/CC41)-1</f>
        <v>0.1026785714285714</v>
      </c>
      <c r="CE42" s="3"/>
      <c r="CF42">
        <f>CA42-CA41</f>
        <v>31</v>
      </c>
      <c r="CH42">
        <v>1</v>
      </c>
      <c r="CI42" t="s">
        <v>13</v>
      </c>
      <c r="CJ42" s="8">
        <v>43948</v>
      </c>
      <c r="CK42">
        <v>6</v>
      </c>
      <c r="CL42">
        <v>186</v>
      </c>
      <c r="CM42">
        <v>0</v>
      </c>
      <c r="CN42">
        <v>29</v>
      </c>
      <c r="CW42">
        <v>100</v>
      </c>
      <c r="CX42" t="s">
        <v>21</v>
      </c>
      <c r="DC42" s="9">
        <v>43884</v>
      </c>
      <c r="DD42">
        <v>15</v>
      </c>
      <c r="DE42">
        <f>(DD42/DD41)-1</f>
        <v>0</v>
      </c>
    </row>
    <row r="43" spans="1:206" ht="19.5">
      <c r="C43">
        <f>H42*D43</f>
        <v>524.99999999669217</v>
      </c>
      <c r="D43">
        <f>0.045612510859999997</f>
        <v>0.045612510859999997</v>
      </c>
      <c r="E43" t="s">
        <v>12</v>
      </c>
      <c r="F43" s="9">
        <v>43933</v>
      </c>
      <c r="G43" s="2">
        <f>H43*15</f>
        <v>180524.99999932302</v>
      </c>
      <c r="H43">
        <f>H42+C43</f>
        <v>12034.999999954867</v>
      </c>
      <c r="I43">
        <v>12035</v>
      </c>
      <c r="J43">
        <v>555313</v>
      </c>
      <c r="K43">
        <f>N43+U43+AB43+AI43+AP43+AW43+BD43+BK43+BR43</f>
        <v>12035</v>
      </c>
      <c r="L43" s="3">
        <f>(K43/K42)-1</f>
        <v>0.045612510860121525</v>
      </c>
      <c r="N43">
        <f>N42+15</f>
        <v>403</v>
      </c>
      <c r="O43" s="5">
        <f>N43-N42</f>
        <v>15</v>
      </c>
      <c r="P43">
        <f>P42+1</f>
        <v>39</v>
      </c>
      <c r="Q43" s="5">
        <f>P43-P42</f>
        <v>1</v>
      </c>
      <c r="R43">
        <f>R42+4</f>
        <v>24</v>
      </c>
      <c r="S43" s="3">
        <f>(R43/R42)-1</f>
        <v>0.19999999999999996</v>
      </c>
      <c r="U43">
        <f>U42+82</f>
        <v>1914</v>
      </c>
      <c r="V43" s="5">
        <f>U43-U42</f>
        <v>82</v>
      </c>
      <c r="W43">
        <f>W42+22</f>
        <v>333</v>
      </c>
      <c r="X43" s="5">
        <f>W43-W42</f>
        <v>22</v>
      </c>
      <c r="Y43">
        <f>Y42+15</f>
        <v>116</v>
      </c>
      <c r="Z43" s="3">
        <f>(Y43/Y42)-1</f>
        <v>0.14851485148514842</v>
      </c>
      <c r="AB43">
        <f>AB42+231</f>
        <v>2946</v>
      </c>
      <c r="AC43" s="5">
        <f>AB43-AB42</f>
        <v>231</v>
      </c>
      <c r="AD43">
        <f>AD42+21</f>
        <v>535</v>
      </c>
      <c r="AE43" s="5">
        <f>AD43-AD42</f>
        <v>21</v>
      </c>
      <c r="AF43">
        <f>AF42+12</f>
        <v>119</v>
      </c>
      <c r="AG43" s="3">
        <f>(AF43/AF42)-1</f>
        <v>0.11214953271028039</v>
      </c>
      <c r="AI43">
        <f>AI42+127</f>
        <v>5534</v>
      </c>
      <c r="AJ43" s="5">
        <f>AI43-AI42</f>
        <v>127</v>
      </c>
      <c r="AK43">
        <f>AK42+12</f>
        <v>688</v>
      </c>
      <c r="AL43" s="5">
        <f>AK43-AK42</f>
        <v>12</v>
      </c>
      <c r="AM43">
        <f>AM42+28</f>
        <v>248</v>
      </c>
      <c r="AN43" s="3">
        <f>(AM43/AM42)-1</f>
        <v>0.1272727272727272</v>
      </c>
      <c r="AP43">
        <f>AP42+9</f>
        <v>299</v>
      </c>
      <c r="AQ43" s="5">
        <f>AP43-AP42</f>
        <v>9</v>
      </c>
      <c r="AR43">
        <f>AR42+5</f>
        <v>32</v>
      </c>
      <c r="AS43" s="5">
        <f>AR43-AR42</f>
        <v>5</v>
      </c>
      <c r="AT43">
        <f>AT42+0</f>
        <v>18</v>
      </c>
      <c r="AU43" s="3">
        <f>(AT43/AT42)-1</f>
        <v>0</v>
      </c>
      <c r="AW43">
        <f>AW42+11</f>
        <v>182</v>
      </c>
      <c r="AX43" s="5">
        <f>AW43-AW42</f>
        <v>11</v>
      </c>
      <c r="AY43">
        <f>AY42+0</f>
        <v>7</v>
      </c>
      <c r="AZ43" s="5">
        <f>AY43-AY42</f>
        <v>0</v>
      </c>
      <c r="BA43">
        <f>BA42+2</f>
        <v>17</v>
      </c>
      <c r="BB43" s="3">
        <f>(BA43/BA42)-1</f>
        <v>0.1333333333333333</v>
      </c>
      <c r="BD43">
        <f>BD42+0</f>
        <v>66</v>
      </c>
      <c r="BE43" s="5">
        <f>BD43-BD42</f>
        <v>0</v>
      </c>
      <c r="BF43">
        <f>BF42+0</f>
        <v>4</v>
      </c>
      <c r="BG43" s="5">
        <f>BF43-BF42</f>
        <v>0</v>
      </c>
      <c r="BH43">
        <f>BH42+0</f>
        <v>1</v>
      </c>
      <c r="BI43" s="3">
        <f>(BH43/BH42)-1</f>
        <v>0</v>
      </c>
      <c r="BK43">
        <f>BK42+5</f>
        <v>190</v>
      </c>
      <c r="BL43" s="5">
        <f>BK43-BK42</f>
        <v>5</v>
      </c>
      <c r="BM43">
        <f>BM42+0</f>
        <v>16</v>
      </c>
      <c r="BN43" s="5">
        <f>BM43-BM42</f>
        <v>0</v>
      </c>
      <c r="BO43">
        <f>BO42+0</f>
        <v>7</v>
      </c>
      <c r="BP43" s="3">
        <f>(BO43/BO42)-1</f>
        <v>0</v>
      </c>
      <c r="BR43">
        <f>BR42+45</f>
        <v>501</v>
      </c>
      <c r="BS43" s="5">
        <f>BR43-BR42</f>
        <v>45</v>
      </c>
      <c r="BV43">
        <f>BV42+-1</f>
        <v>4</v>
      </c>
      <c r="BW43" s="3">
        <f>(BV43/BV42)-1</f>
        <v>-0.19999999999999996</v>
      </c>
      <c r="BY43">
        <f>N43+U43+AB43+AI43+AP43+AW43+BD43+BK43+BR43</f>
        <v>12035</v>
      </c>
      <c r="BZ43" s="5">
        <f>BY43-BY42</f>
        <v>525</v>
      </c>
      <c r="CA43">
        <f>P43+W43+AD43+AK43+AR43+AY43+BF43+BM43+BT43</f>
        <v>1654</v>
      </c>
      <c r="CB43" s="3">
        <f>(CA43/CA42)-1</f>
        <v>0.038292529817953502</v>
      </c>
      <c r="CC43">
        <f>R43+Y43+AF43+AM43+AT43+BA43+BH43+BO43+BV43</f>
        <v>554</v>
      </c>
      <c r="CD43" s="3">
        <f>(CC43/CC42)-1</f>
        <v>0.12145748987854255</v>
      </c>
      <c r="CE43" s="3"/>
      <c r="CF43">
        <f>CA43-CA42</f>
        <v>61</v>
      </c>
      <c r="CH43">
        <v>1</v>
      </c>
      <c r="CI43" t="s">
        <v>13</v>
      </c>
      <c r="CJ43" s="8">
        <v>43949</v>
      </c>
      <c r="CK43">
        <v>6</v>
      </c>
      <c r="CL43">
        <v>186</v>
      </c>
      <c r="CM43">
        <v>0</v>
      </c>
      <c r="CN43">
        <v>30</v>
      </c>
      <c r="CW43">
        <v>33</v>
      </c>
      <c r="CX43">
        <v>55</v>
      </c>
      <c r="DC43" s="9">
        <v>43885</v>
      </c>
      <c r="DD43">
        <v>51</v>
      </c>
      <c r="DE43">
        <f>(DD43/DD42)-1</f>
        <v>2.3999999999999999</v>
      </c>
    </row>
    <row r="44" spans="1:206" ht="19.5">
      <c r="C44">
        <f>H43*D44</f>
        <v>1346.0000000008024</v>
      </c>
      <c r="D44">
        <f>0.11184046531</f>
        <v>0.11184046531</v>
      </c>
      <c r="E44" t="s">
        <v>14</v>
      </c>
      <c r="F44" s="9">
        <v>43934</v>
      </c>
      <c r="G44" s="2">
        <f>H44*15</f>
        <v>200714.99999933504</v>
      </c>
      <c r="H44">
        <f>H43+C44</f>
        <v>13380.999999955669</v>
      </c>
      <c r="I44">
        <v>13381</v>
      </c>
      <c r="J44">
        <v>580619</v>
      </c>
      <c r="K44">
        <f>N44+U44+AB44+AI44+AP44+AW44+BD44+BK44+BR44</f>
        <v>13381</v>
      </c>
      <c r="L44" s="3">
        <f>(K44/K43)-1</f>
        <v>0.11184046530951397</v>
      </c>
      <c r="N44">
        <f>N43+43</f>
        <v>446</v>
      </c>
      <c r="O44" s="5">
        <f>N44-N43</f>
        <v>43</v>
      </c>
      <c r="P44">
        <f>P43+-2</f>
        <v>37</v>
      </c>
      <c r="Q44" s="5">
        <f>P44-P43</f>
        <v>-2</v>
      </c>
      <c r="R44">
        <f>R43+0</f>
        <v>24</v>
      </c>
      <c r="S44" s="3">
        <f>(R44/R43)-1</f>
        <v>0</v>
      </c>
      <c r="U44">
        <f>U43+329</f>
        <v>2243</v>
      </c>
      <c r="V44" s="5">
        <f>U44-U43</f>
        <v>329</v>
      </c>
      <c r="W44">
        <f>W43+28</f>
        <v>361</v>
      </c>
      <c r="X44" s="5">
        <f>W44-W43</f>
        <v>28</v>
      </c>
      <c r="Y44">
        <f>Y43+17</f>
        <v>133</v>
      </c>
      <c r="Z44" s="3">
        <f>(Y44/Y43)-1</f>
        <v>0.14655172413793105</v>
      </c>
      <c r="AB44">
        <f>AB43+412</f>
        <v>3358</v>
      </c>
      <c r="AC44" s="5">
        <f>AB44-AB43</f>
        <v>412</v>
      </c>
      <c r="AD44">
        <f>AD43+45</f>
        <v>580</v>
      </c>
      <c r="AE44" s="5">
        <f>AD44-AD43</f>
        <v>45</v>
      </c>
      <c r="AF44">
        <f>AF43+16</f>
        <v>135</v>
      </c>
      <c r="AG44" s="3">
        <f>(AF44/AF43)-1</f>
        <v>0.13445378151260501</v>
      </c>
      <c r="AI44">
        <f>AI43+470</f>
        <v>6004</v>
      </c>
      <c r="AJ44" s="5">
        <f>AI44-AI43</f>
        <v>470</v>
      </c>
      <c r="AK44">
        <f>AK43+22</f>
        <v>710</v>
      </c>
      <c r="AL44" s="5">
        <f>AK44-AK43</f>
        <v>22</v>
      </c>
      <c r="AM44">
        <f>AM43+14</f>
        <v>262</v>
      </c>
      <c r="AN44" s="3">
        <f>(AM44/AM43)-1</f>
        <v>0.056451612903225756</v>
      </c>
      <c r="AP44">
        <f>AP43+40</f>
        <v>339</v>
      </c>
      <c r="AQ44" s="5">
        <f>AP44-AP43</f>
        <v>40</v>
      </c>
      <c r="AR44">
        <f>AR43+3</f>
        <v>35</v>
      </c>
      <c r="AS44" s="5">
        <f>AR44-AR43</f>
        <v>3</v>
      </c>
      <c r="AT44">
        <f>AT43+1</f>
        <v>19</v>
      </c>
      <c r="AU44" s="3">
        <f>(AT44/AT43)-1</f>
        <v>0.05555555555555558</v>
      </c>
      <c r="AW44">
        <f>AW43+13</f>
        <v>195</v>
      </c>
      <c r="AX44" s="5">
        <f>AW44-AW43</f>
        <v>13</v>
      </c>
      <c r="AY44">
        <f>AY43+6</f>
        <v>13</v>
      </c>
      <c r="AZ44" s="5">
        <f>AY44-AY43</f>
        <v>6</v>
      </c>
      <c r="BA44">
        <f>BA43+0</f>
        <v>17</v>
      </c>
      <c r="BB44" s="3">
        <f>(BA44/BA43)-1</f>
        <v>0</v>
      </c>
      <c r="BD44">
        <f>BD43+17</f>
        <v>83</v>
      </c>
      <c r="BE44" s="5">
        <f>BD44-BD43</f>
        <v>17</v>
      </c>
      <c r="BF44">
        <f>BF43+0</f>
        <v>4</v>
      </c>
      <c r="BG44" s="5">
        <f>BF44-BF43</f>
        <v>0</v>
      </c>
      <c r="BH44">
        <f>BH43+0</f>
        <v>1</v>
      </c>
      <c r="BI44" s="3">
        <f>(BH44/BH43)-1</f>
        <v>0</v>
      </c>
      <c r="BK44">
        <f>BK43+32</f>
        <v>222</v>
      </c>
      <c r="BL44" s="5">
        <f>BK44-BK43</f>
        <v>32</v>
      </c>
      <c r="BM44">
        <f>BM43+4</f>
        <v>20</v>
      </c>
      <c r="BN44" s="5">
        <f>BM44-BM43</f>
        <v>4</v>
      </c>
      <c r="BO44">
        <f>BO43+0</f>
        <v>7</v>
      </c>
      <c r="BP44" s="3">
        <f>(BO44/BO43)-1</f>
        <v>0</v>
      </c>
      <c r="BR44">
        <f>BR43+-10</f>
        <v>491</v>
      </c>
      <c r="BS44" s="5">
        <f>BR44-BR43</f>
        <v>-10</v>
      </c>
      <c r="BV44">
        <f>BV43+0</f>
        <v>4</v>
      </c>
      <c r="BW44" s="3">
        <f>(BV44/BV43)-1</f>
        <v>0</v>
      </c>
      <c r="BY44">
        <f>N44+U44+AB44+AI44+AP44+AW44+BD44+BK44+BR44</f>
        <v>13381</v>
      </c>
      <c r="BZ44" s="5">
        <f>BY44-BY43</f>
        <v>1346</v>
      </c>
      <c r="CA44">
        <f>P44+W44+AD44+AK44+AR44+AY44+BF44+BM44+BT44</f>
        <v>1760</v>
      </c>
      <c r="CB44" s="3">
        <f>(CA44/CA43)-1</f>
        <v>0.064087061668681944</v>
      </c>
      <c r="CC44">
        <f>R44+Y44+AF44+AM44+AT44+BA44+BH44+BO44+BV44</f>
        <v>602</v>
      </c>
      <c r="CD44" s="3">
        <f>(CC44/CC43)-1</f>
        <v>0.086642599277978238</v>
      </c>
      <c r="CE44" s="3"/>
      <c r="CF44">
        <f>CA44-CA43</f>
        <v>106</v>
      </c>
      <c r="CH44">
        <v>1</v>
      </c>
      <c r="CI44" t="s">
        <v>13</v>
      </c>
      <c r="CJ44" s="8">
        <v>43950</v>
      </c>
      <c r="CK44">
        <v>6</v>
      </c>
      <c r="CL44">
        <v>186</v>
      </c>
      <c r="CM44">
        <v>0</v>
      </c>
      <c r="CN44">
        <v>31</v>
      </c>
      <c r="CW44">
        <v>100</v>
      </c>
      <c r="CX44" t="s">
        <v>22</v>
      </c>
      <c r="DC44" s="9">
        <v>43886</v>
      </c>
      <c r="DD44">
        <v>51</v>
      </c>
      <c r="DE44">
        <f>(DD44/DD43)-1</f>
        <v>0</v>
      </c>
    </row>
    <row r="45" spans="1:206" ht="19.5">
      <c r="C45">
        <f>H44*D45</f>
        <v>607.99999999230567</v>
      </c>
      <c r="D45">
        <f>0.045437560719999999</f>
        <v>0.045437560719999999</v>
      </c>
      <c r="E45" t="s">
        <v>15</v>
      </c>
      <c r="F45" s="9">
        <v>43935</v>
      </c>
      <c r="G45" s="2">
        <f>H45*15</f>
        <v>209834.99999921964</v>
      </c>
      <c r="H45">
        <f>H44+C45</f>
        <v>13988.999999947975</v>
      </c>
      <c r="I45">
        <v>13989</v>
      </c>
      <c r="J45">
        <v>607670</v>
      </c>
      <c r="K45">
        <f>N45+U45+AB45+AI45+AP45+AW45+BD45+BK45+BR45</f>
        <v>13989</v>
      </c>
      <c r="L45" s="3">
        <f>(K45/K44)-1</f>
        <v>0.045437560720424486</v>
      </c>
      <c r="N45">
        <f>N44+14</f>
        <v>460</v>
      </c>
      <c r="O45" s="5">
        <f>N45-N44</f>
        <v>14</v>
      </c>
      <c r="P45">
        <f>P44+-2</f>
        <v>35</v>
      </c>
      <c r="Q45" s="5">
        <f>P45-P44</f>
        <v>-2</v>
      </c>
      <c r="R45">
        <f>R44+5</f>
        <v>29</v>
      </c>
      <c r="S45" s="3">
        <f>(R45/R44)-1</f>
        <v>0.20833333333333326</v>
      </c>
      <c r="U45">
        <f>U44+127</f>
        <v>2370</v>
      </c>
      <c r="V45" s="5">
        <f>U45-U44</f>
        <v>127</v>
      </c>
      <c r="W45">
        <f>W44+8</f>
        <v>369</v>
      </c>
      <c r="X45" s="5">
        <f>W45-W44</f>
        <v>8</v>
      </c>
      <c r="Y45">
        <f>Y44+20</f>
        <v>153</v>
      </c>
      <c r="Z45" s="3">
        <f>(Y45/Y44)-1</f>
        <v>0.15037593984962405</v>
      </c>
      <c r="AB45">
        <f>AB44+185</f>
        <v>3543</v>
      </c>
      <c r="AC45" s="5">
        <f>AB45-AB44</f>
        <v>185</v>
      </c>
      <c r="AD45">
        <f>AD44+-8</f>
        <v>572</v>
      </c>
      <c r="AE45" s="5">
        <f>AD45-AD44</f>
        <v>-8</v>
      </c>
      <c r="AF45">
        <f>AF44+16</f>
        <v>151</v>
      </c>
      <c r="AG45" s="3">
        <f>(AF45/AF44)-1</f>
        <v>0.11851851851851847</v>
      </c>
      <c r="AI45">
        <f>AI44+209</f>
        <v>6213</v>
      </c>
      <c r="AJ45" s="5">
        <f>AI45-AI44</f>
        <v>209</v>
      </c>
      <c r="AK45">
        <f>AK44+21</f>
        <v>731</v>
      </c>
      <c r="AL45" s="5">
        <f>AK45-AK44</f>
        <v>21</v>
      </c>
      <c r="AM45">
        <f>AM44+25</f>
        <v>287</v>
      </c>
      <c r="AN45" s="3">
        <f>(AM45/AM44)-1</f>
        <v>0.095419847328244378</v>
      </c>
      <c r="AP45">
        <f>AP44+16</f>
        <v>355</v>
      </c>
      <c r="AQ45" s="5">
        <f>AP45-AP44</f>
        <v>16</v>
      </c>
      <c r="AR45">
        <f>AR44+3</f>
        <v>38</v>
      </c>
      <c r="AS45" s="5">
        <f>AR45-AR44</f>
        <v>3</v>
      </c>
      <c r="AT45">
        <f>AT44+2</f>
        <v>21</v>
      </c>
      <c r="AU45" s="3">
        <f>(AT45/AT44)-1</f>
        <v>0.10526315789473695</v>
      </c>
      <c r="AW45">
        <f>AW44+6</f>
        <v>201</v>
      </c>
      <c r="AX45" s="5">
        <f>AW45-AW44</f>
        <v>6</v>
      </c>
      <c r="AY45">
        <f>AY44+-1</f>
        <v>12</v>
      </c>
      <c r="AZ45" s="5">
        <f>AY45-AY44</f>
        <v>-1</v>
      </c>
      <c r="BA45">
        <f>BA44+1</f>
        <v>18</v>
      </c>
      <c r="BB45" s="3">
        <f>(BA45/BA44)-1</f>
        <v>0.058823529411764719</v>
      </c>
      <c r="BD45">
        <f>BD44+4</f>
        <v>87</v>
      </c>
      <c r="BE45" s="5">
        <f>BD45-BD44</f>
        <v>4</v>
      </c>
      <c r="BF45">
        <f>BF44+1</f>
        <v>5</v>
      </c>
      <c r="BG45" s="5">
        <f>BF45-BF44</f>
        <v>1</v>
      </c>
      <c r="BH45">
        <f>BH44+0</f>
        <v>1</v>
      </c>
      <c r="BI45" s="3">
        <f>(BH45/BH44)-1</f>
        <v>0</v>
      </c>
      <c r="BK45">
        <f>BK44+5</f>
        <v>227</v>
      </c>
      <c r="BL45" s="5">
        <f>BK45-BK44</f>
        <v>5</v>
      </c>
      <c r="BM45">
        <f>BM44+-3</f>
        <v>17</v>
      </c>
      <c r="BN45" s="5">
        <f>BM45-BM44</f>
        <v>-3</v>
      </c>
      <c r="BO45">
        <f>BO44+0</f>
        <v>7</v>
      </c>
      <c r="BP45" s="3">
        <f>(BO45/BO44)-1</f>
        <v>0</v>
      </c>
      <c r="BR45">
        <f>BR44+42</f>
        <v>533</v>
      </c>
      <c r="BS45" s="5">
        <f>BR45-BR44</f>
        <v>42</v>
      </c>
      <c r="BV45">
        <f>BV44+0</f>
        <v>4</v>
      </c>
      <c r="BW45" s="3">
        <f>(BV45/BV44)-1</f>
        <v>0</v>
      </c>
      <c r="BY45">
        <f>N45+U45+AB45+AI45+AP45+AW45+BD45+BK45+BR45</f>
        <v>13989</v>
      </c>
      <c r="BZ45" s="5">
        <f>BY45-BY44</f>
        <v>608</v>
      </c>
      <c r="CA45">
        <f>P45+W45+AD45+AK45+AR45+AY45+BF45+BM45+BT45</f>
        <v>1779</v>
      </c>
      <c r="CB45" s="3">
        <f>(CA45/CA44)-1</f>
        <v>0.010795454545454497</v>
      </c>
      <c r="CC45">
        <f>R45+Y45+AF45+AM45+AT45+BA45+BH45+BO45+BV45</f>
        <v>671</v>
      </c>
      <c r="CD45" s="3">
        <f>(CC45/CC44)-1</f>
        <v>0.11461794019933547</v>
      </c>
      <c r="CE45" s="3"/>
      <c r="CF45">
        <f>CA45-CA44</f>
        <v>19</v>
      </c>
      <c r="CH45">
        <v>1</v>
      </c>
      <c r="CI45" t="s">
        <v>13</v>
      </c>
      <c r="CJ45" s="8">
        <v>43951</v>
      </c>
      <c r="CK45">
        <v>6</v>
      </c>
      <c r="CL45">
        <v>186</v>
      </c>
      <c r="CM45">
        <v>0</v>
      </c>
      <c r="CN45">
        <v>32</v>
      </c>
      <c r="CW45">
        <v>100</v>
      </c>
      <c r="CX45" t="s">
        <v>23</v>
      </c>
      <c r="DC45" s="9">
        <v>43887</v>
      </c>
      <c r="DD45">
        <v>57</v>
      </c>
      <c r="DE45">
        <f>(DD45/DD44)-1</f>
        <v>0.11764705882352944</v>
      </c>
    </row>
    <row r="46" spans="1:206" ht="19.5">
      <c r="C46">
        <f>H45*D46</f>
        <v>765.99999999069723</v>
      </c>
      <c r="D46">
        <f>0.054757309313999997</f>
        <v>0.054757309313999997</v>
      </c>
      <c r="E46" t="s">
        <v>16</v>
      </c>
      <c r="F46" s="9">
        <v>43936</v>
      </c>
      <c r="G46" s="2">
        <f>H46*15</f>
        <v>221324.99999908009</v>
      </c>
      <c r="H46">
        <f>H45+C46</f>
        <v>14754.999999938673</v>
      </c>
      <c r="I46">
        <v>14755</v>
      </c>
      <c r="J46">
        <v>636350</v>
      </c>
      <c r="K46">
        <f>N46+U46+AB46+AI46+AP46+AW46+BD46+BK46+BR46</f>
        <v>14755</v>
      </c>
      <c r="L46" s="3">
        <f>(K46/K45)-1</f>
        <v>0.054757309314461322</v>
      </c>
      <c r="N46">
        <f>N45+30</f>
        <v>490</v>
      </c>
      <c r="O46" s="5">
        <f>N46-N45</f>
        <v>30</v>
      </c>
      <c r="P46">
        <f>P45+-3</f>
        <v>32</v>
      </c>
      <c r="Q46" s="5">
        <f>P46-P45</f>
        <v>-3</v>
      </c>
      <c r="R46">
        <f>R45+6</f>
        <v>35</v>
      </c>
      <c r="S46" s="3">
        <f>(R46/R45)-1</f>
        <v>0.2068965517241379</v>
      </c>
      <c r="U46">
        <f>U45+200</f>
        <v>2570</v>
      </c>
      <c r="V46" s="5">
        <f>U46-U45</f>
        <v>200</v>
      </c>
      <c r="W46">
        <f>W45+33</f>
        <v>402</v>
      </c>
      <c r="X46" s="5">
        <f>W46-W45</f>
        <v>33</v>
      </c>
      <c r="Y46">
        <f>Y45+60</f>
        <v>213</v>
      </c>
      <c r="Z46" s="3">
        <f>(Y46/Y45)-1</f>
        <v>0.39215686274509798</v>
      </c>
      <c r="AB46">
        <f>AB45+215</f>
        <v>3758</v>
      </c>
      <c r="AC46" s="5">
        <f>AB46-AB45</f>
        <v>215</v>
      </c>
      <c r="AD46">
        <f>AD45+40</f>
        <v>612</v>
      </c>
      <c r="AE46" s="5">
        <f>AD46-AD45</f>
        <v>40</v>
      </c>
      <c r="AF46">
        <f>AF45+44</f>
        <v>195</v>
      </c>
      <c r="AG46" s="3">
        <f>(AF46/AF45)-1</f>
        <v>0.29139072847682113</v>
      </c>
      <c r="AI46">
        <f>AI45+267</f>
        <v>6480</v>
      </c>
      <c r="AJ46" s="5">
        <f>AI46-AI45</f>
        <v>267</v>
      </c>
      <c r="AK46">
        <f>AK45+53</f>
        <v>784</v>
      </c>
      <c r="AL46" s="5">
        <f>AK46-AK45</f>
        <v>53</v>
      </c>
      <c r="AM46">
        <f>AM45+78</f>
        <v>365</v>
      </c>
      <c r="AN46" s="3">
        <f>(AM46/AM45)-1</f>
        <v>0.27177700348432055</v>
      </c>
      <c r="AP46">
        <f>AP45+24</f>
        <v>379</v>
      </c>
      <c r="AQ46" s="5">
        <f>AP46-AP45</f>
        <v>24</v>
      </c>
      <c r="AR46">
        <f>AR45+2</f>
        <v>40</v>
      </c>
      <c r="AS46" s="5">
        <f>AR46-AR45</f>
        <v>2</v>
      </c>
      <c r="AT46">
        <f>AT45+7</f>
        <v>28</v>
      </c>
      <c r="AU46" s="3">
        <f>(AT46/AT45)-1</f>
        <v>0.33333333333333326</v>
      </c>
      <c r="AW46">
        <f>AW45+15</f>
        <v>216</v>
      </c>
      <c r="AX46" s="5">
        <f>AW46-AW45</f>
        <v>15</v>
      </c>
      <c r="AY46">
        <f>AY45+-1</f>
        <v>11</v>
      </c>
      <c r="AZ46" s="5">
        <f>AY46-AY45</f>
        <v>-1</v>
      </c>
      <c r="BA46">
        <f>BA45+4</f>
        <v>22</v>
      </c>
      <c r="BB46" s="3">
        <f>(BA46/BA45)-1</f>
        <v>0.22222222222222232</v>
      </c>
      <c r="BD46">
        <f>BD45+2</f>
        <v>89</v>
      </c>
      <c r="BE46" s="5">
        <f>BD46-BD45</f>
        <v>2</v>
      </c>
      <c r="BF46">
        <f>BF45+1</f>
        <v>6</v>
      </c>
      <c r="BG46" s="5">
        <f>BF46-BF45</f>
        <v>1</v>
      </c>
      <c r="BH46">
        <f>BH45+0</f>
        <v>1</v>
      </c>
      <c r="BI46" s="3">
        <f>(BH46/BH45)-1</f>
        <v>0</v>
      </c>
      <c r="BK46">
        <f>BK45+9</f>
        <v>236</v>
      </c>
      <c r="BL46" s="5">
        <f>BK46-BK45</f>
        <v>9</v>
      </c>
      <c r="BM46">
        <f>BM45+4</f>
        <v>21</v>
      </c>
      <c r="BN46" s="5">
        <f>BM46-BM45</f>
        <v>4</v>
      </c>
      <c r="BO46">
        <f>BO45+0</f>
        <v>7</v>
      </c>
      <c r="BP46" s="3">
        <f>(BO46/BO45)-1</f>
        <v>0</v>
      </c>
      <c r="BR46">
        <f>BR45+4</f>
        <v>537</v>
      </c>
      <c r="BS46" s="5">
        <f>BR46-BR45</f>
        <v>4</v>
      </c>
      <c r="BV46">
        <f>BV45+-2</f>
        <v>2</v>
      </c>
      <c r="BW46" s="3">
        <f>(BV46/BV45)-1</f>
        <v>-0.5</v>
      </c>
      <c r="BY46">
        <f>N46+U46+AB46+AI46+AP46+AW46+BD46+BK46+BR46</f>
        <v>14755</v>
      </c>
      <c r="BZ46" s="5">
        <f>BY46-BY45</f>
        <v>766</v>
      </c>
      <c r="CA46">
        <f>P46+W46+AD46+AK46+AR46+AY46+BF46+BM46+BT46</f>
        <v>1908</v>
      </c>
      <c r="CB46" s="3">
        <f>(CA46/CA45)-1</f>
        <v>0.072512647554806131</v>
      </c>
      <c r="CC46">
        <f>R46+Y46+AF46+AM46+AT46+BA46+BH46+BO46+BV46</f>
        <v>868</v>
      </c>
      <c r="CD46" s="3">
        <f>(CC46/CC45)-1</f>
        <v>0.29359165424739198</v>
      </c>
      <c r="CE46" s="3"/>
      <c r="CF46">
        <f>CA46-CA45</f>
        <v>129</v>
      </c>
      <c r="CH46">
        <v>4</v>
      </c>
      <c r="CI46" t="s">
        <v>24</v>
      </c>
      <c r="CJ46" s="8">
        <v>43914</v>
      </c>
      <c r="CK46">
        <v>2</v>
      </c>
      <c r="CM46">
        <v>0</v>
      </c>
      <c r="CN46">
        <v>33</v>
      </c>
      <c r="CW46">
        <v>100</v>
      </c>
      <c r="CX46" t="s">
        <v>25</v>
      </c>
      <c r="DC46" s="9">
        <v>43888</v>
      </c>
      <c r="DD46">
        <v>58</v>
      </c>
      <c r="DE46">
        <f>(DD46/DD45)-1</f>
        <v>0.017543859649122862</v>
      </c>
    </row>
    <row r="47" spans="1:206" ht="19.5">
      <c r="C47">
        <f>H46*D47</f>
        <v>1128.9999999990926</v>
      </c>
      <c r="D47">
        <f>0.076516435107</f>
        <v>0.076516435107</v>
      </c>
      <c r="E47" t="s">
        <v>17</v>
      </c>
      <c r="F47" s="9">
        <v>43937</v>
      </c>
      <c r="G47" s="2">
        <f>H47*15</f>
        <v>238259.99999906647</v>
      </c>
      <c r="H47">
        <f>H46+C47</f>
        <v>15883.999999937765</v>
      </c>
      <c r="I47">
        <v>15884</v>
      </c>
      <c r="J47">
        <v>667801</v>
      </c>
      <c r="K47">
        <f>N47+U47+AB47+AI47+AP47+AW47+BD47+BK47+BR47</f>
        <v>15884</v>
      </c>
      <c r="L47" s="3">
        <f>(K47/K46)-1</f>
        <v>0.076516435106743552</v>
      </c>
      <c r="N47">
        <f>N46+45</f>
        <v>535</v>
      </c>
      <c r="O47" s="5">
        <f>N47-N46</f>
        <v>45</v>
      </c>
      <c r="P47">
        <f>P46+-5</f>
        <v>27</v>
      </c>
      <c r="Q47" s="5">
        <f>P47-P46</f>
        <v>-5</v>
      </c>
      <c r="R47">
        <f>R46+9</f>
        <v>44</v>
      </c>
      <c r="S47" s="3">
        <f>(R47/R46)-1</f>
        <v>0.25714285714285712</v>
      </c>
      <c r="U47">
        <f>U46+289</f>
        <v>2859</v>
      </c>
      <c r="V47" s="5">
        <f>U47-U46</f>
        <v>289</v>
      </c>
      <c r="W47">
        <f>W46+18</f>
        <v>420</v>
      </c>
      <c r="X47" s="5">
        <f>W47-W46</f>
        <v>18</v>
      </c>
      <c r="Y47">
        <f>Y46+30</f>
        <v>243</v>
      </c>
      <c r="Z47" s="3">
        <f>(Y47/Y46)-1</f>
        <v>0.14084507042253525</v>
      </c>
      <c r="AB47">
        <f>AB46+405</f>
        <v>4163</v>
      </c>
      <c r="AC47" s="5">
        <f>AB47-AB46</f>
        <v>405</v>
      </c>
      <c r="AD47">
        <f>AD46+1</f>
        <v>613</v>
      </c>
      <c r="AE47" s="5">
        <f>AD47-AD46</f>
        <v>1</v>
      </c>
      <c r="AF47">
        <f>AF46+19</f>
        <v>214</v>
      </c>
      <c r="AG47" s="3">
        <f>(AF47/AF46)-1</f>
        <v>0.097435897435897534</v>
      </c>
      <c r="AI47">
        <f>AI46+336</f>
        <v>6816</v>
      </c>
      <c r="AJ47" s="5">
        <f>AI47-AI46</f>
        <v>336</v>
      </c>
      <c r="AK47">
        <f>AK46+3</f>
        <v>787</v>
      </c>
      <c r="AL47" s="5">
        <f>AK47-AK46</f>
        <v>3</v>
      </c>
      <c r="AM47">
        <f>AM46+41</f>
        <v>406</v>
      </c>
      <c r="AN47" s="3">
        <f>(AM47/AM46)-1</f>
        <v>0.11232876712328776</v>
      </c>
      <c r="AP47">
        <f>AP46+15</f>
        <v>394</v>
      </c>
      <c r="AQ47" s="5">
        <f>AP47-AP46</f>
        <v>15</v>
      </c>
      <c r="AR47">
        <f>AR46+-1</f>
        <v>39</v>
      </c>
      <c r="AS47" s="5">
        <f>AR47-AR46</f>
        <v>-1</v>
      </c>
      <c r="AT47">
        <f>AT46+2</f>
        <v>30</v>
      </c>
      <c r="AU47" s="3">
        <f>(AT47/AT46)-1</f>
        <v>0.071428571428571397</v>
      </c>
      <c r="AW47">
        <f>AW46+25</f>
        <v>241</v>
      </c>
      <c r="AX47" s="5">
        <f>AW47-AW46</f>
        <v>25</v>
      </c>
      <c r="AY47">
        <f>AY46+0</f>
        <v>11</v>
      </c>
      <c r="AZ47" s="5">
        <f>AY47-AY46</f>
        <v>0</v>
      </c>
      <c r="BA47">
        <f>BA46+0</f>
        <v>22</v>
      </c>
      <c r="BB47" s="3">
        <f>(BA47/BA46)-1</f>
        <v>0</v>
      </c>
      <c r="BD47">
        <f>BD46+-2</f>
        <v>87</v>
      </c>
      <c r="BE47" s="5">
        <f>BD47-BD46</f>
        <v>-2</v>
      </c>
      <c r="BF47">
        <f>BF46+0</f>
        <v>6</v>
      </c>
      <c r="BG47" s="5">
        <f>BF47-BF46</f>
        <v>0</v>
      </c>
      <c r="BH47">
        <f>BH46+0</f>
        <v>1</v>
      </c>
      <c r="BI47" s="3">
        <f>(BH47/BH46)-1</f>
        <v>0</v>
      </c>
      <c r="BK47">
        <f>BK46+19</f>
        <v>255</v>
      </c>
      <c r="BL47" s="5">
        <f>BK47-BK46</f>
        <v>19</v>
      </c>
      <c r="BM47">
        <f>BM46+2</f>
        <v>23</v>
      </c>
      <c r="BN47" s="5">
        <f>BM47-BM46</f>
        <v>2</v>
      </c>
      <c r="BO47">
        <f>BO46+2</f>
        <v>9</v>
      </c>
      <c r="BP47" s="3">
        <f>(BO47/BO46)-1</f>
        <v>0.28571428571428581</v>
      </c>
      <c r="BR47">
        <f>BR46+-3</f>
        <v>534</v>
      </c>
      <c r="BS47" s="5">
        <f>BR47-BR46</f>
        <v>-3</v>
      </c>
      <c r="BV47">
        <f>BV46+0</f>
        <v>2</v>
      </c>
      <c r="BW47" s="3">
        <f>(BV47/BV46)-1</f>
        <v>0</v>
      </c>
      <c r="BY47">
        <f>N47+U47+AB47+AI47+AP47+AW47+BD47+BK47+BR47</f>
        <v>15884</v>
      </c>
      <c r="BZ47" s="5">
        <f>BY47-BY46</f>
        <v>1129</v>
      </c>
      <c r="CA47">
        <f>P47+W47+AD47+AK47+AR47+AY47+BF47+BM47+BT47</f>
        <v>1926</v>
      </c>
      <c r="CB47" s="3">
        <f>(CA47/CA46)-1</f>
        <v>0.0094339622641510523</v>
      </c>
      <c r="CC47">
        <f>R47+Y47+AF47+AM47+AT47+BA47+BH47+BO47+BV47</f>
        <v>971</v>
      </c>
      <c r="CD47" s="3">
        <f>(CC47/CC46)-1</f>
        <v>0.11866359447004604</v>
      </c>
      <c r="CE47" s="3"/>
      <c r="CF47">
        <f>CA47-CA46</f>
        <v>18</v>
      </c>
      <c r="CH47">
        <v>4</v>
      </c>
      <c r="CI47" t="s">
        <v>24</v>
      </c>
      <c r="CJ47" s="8">
        <v>43915</v>
      </c>
      <c r="CK47">
        <v>4</v>
      </c>
      <c r="CM47">
        <v>0</v>
      </c>
      <c r="CN47">
        <v>34</v>
      </c>
      <c r="CW47">
        <v>11</v>
      </c>
      <c r="CX47">
        <v>33</v>
      </c>
      <c r="DC47" s="9">
        <v>43889</v>
      </c>
      <c r="DD47">
        <v>60</v>
      </c>
      <c r="DE47">
        <f>(DD47/DD46)-1</f>
        <v>0.034482758620689724</v>
      </c>
    </row>
    <row r="48" spans="1:206" ht="19.5">
      <c r="C48">
        <f>H47*D48</f>
        <v>925.00000005193579</v>
      </c>
      <c r="D48">
        <f>0.05823470159</f>
        <v>0.05823470159</v>
      </c>
      <c r="E48" t="s">
        <v>18</v>
      </c>
      <c r="F48" s="9">
        <v>43938</v>
      </c>
      <c r="G48" s="2">
        <f>H48*15</f>
        <v>252134.99999984552</v>
      </c>
      <c r="H48">
        <f>H47+C48</f>
        <v>16808.999999989701</v>
      </c>
      <c r="I48">
        <v>16809</v>
      </c>
      <c r="J48">
        <v>699706</v>
      </c>
      <c r="K48">
        <f>N48+U48+AB48+AI48+AP48+AW48+BD48+BK48+BR48</f>
        <v>16809</v>
      </c>
      <c r="L48" s="3">
        <f>(K48/K47)-1</f>
        <v>0.058234701586502124</v>
      </c>
      <c r="N48">
        <f>N47+34</f>
        <v>569</v>
      </c>
      <c r="O48" s="5">
        <f>N48-N47</f>
        <v>34</v>
      </c>
      <c r="P48">
        <f>P47+1</f>
        <v>28</v>
      </c>
      <c r="Q48" s="5">
        <f>P48-P47</f>
        <v>1</v>
      </c>
      <c r="R48">
        <f>R47+2</f>
        <v>46</v>
      </c>
      <c r="S48" s="3">
        <f>(R48/R47)-1</f>
        <v>0.045454545454545414</v>
      </c>
      <c r="U48">
        <f>U47+156</f>
        <v>3015</v>
      </c>
      <c r="V48" s="5">
        <f>U48-U47</f>
        <v>156</v>
      </c>
      <c r="W48">
        <f>W47+-10</f>
        <v>410</v>
      </c>
      <c r="X48" s="5">
        <f>W48-W47</f>
        <v>-10</v>
      </c>
      <c r="Y48">
        <f>Y47+23</f>
        <v>266</v>
      </c>
      <c r="Z48" s="3">
        <f>(Y48/Y47)-1</f>
        <v>0.094650205761316775</v>
      </c>
      <c r="AB48">
        <f>AB47+357</f>
        <v>4520</v>
      </c>
      <c r="AC48" s="5">
        <f>AB48-AB47</f>
        <v>357</v>
      </c>
      <c r="AD48">
        <f>AD47+20</f>
        <v>633</v>
      </c>
      <c r="AE48" s="5">
        <f>AD48-AD47</f>
        <v>20</v>
      </c>
      <c r="AF48">
        <f>AF47+15</f>
        <v>229</v>
      </c>
      <c r="AG48" s="3">
        <f>(AF48/AF47)-1</f>
        <v>0.070093457943925186</v>
      </c>
      <c r="AI48">
        <f>AI47+330</f>
        <v>7146</v>
      </c>
      <c r="AJ48" s="5">
        <f>AI48-AI47</f>
        <v>330</v>
      </c>
      <c r="AK48">
        <f>AK47+10</f>
        <v>797</v>
      </c>
      <c r="AL48" s="5">
        <f>AK48-AK47</f>
        <v>10</v>
      </c>
      <c r="AM48">
        <f>AM47+19</f>
        <v>425</v>
      </c>
      <c r="AN48" s="3">
        <f>(AM48/AM47)-1</f>
        <v>0.046798029556650356</v>
      </c>
      <c r="AP48">
        <f>AP47+28</f>
        <v>422</v>
      </c>
      <c r="AQ48" s="5">
        <f>AP48-AP47</f>
        <v>28</v>
      </c>
      <c r="AR48">
        <f>AR47+-2</f>
        <v>37</v>
      </c>
      <c r="AS48" s="5">
        <f>AR48-AR47</f>
        <v>-2</v>
      </c>
      <c r="AT48">
        <f>AT47+2</f>
        <v>32</v>
      </c>
      <c r="AU48" s="3">
        <f>(AT48/AT47)-1</f>
        <v>0.066666666666666652</v>
      </c>
      <c r="AW48">
        <f>AW47+17</f>
        <v>258</v>
      </c>
      <c r="AX48" s="5">
        <f>AW48-AW47</f>
        <v>17</v>
      </c>
      <c r="AY48">
        <f>AY47+1</f>
        <v>12</v>
      </c>
      <c r="AZ48" s="5">
        <f>AY48-AY47</f>
        <v>1</v>
      </c>
      <c r="BA48">
        <f>BA47+2</f>
        <v>24</v>
      </c>
      <c r="BB48" s="3">
        <f>(BA48/BA47)-1</f>
        <v>0.090909090909090828</v>
      </c>
      <c r="BD48">
        <f>BD47+5</f>
        <v>92</v>
      </c>
      <c r="BE48" s="5">
        <f>BD48-BD47</f>
        <v>5</v>
      </c>
      <c r="BF48">
        <f>BF47+1</f>
        <v>7</v>
      </c>
      <c r="BG48" s="5">
        <f>BF48-BF47</f>
        <v>1</v>
      </c>
      <c r="BH48">
        <f>BH47+1</f>
        <v>2</v>
      </c>
      <c r="BI48" s="3">
        <f>(BH48/BH47)-1</f>
        <v>1</v>
      </c>
      <c r="BK48">
        <f>BK47+37</f>
        <v>292</v>
      </c>
      <c r="BL48" s="5">
        <f>BK48-BK47</f>
        <v>37</v>
      </c>
      <c r="BM48">
        <f>BM47+-1</f>
        <v>22</v>
      </c>
      <c r="BN48" s="5">
        <f>BM48-BM47</f>
        <v>-1</v>
      </c>
      <c r="BO48">
        <f>BO47+1</f>
        <v>10</v>
      </c>
      <c r="BP48" s="3">
        <f>(BO48/BO47)-1</f>
        <v>0.11111111111111116</v>
      </c>
      <c r="BR48">
        <f>BR47+-39</f>
        <v>495</v>
      </c>
      <c r="BS48" s="5">
        <f>BR48-BR47</f>
        <v>-39</v>
      </c>
      <c r="BV48">
        <f>BV47+0</f>
        <v>2</v>
      </c>
      <c r="BW48" s="3">
        <f>(BV48/BV47)-1</f>
        <v>0</v>
      </c>
      <c r="BY48">
        <f>N48+U48+AB48+AI48+AP48+AW48+BD48+BK48+BR48</f>
        <v>16809</v>
      </c>
      <c r="BZ48" s="5">
        <f>BY48-BY47</f>
        <v>925</v>
      </c>
      <c r="CA48">
        <f>P48+W48+AD48+AK48+AR48+AY48+BF48+BM48+BT48</f>
        <v>1946</v>
      </c>
      <c r="CB48" s="3">
        <f>(CA48/CA47)-1</f>
        <v>0.010384215991692702</v>
      </c>
      <c r="CC48">
        <f>R48+Y48+AF48+AM48+AT48+BA48+BH48+BO48+BV48</f>
        <v>1036</v>
      </c>
      <c r="CD48" s="3">
        <f>(CC48/CC47)-1</f>
        <v>0.066941297631307961</v>
      </c>
      <c r="CE48" s="3"/>
      <c r="CF48">
        <f>CA48-CA47</f>
        <v>20</v>
      </c>
      <c r="CH48">
        <v>4</v>
      </c>
      <c r="CI48" t="s">
        <v>24</v>
      </c>
      <c r="CJ48" s="8">
        <v>43916</v>
      </c>
      <c r="CK48">
        <v>4</v>
      </c>
      <c r="CM48">
        <v>0</v>
      </c>
      <c r="CN48">
        <v>35</v>
      </c>
      <c r="CW48">
        <v>100</v>
      </c>
      <c r="CX48" t="s">
        <v>26</v>
      </c>
      <c r="DC48" s="9">
        <v>43890</v>
      </c>
      <c r="DD48">
        <v>68</v>
      </c>
      <c r="DE48">
        <f>(DD48/DD47)-1</f>
        <v>0.1333333333333333</v>
      </c>
    </row>
    <row r="49" spans="1:206" ht="19.5">
      <c r="C49">
        <f>H48*D49</f>
        <v>740.99999999728402</v>
      </c>
      <c r="D49">
        <f>0.044083526682000003</f>
        <v>0.044083526682000003</v>
      </c>
      <c r="E49" t="s">
        <v>19</v>
      </c>
      <c r="F49" s="9">
        <v>43939</v>
      </c>
      <c r="G49" s="2">
        <f>H49*15</f>
        <v>263249.99999980477</v>
      </c>
      <c r="H49">
        <f>H48+C49</f>
        <v>17549.999999986983</v>
      </c>
      <c r="I49">
        <v>17550</v>
      </c>
      <c r="J49">
        <v>732197</v>
      </c>
      <c r="K49">
        <f>N49+U49+AB49+AI49+AP49+AW49+BD49+BK49+BR49</f>
        <v>17550</v>
      </c>
      <c r="L49" s="3">
        <f>(K49/K48)-1</f>
        <v>0.044083526682134666</v>
      </c>
      <c r="N49">
        <f>N48+24</f>
        <v>593</v>
      </c>
      <c r="O49" s="5">
        <f>N49-N48</f>
        <v>24</v>
      </c>
      <c r="P49">
        <f>P48+2</f>
        <v>30</v>
      </c>
      <c r="Q49" s="5">
        <f>P49-P48</f>
        <v>2</v>
      </c>
      <c r="R49">
        <f>R48+2</f>
        <v>48</v>
      </c>
      <c r="S49" s="3">
        <f>(R49/R48)-1</f>
        <v>0.043478260869565188</v>
      </c>
      <c r="U49">
        <f>U48+181</f>
        <v>3196</v>
      </c>
      <c r="V49" s="5">
        <f>U49-U48</f>
        <v>181</v>
      </c>
      <c r="W49">
        <f>W48+7</f>
        <v>417</v>
      </c>
      <c r="X49" s="5">
        <f>W49-W48</f>
        <v>7</v>
      </c>
      <c r="Y49">
        <f>Y48+23</f>
        <v>289</v>
      </c>
      <c r="Z49" s="3">
        <f>(Y49/Y48)-1</f>
        <v>0.086466165413533913</v>
      </c>
      <c r="AB49">
        <f>AB48+223</f>
        <v>4743</v>
      </c>
      <c r="AC49" s="5">
        <f>AB49-AB48</f>
        <v>223</v>
      </c>
      <c r="AD49">
        <f>AD48+5</f>
        <v>638</v>
      </c>
      <c r="AE49" s="5">
        <f>AD49-AD48</f>
        <v>5</v>
      </c>
      <c r="AF49">
        <f>AF48+12</f>
        <v>241</v>
      </c>
      <c r="AG49" s="3">
        <f>(AF49/AF48)-1</f>
        <v>0.05240174672489073</v>
      </c>
      <c r="AI49">
        <f>AI48+217</f>
        <v>7363</v>
      </c>
      <c r="AJ49" s="5">
        <f>AI49-AI48</f>
        <v>217</v>
      </c>
      <c r="AK49">
        <f>AK48+-21</f>
        <v>776</v>
      </c>
      <c r="AL49" s="5">
        <f>AK49-AK48</f>
        <v>-21</v>
      </c>
      <c r="AM49">
        <f>AM48+7</f>
        <v>432</v>
      </c>
      <c r="AN49" s="3">
        <f>(AM49/AM48)-1</f>
        <v>0.016470588235294015</v>
      </c>
      <c r="AP49">
        <f>AP48+26</f>
        <v>448</v>
      </c>
      <c r="AQ49" s="5">
        <f>AP49-AP48</f>
        <v>26</v>
      </c>
      <c r="AR49">
        <f>AR48+-1</f>
        <v>36</v>
      </c>
      <c r="AS49" s="5">
        <f>AR49-AR48</f>
        <v>-1</v>
      </c>
      <c r="AT49">
        <f>AT48+5</f>
        <v>37</v>
      </c>
      <c r="AU49" s="3">
        <f>(AT49/AT48)-1</f>
        <v>0.15625</v>
      </c>
      <c r="AW49">
        <f>AW48+12</f>
        <v>270</v>
      </c>
      <c r="AX49" s="5">
        <f>AW49-AW48</f>
        <v>12</v>
      </c>
      <c r="AY49">
        <f>AY48+2</f>
        <v>14</v>
      </c>
      <c r="AZ49" s="5">
        <f>AY49-AY48</f>
        <v>2</v>
      </c>
      <c r="BA49">
        <f>BA48+0</f>
        <v>24</v>
      </c>
      <c r="BB49" s="3">
        <f>(BA49/BA48)-1</f>
        <v>0</v>
      </c>
      <c r="BD49">
        <f>BD48+5</f>
        <v>97</v>
      </c>
      <c r="BE49" s="5">
        <f>BD49-BD48</f>
        <v>5</v>
      </c>
      <c r="BF49">
        <f>BF48+-3</f>
        <v>4</v>
      </c>
      <c r="BG49" s="5">
        <f>BF49-BF48</f>
        <v>-3</v>
      </c>
      <c r="BH49">
        <f>BH48+0</f>
        <v>2</v>
      </c>
      <c r="BI49" s="3">
        <f>(BH49/BH48)-1</f>
        <v>0</v>
      </c>
      <c r="BK49">
        <f>BK48+23</f>
        <v>315</v>
      </c>
      <c r="BL49" s="5">
        <f>BK49-BK48</f>
        <v>23</v>
      </c>
      <c r="BM49">
        <f>BM48+1</f>
        <v>23</v>
      </c>
      <c r="BN49" s="5">
        <f>BM49-BM48</f>
        <v>1</v>
      </c>
      <c r="BO49">
        <f>BO48+0</f>
        <v>10</v>
      </c>
      <c r="BP49" s="3">
        <f>(BO49/BO48)-1</f>
        <v>0</v>
      </c>
      <c r="BR49">
        <f>BR48+30</f>
        <v>525</v>
      </c>
      <c r="BS49" s="5">
        <f>BR49-BR48</f>
        <v>30</v>
      </c>
      <c r="BV49">
        <f>BV48+1</f>
        <v>3</v>
      </c>
      <c r="BW49" s="3">
        <f>(BV49/BV48)-1</f>
        <v>0.5</v>
      </c>
      <c r="BY49">
        <f>N49+U49+AB49+AI49+AP49+AW49+BD49+BK49+BR49</f>
        <v>17550</v>
      </c>
      <c r="BZ49" s="5">
        <f>BY49-BY48</f>
        <v>741</v>
      </c>
      <c r="CA49">
        <f>P49+W49+AD49+AK49+AR49+AY49+BF49+BM49+BT49</f>
        <v>1938</v>
      </c>
      <c r="CB49" s="3">
        <f>(CA49/CA48)-1</f>
        <v>-0.0041109969167523186</v>
      </c>
      <c r="CC49">
        <f>R49+Y49+AF49+AM49+AT49+BA49+BH49+BO49+BV49</f>
        <v>1086</v>
      </c>
      <c r="CD49" s="3">
        <f>(CC49/CC48)-1</f>
        <v>0.048262548262548277</v>
      </c>
      <c r="CE49" s="3"/>
      <c r="CF49">
        <f>CA49-CA48</f>
        <v>-8</v>
      </c>
      <c r="CH49">
        <v>4</v>
      </c>
      <c r="CI49" t="s">
        <v>24</v>
      </c>
      <c r="CJ49" s="8">
        <v>43917</v>
      </c>
      <c r="CK49">
        <v>6</v>
      </c>
      <c r="CM49">
        <v>0</v>
      </c>
      <c r="CN49">
        <v>36</v>
      </c>
      <c r="CW49">
        <v>100</v>
      </c>
      <c r="CX49" t="s">
        <v>27</v>
      </c>
      <c r="DC49" s="9">
        <v>43891</v>
      </c>
      <c r="DD49">
        <v>74</v>
      </c>
      <c r="DE49">
        <f>(DD49/DD48)-1</f>
        <v>0.088235294117646967</v>
      </c>
    </row>
    <row r="50" spans="1:206" ht="19.5">
      <c r="C50">
        <f>H49*D50</f>
        <v>412.00000000349445</v>
      </c>
      <c r="D50">
        <f>0.023475783476</f>
        <v>0.023475783476</v>
      </c>
      <c r="E50" t="s">
        <v>12</v>
      </c>
      <c r="F50" s="9">
        <v>43940</v>
      </c>
      <c r="G50" s="2">
        <f>H50*15</f>
        <v>269429.99999985722</v>
      </c>
      <c r="H50">
        <f>H49+C50</f>
        <v>17961.999999990479</v>
      </c>
      <c r="I50">
        <v>17962</v>
      </c>
      <c r="J50">
        <v>758809</v>
      </c>
      <c r="K50">
        <f>N50+U50+AB50+AI50+AP50+AW50+BD50+BK50+BR50</f>
        <v>17962</v>
      </c>
      <c r="L50" s="3">
        <f>(K50/K49)-1</f>
        <v>0.023475783475783496</v>
      </c>
      <c r="N50">
        <f>N49+7</f>
        <v>600</v>
      </c>
      <c r="O50" s="5">
        <f>N50-N49</f>
        <v>7</v>
      </c>
      <c r="P50">
        <f>P49+-3</f>
        <v>27</v>
      </c>
      <c r="Q50" s="5">
        <f>P50-P49</f>
        <v>-3</v>
      </c>
      <c r="R50">
        <f>R49+0</f>
        <v>48</v>
      </c>
      <c r="S50" s="3">
        <f>(R50/R49)-1</f>
        <v>0</v>
      </c>
      <c r="U50">
        <f>U49+155</f>
        <v>3351</v>
      </c>
      <c r="V50" s="5">
        <f>U50-U49</f>
        <v>155</v>
      </c>
      <c r="W50">
        <f>W49+3</f>
        <v>420</v>
      </c>
      <c r="X50" s="5">
        <f>W50-W49</f>
        <v>3</v>
      </c>
      <c r="Y50">
        <f>Y49+6</f>
        <v>295</v>
      </c>
      <c r="Z50" s="3">
        <f>(Y50/Y49)-1</f>
        <v>0.02076124567474058</v>
      </c>
      <c r="AB50">
        <f>AB49+128</f>
        <v>4871</v>
      </c>
      <c r="AC50" s="5">
        <f>AB50-AB49</f>
        <v>128</v>
      </c>
      <c r="AD50">
        <f>AD49+-5</f>
        <v>633</v>
      </c>
      <c r="AE50" s="5">
        <f>AD50-AD49</f>
        <v>-5</v>
      </c>
      <c r="AF50">
        <f>AF49+16</f>
        <v>257</v>
      </c>
      <c r="AG50" s="3">
        <f>(AF50/AF49)-1</f>
        <v>0.06639004149377592</v>
      </c>
      <c r="AI50">
        <f>AI49+71</f>
        <v>7434</v>
      </c>
      <c r="AJ50" s="5">
        <f>AI50-AI49</f>
        <v>71</v>
      </c>
      <c r="AK50">
        <f>AK49+-30</f>
        <v>746</v>
      </c>
      <c r="AL50" s="5">
        <f>AK50-AK49</f>
        <v>-30</v>
      </c>
      <c r="AM50">
        <f>AM49+15</f>
        <v>447</v>
      </c>
      <c r="AN50" s="3">
        <f>(AM50/AM49)-1</f>
        <v>0.034722222222222321</v>
      </c>
      <c r="AP50">
        <f>AP49+14</f>
        <v>462</v>
      </c>
      <c r="AQ50" s="5">
        <f>AP50-AP49</f>
        <v>14</v>
      </c>
      <c r="AR50">
        <f>AR49+-3</f>
        <v>33</v>
      </c>
      <c r="AS50" s="5">
        <f>AR50-AR49</f>
        <v>-3</v>
      </c>
      <c r="AT50">
        <f>AT49+3</f>
        <v>40</v>
      </c>
      <c r="AU50" s="3">
        <f>(AT50/AT49)-1</f>
        <v>0.081081081081081141</v>
      </c>
      <c r="AW50">
        <f>AW49+6</f>
        <v>276</v>
      </c>
      <c r="AX50" s="5">
        <f>AW50-AW49</f>
        <v>6</v>
      </c>
      <c r="AY50">
        <f>AY49+-2</f>
        <v>12</v>
      </c>
      <c r="AZ50" s="5">
        <f>AY50-AY49</f>
        <v>-2</v>
      </c>
      <c r="BA50">
        <f>BA49+0</f>
        <v>24</v>
      </c>
      <c r="BB50" s="3">
        <f>(BA50/BA49)-1</f>
        <v>0</v>
      </c>
      <c r="BD50">
        <f>BD49+3</f>
        <v>100</v>
      </c>
      <c r="BE50" s="5">
        <f>BD50-BD49</f>
        <v>3</v>
      </c>
      <c r="BF50">
        <f>BF49+0</f>
        <v>4</v>
      </c>
      <c r="BG50" s="5">
        <f>BF50-BF49</f>
        <v>0</v>
      </c>
      <c r="BH50">
        <f>BH49+0</f>
        <v>2</v>
      </c>
      <c r="BI50" s="3">
        <f>(BH50/BH49)-1</f>
        <v>0</v>
      </c>
      <c r="BK50">
        <f>BK49+24</f>
        <v>339</v>
      </c>
      <c r="BL50" s="5">
        <f>BK50-BK49</f>
        <v>24</v>
      </c>
      <c r="BM50">
        <f>BM49+3</f>
        <v>26</v>
      </c>
      <c r="BN50" s="5">
        <f>BM50-BM49</f>
        <v>3</v>
      </c>
      <c r="BO50">
        <f>BO49+0</f>
        <v>10</v>
      </c>
      <c r="BP50" s="3">
        <f>(BO50/BO49)-1</f>
        <v>0</v>
      </c>
      <c r="BR50">
        <f>BR49+4</f>
        <v>529</v>
      </c>
      <c r="BS50" s="5">
        <f>BR50-BR49</f>
        <v>4</v>
      </c>
      <c r="BU50" s="3"/>
      <c r="BV50">
        <f>BV49+1</f>
        <v>4</v>
      </c>
      <c r="BW50" s="3">
        <f>(BV50/BV49)-1</f>
        <v>0.33333333333333326</v>
      </c>
      <c r="BY50">
        <f>N50+U50+AB50+AI50+AP50+AW50+BD50+BK50+BR50</f>
        <v>17962</v>
      </c>
      <c r="BZ50" s="5">
        <f>BY50-BY49</f>
        <v>412</v>
      </c>
      <c r="CA50">
        <f>P50+W50+AD50+AK50+AR50+AY50+BF50+BM50+BT50</f>
        <v>1901</v>
      </c>
      <c r="CB50" s="3">
        <f>(CA50/CA49)-1</f>
        <v>-0.01909184726522184</v>
      </c>
      <c r="CC50">
        <f>R50+Y50+AF50+AM50+AT50+BA50+BH50+BO50+BV50</f>
        <v>1127</v>
      </c>
      <c r="CD50" s="3">
        <f>(CC50/CC49)-1</f>
        <v>0.037753222836095723</v>
      </c>
      <c r="CE50" s="3"/>
      <c r="CF50">
        <f>CA50-CA49</f>
        <v>-37</v>
      </c>
      <c r="CH50">
        <v>4</v>
      </c>
      <c r="CI50" t="s">
        <v>24</v>
      </c>
      <c r="CJ50" s="8">
        <v>43918</v>
      </c>
      <c r="CK50">
        <v>6</v>
      </c>
      <c r="CM50">
        <v>0</v>
      </c>
      <c r="CN50">
        <v>37</v>
      </c>
      <c r="CW50">
        <v>100</v>
      </c>
      <c r="CX50" t="s">
        <v>28</v>
      </c>
      <c r="DC50" s="9">
        <v>43892</v>
      </c>
      <c r="DD50">
        <v>98</v>
      </c>
      <c r="DE50">
        <f>(DD50/DD49)-1</f>
        <v>0.32432432432432434</v>
      </c>
    </row>
    <row r="51" spans="1:206" ht="19.5">
      <c r="C51">
        <f>H50*D51</f>
        <v>1852.9999999926918</v>
      </c>
      <c r="D51">
        <f>0.10316223137699999</f>
        <v>0.10316223137699999</v>
      </c>
      <c r="E51" t="s">
        <v>14</v>
      </c>
      <c r="F51" s="9">
        <v>43941</v>
      </c>
      <c r="G51" s="2">
        <f>H51*15</f>
        <v>297224.99999974755</v>
      </c>
      <c r="H51">
        <f>H50+C51</f>
        <v>19814.999999983171</v>
      </c>
      <c r="I51">
        <v>19815</v>
      </c>
      <c r="J51">
        <v>784326</v>
      </c>
      <c r="K51">
        <f>N51+U51+AB51+AI51+AP51+AW51+BD51+BK51+BR51</f>
        <v>19815</v>
      </c>
      <c r="L51" s="3">
        <f>(K51/K50)-1</f>
        <v>0.10316223137735214</v>
      </c>
      <c r="N51">
        <f>N50+39</f>
        <v>639</v>
      </c>
      <c r="O51" s="5">
        <f>N51-N50</f>
        <v>39</v>
      </c>
      <c r="P51">
        <f>P50+-4</f>
        <v>23</v>
      </c>
      <c r="Q51" s="5">
        <f>P51-P50</f>
        <v>-4</v>
      </c>
      <c r="R51">
        <f>R50+10</f>
        <v>58</v>
      </c>
      <c r="S51" s="3">
        <f>(R51/R50)-1</f>
        <v>0.20833333333333326</v>
      </c>
      <c r="U51">
        <f>U50+472</f>
        <v>3823</v>
      </c>
      <c r="V51" s="5">
        <f>U51-U50</f>
        <v>472</v>
      </c>
      <c r="W51">
        <f>W50+35</f>
        <v>455</v>
      </c>
      <c r="X51" s="5">
        <f>W51-W50</f>
        <v>35</v>
      </c>
      <c r="Y51">
        <f>Y50+74</f>
        <v>369</v>
      </c>
      <c r="Z51" s="3">
        <f>(Y51/Y50)-1</f>
        <v>0.25084745762711869</v>
      </c>
      <c r="AB51">
        <f>AB50+401</f>
        <v>5272</v>
      </c>
      <c r="AC51" s="5">
        <f>AB51-AB50</f>
        <v>401</v>
      </c>
      <c r="AD51">
        <f>AD50+-7</f>
        <v>626</v>
      </c>
      <c r="AE51" s="5">
        <f>AD51-AD50</f>
        <v>-7</v>
      </c>
      <c r="AF51">
        <f>AF50+44</f>
        <v>301</v>
      </c>
      <c r="AG51" s="3">
        <f>(AF51/AF50)-1</f>
        <v>0.17120622568093391</v>
      </c>
      <c r="AI51">
        <f>AI50+886</f>
        <v>8320</v>
      </c>
      <c r="AJ51" s="5">
        <f>AI51-AI50</f>
        <v>886</v>
      </c>
      <c r="AK51">
        <f>AK50+-13</f>
        <v>733</v>
      </c>
      <c r="AL51" s="5">
        <f>AK51-AK50</f>
        <v>-13</v>
      </c>
      <c r="AM51">
        <f>AM50+65</f>
        <v>512</v>
      </c>
      <c r="AN51" s="3">
        <f>(AM51/AM50)-1</f>
        <v>0.14541387024608499</v>
      </c>
      <c r="AP51">
        <f>AP50+22</f>
        <v>484</v>
      </c>
      <c r="AQ51" s="5">
        <f>AP51-AP50</f>
        <v>22</v>
      </c>
      <c r="AR51">
        <f>AR50+3</f>
        <v>36</v>
      </c>
      <c r="AS51" s="5">
        <f>AR51-AR50</f>
        <v>3</v>
      </c>
      <c r="AT51">
        <f>AT50+5</f>
        <v>45</v>
      </c>
      <c r="AU51" s="3">
        <f>(AT51/AT50)-1</f>
        <v>0.125</v>
      </c>
      <c r="AW51">
        <f>AW50+23</f>
        <v>299</v>
      </c>
      <c r="AX51" s="5">
        <f>AW51-AW50</f>
        <v>23</v>
      </c>
      <c r="AY51">
        <f>AY50+1</f>
        <v>13</v>
      </c>
      <c r="AZ51" s="5">
        <f>AY51-AY50</f>
        <v>1</v>
      </c>
      <c r="BA51">
        <f>BA50+3</f>
        <v>27</v>
      </c>
      <c r="BB51" s="3">
        <f>(BA51/BA50)-1</f>
        <v>0.125</v>
      </c>
      <c r="BD51">
        <f>BD50+8</f>
        <v>108</v>
      </c>
      <c r="BE51" s="5">
        <f>BD51-BD50</f>
        <v>8</v>
      </c>
      <c r="BF51">
        <f>BF50+0</f>
        <v>4</v>
      </c>
      <c r="BG51" s="5">
        <f>BF51-BF50</f>
        <v>0</v>
      </c>
      <c r="BH51">
        <f>BH50+0</f>
        <v>2</v>
      </c>
      <c r="BI51" s="3">
        <f>(BH51/BH50)-1</f>
        <v>0</v>
      </c>
      <c r="BK51">
        <f>BK50+17</f>
        <v>356</v>
      </c>
      <c r="BL51" s="5">
        <f>BK51-BK50</f>
        <v>17</v>
      </c>
      <c r="BM51">
        <f>BM50+3</f>
        <v>29</v>
      </c>
      <c r="BN51" s="5">
        <f>BM51-BM50</f>
        <v>3</v>
      </c>
      <c r="BO51">
        <f>BO50+3</f>
        <v>13</v>
      </c>
      <c r="BP51" s="3">
        <f>(BO51/BO50)-1</f>
        <v>0.30000000000000004</v>
      </c>
      <c r="BR51">
        <f>BR50+-15</f>
        <v>514</v>
      </c>
      <c r="BS51" s="5">
        <f>BR51-BR50</f>
        <v>-15</v>
      </c>
      <c r="BU51" s="3"/>
      <c r="BV51">
        <f>BV50+0</f>
        <v>4</v>
      </c>
      <c r="BW51" s="3">
        <f>(BV51/BV50)-1</f>
        <v>0</v>
      </c>
      <c r="BY51">
        <f>N51+U51+AB51+AI51+AP51+AW51+BD51+BK51+BR51</f>
        <v>19815</v>
      </c>
      <c r="BZ51" s="5">
        <f>BY51-BY50</f>
        <v>1853</v>
      </c>
      <c r="CA51">
        <f>P51+W51+AD51+AK51+AR51+AY51+BF51+BM51+BT51</f>
        <v>1919</v>
      </c>
      <c r="CB51" s="3">
        <f>(CA51/CA50)-1</f>
        <v>0.0094687006838505283</v>
      </c>
      <c r="CC51">
        <f>R51+Y51+AF51+AM51+AT51+BA51+BH51+BO51+BV51</f>
        <v>1331</v>
      </c>
      <c r="CD51" s="3">
        <f>(CC51/CC50)-1</f>
        <v>0.18101153504880219</v>
      </c>
      <c r="CE51" s="3"/>
      <c r="CF51">
        <f>CA51-CA50</f>
        <v>18</v>
      </c>
      <c r="CH51">
        <v>4</v>
      </c>
      <c r="CI51" t="s">
        <v>24</v>
      </c>
      <c r="CJ51" s="8">
        <v>43919</v>
      </c>
      <c r="CK51">
        <v>6</v>
      </c>
      <c r="CM51">
        <v>0</v>
      </c>
      <c r="CN51">
        <v>38</v>
      </c>
      <c r="CW51">
        <v>100</v>
      </c>
      <c r="CX51">
        <v>99</v>
      </c>
      <c r="DC51" s="9">
        <v>43893</v>
      </c>
      <c r="DD51">
        <v>118</v>
      </c>
      <c r="DE51">
        <f>(DD51/DD50)-1</f>
        <v>0.20408163265306123</v>
      </c>
    </row>
    <row r="52" spans="1:206" ht="19.5">
      <c r="C52">
        <f>H51*D52</f>
        <v>544.9999999999161</v>
      </c>
      <c r="D52">
        <f>0.027504415846599999</f>
        <v>0.027504415846599999</v>
      </c>
      <c r="E52" t="s">
        <v>15</v>
      </c>
      <c r="F52" s="9">
        <v>43942</v>
      </c>
      <c r="G52" s="2">
        <f>H52*15</f>
        <v>305399.99999974633</v>
      </c>
      <c r="H52">
        <f>H51+C52</f>
        <v>20359.999999983087</v>
      </c>
      <c r="I52">
        <v>20360</v>
      </c>
      <c r="J52">
        <v>811865</v>
      </c>
      <c r="K52">
        <f>N52+U52+AB52+AI52+AP52+AW52+BD52+BK52+BR52</f>
        <v>20360</v>
      </c>
      <c r="L52" s="3">
        <f>(K52/K51)-1</f>
        <v>0.027504415846580921</v>
      </c>
      <c r="N52">
        <f>N51+4</f>
        <v>643</v>
      </c>
      <c r="O52" s="5">
        <f>N52-N51</f>
        <v>4</v>
      </c>
      <c r="P52">
        <f>P51+0</f>
        <v>23</v>
      </c>
      <c r="Q52" s="5">
        <f>P52-P51</f>
        <v>0</v>
      </c>
      <c r="R52">
        <f>R51+1</f>
        <v>59</v>
      </c>
      <c r="S52" s="5">
        <f>R52-R51</f>
        <v>1</v>
      </c>
      <c r="U52">
        <f>U51+128</f>
        <v>3951</v>
      </c>
      <c r="V52" s="5">
        <f>U52-U51</f>
        <v>128</v>
      </c>
      <c r="W52">
        <f>W51+18</f>
        <v>473</v>
      </c>
      <c r="X52" s="5">
        <f>W52-W51</f>
        <v>18</v>
      </c>
      <c r="Y52">
        <f>Y51+33</f>
        <v>402</v>
      </c>
      <c r="Z52" s="5">
        <f>Y52-Y51</f>
        <v>33</v>
      </c>
      <c r="AB52">
        <f>AB51+221</f>
        <v>5493</v>
      </c>
      <c r="AC52" s="5">
        <f>AB52-AB51</f>
        <v>221</v>
      </c>
      <c r="AD52">
        <f>AD51+-1</f>
        <v>625</v>
      </c>
      <c r="AE52" s="5">
        <f>AD52-AD51</f>
        <v>-1</v>
      </c>
      <c r="AF52">
        <f>AF51+21</f>
        <v>322</v>
      </c>
      <c r="AG52" s="5">
        <f>AF52-AF51</f>
        <v>21</v>
      </c>
      <c r="AI52">
        <f>AI51+152</f>
        <v>8472</v>
      </c>
      <c r="AJ52" s="5">
        <f>AI52-AI51</f>
        <v>152</v>
      </c>
      <c r="AK52">
        <f>AK51+2</f>
        <v>735</v>
      </c>
      <c r="AL52" s="5">
        <f>AK52-AK51</f>
        <v>2</v>
      </c>
      <c r="AM52">
        <f>AM51+32</f>
        <v>544</v>
      </c>
      <c r="AN52" s="5">
        <f>AM52-AM51</f>
        <v>32</v>
      </c>
      <c r="AP52">
        <f>AP51+28</f>
        <v>512</v>
      </c>
      <c r="AQ52" s="5">
        <f>AP52-AP51</f>
        <v>28</v>
      </c>
      <c r="AR52">
        <f>AR51+4</f>
        <v>40</v>
      </c>
      <c r="AS52" s="5">
        <f>AR52-AR51</f>
        <v>4</v>
      </c>
      <c r="AT52">
        <f>AT51+2</f>
        <v>47</v>
      </c>
      <c r="AU52" s="5">
        <f>AT52-AT51</f>
        <v>2</v>
      </c>
      <c r="AW52">
        <f>AW51+6</f>
        <v>305</v>
      </c>
      <c r="AX52" s="5">
        <f>AW52-AW51</f>
        <v>6</v>
      </c>
      <c r="AY52">
        <f>AY51+0</f>
        <v>13</v>
      </c>
      <c r="AZ52" s="5">
        <f>AY52-AY51</f>
        <v>0</v>
      </c>
      <c r="BA52">
        <f>BA51+3</f>
        <v>30</v>
      </c>
      <c r="BB52" s="5">
        <f>BA52-BA51</f>
        <v>3</v>
      </c>
      <c r="BD52">
        <f>BD51+4</f>
        <v>112</v>
      </c>
      <c r="BE52" s="5">
        <f>BD52-BD51</f>
        <v>4</v>
      </c>
      <c r="BF52">
        <f>BF51+1</f>
        <v>5</v>
      </c>
      <c r="BG52" s="5">
        <f>BF52-BF51</f>
        <v>1</v>
      </c>
      <c r="BH52">
        <f>BH51+0</f>
        <v>2</v>
      </c>
      <c r="BI52" s="5">
        <f>BH52-BH51</f>
        <v>0</v>
      </c>
      <c r="BK52">
        <f>BK51+13</f>
        <v>369</v>
      </c>
      <c r="BL52" s="5">
        <f>BK52-BK51</f>
        <v>13</v>
      </c>
      <c r="BM52">
        <f>BM51+6</f>
        <v>35</v>
      </c>
      <c r="BN52" s="5">
        <f>BM52-BM51</f>
        <v>6</v>
      </c>
      <c r="BO52">
        <f>BO51+0</f>
        <v>13</v>
      </c>
      <c r="BP52" s="5">
        <f>BO52-BO51</f>
        <v>0</v>
      </c>
      <c r="BR52">
        <f>BR51+-11</f>
        <v>503</v>
      </c>
      <c r="BS52" s="5">
        <f>BR52-BR51</f>
        <v>-11</v>
      </c>
      <c r="BU52" s="5"/>
      <c r="BV52">
        <f>BV51+0</f>
        <v>4</v>
      </c>
      <c r="BW52" s="5">
        <f>BV52-BV51</f>
        <v>0</v>
      </c>
      <c r="BY52">
        <f>N52+U52+AB52+AI52+AP52+AW52+BD52+BK52+BR52</f>
        <v>20360</v>
      </c>
      <c r="BZ52" s="5">
        <f>BY52-BY51</f>
        <v>545</v>
      </c>
      <c r="CA52">
        <f>P52+W52+AD52+AK52+AR52+AY52+BF52+BM52+BT52</f>
        <v>1949</v>
      </c>
      <c r="CB52" s="3">
        <f>(CA52/CA51)-1</f>
        <v>0.015633142261594513</v>
      </c>
      <c r="CC52">
        <f>R52+Y52+AF52+AM52+AT52+BA52+BH52+BO52+BV52</f>
        <v>1423</v>
      </c>
      <c r="CD52" s="3">
        <f>(CC52/CC51)-1</f>
        <v>0.069120961682945126</v>
      </c>
      <c r="CE52" s="3"/>
      <c r="CF52">
        <f>CA52-CA51</f>
        <v>30</v>
      </c>
      <c r="CH52">
        <v>4</v>
      </c>
      <c r="CI52" t="s">
        <v>24</v>
      </c>
      <c r="CJ52" s="8">
        <v>43920</v>
      </c>
      <c r="CK52">
        <v>9</v>
      </c>
      <c r="CM52">
        <v>0</v>
      </c>
      <c r="CN52">
        <v>39</v>
      </c>
      <c r="CW52">
        <v>100</v>
      </c>
      <c r="CX52" t="s">
        <v>29</v>
      </c>
      <c r="DC52" s="9">
        <v>43894</v>
      </c>
      <c r="DD52">
        <v>149</v>
      </c>
      <c r="DE52">
        <f>(DD52/DD51)-1</f>
        <v>0.26271186440677963</v>
      </c>
    </row>
    <row r="53" spans="1:206" ht="19.5">
      <c r="C53">
        <f>H52*D53</f>
        <v>2109.000000006648</v>
      </c>
      <c r="D53">
        <f>0.10358546169000001</f>
        <v>0.10358546169000001</v>
      </c>
      <c r="E53" t="s">
        <v>16</v>
      </c>
      <c r="F53" s="9">
        <v>43943</v>
      </c>
      <c r="G53" s="2">
        <f>H53*15</f>
        <v>337034.99999984598</v>
      </c>
      <c r="H53">
        <f>H52+C53</f>
        <v>22468.999999989734</v>
      </c>
      <c r="I53">
        <v>22469</v>
      </c>
      <c r="J53">
        <v>840351</v>
      </c>
      <c r="K53">
        <f>N53+U53+AB53+AI53+AP53+AW53+BD53+BK53+BR53</f>
        <v>22469</v>
      </c>
      <c r="L53" s="3">
        <f>(K53/K52)-1</f>
        <v>0.10358546168958749</v>
      </c>
      <c r="N53">
        <f>N52+79</f>
        <v>722</v>
      </c>
      <c r="O53" s="5">
        <f>N53-N52</f>
        <v>79</v>
      </c>
      <c r="P53">
        <f>P52+-3</f>
        <v>20</v>
      </c>
      <c r="Q53" s="5">
        <f>P53-P52</f>
        <v>-3</v>
      </c>
      <c r="R53">
        <f>R52+4</f>
        <v>63</v>
      </c>
      <c r="S53" s="5">
        <f>R53-R52</f>
        <v>4</v>
      </c>
      <c r="U53">
        <f>U52+177</f>
        <v>4128</v>
      </c>
      <c r="V53" s="5">
        <f>U53-U52</f>
        <v>177</v>
      </c>
      <c r="W53">
        <f>W52+22</f>
        <v>495</v>
      </c>
      <c r="X53" s="5">
        <f>W53-W52</f>
        <v>22</v>
      </c>
      <c r="Y53">
        <f>Y52+40</f>
        <v>442</v>
      </c>
      <c r="Z53" s="5">
        <f>Y53-Y52</f>
        <v>40</v>
      </c>
      <c r="AB53">
        <f>AB52+318</f>
        <v>5811</v>
      </c>
      <c r="AC53" s="5">
        <f>AB53-AB52</f>
        <v>318</v>
      </c>
      <c r="AD53">
        <f>AD52+-5</f>
        <v>620</v>
      </c>
      <c r="AE53" s="5">
        <f>AD53-AD52</f>
        <v>-5</v>
      </c>
      <c r="AF53">
        <f>AF52+23</f>
        <v>345</v>
      </c>
      <c r="AG53" s="5">
        <f>AF53-AF52</f>
        <v>23</v>
      </c>
      <c r="AI53">
        <f>AI52+1411</f>
        <v>9883</v>
      </c>
      <c r="AJ53" s="5">
        <f>AI53-AI52</f>
        <v>1411</v>
      </c>
      <c r="AK53">
        <f>AK52+14</f>
        <v>749</v>
      </c>
      <c r="AL53" s="5">
        <f>AK53-AK52</f>
        <v>14</v>
      </c>
      <c r="AM53">
        <f>AM52+40</f>
        <v>584</v>
      </c>
      <c r="AN53" s="5">
        <f>AM53-AM52</f>
        <v>40</v>
      </c>
      <c r="AP53">
        <f>AP52+13</f>
        <v>525</v>
      </c>
      <c r="AQ53" s="5">
        <f>AP53-AP52</f>
        <v>13</v>
      </c>
      <c r="AR53">
        <f>AR52+2</f>
        <v>42</v>
      </c>
      <c r="AS53" s="5">
        <f>AR53-AR52</f>
        <v>2</v>
      </c>
      <c r="AT53">
        <f>AT52+6</f>
        <v>53</v>
      </c>
      <c r="AU53" s="5">
        <f>AT53-AT52</f>
        <v>6</v>
      </c>
      <c r="AW53">
        <f>AW52+26</f>
        <v>331</v>
      </c>
      <c r="AX53" s="5">
        <f>AW53-AW52</f>
        <v>26</v>
      </c>
      <c r="AY53">
        <f>AY52+-2</f>
        <v>11</v>
      </c>
      <c r="AZ53" s="5">
        <f>AY53-AY52</f>
        <v>-2</v>
      </c>
      <c r="BA53">
        <f>BA52+2</f>
        <v>32</v>
      </c>
      <c r="BB53" s="5">
        <f>BA53-BA52</f>
        <v>2</v>
      </c>
      <c r="BD53">
        <f>BD52+10</f>
        <v>122</v>
      </c>
      <c r="BE53" s="5">
        <f>BD53-BD52</f>
        <v>10</v>
      </c>
      <c r="BF53">
        <f>BF52+-2</f>
        <v>3</v>
      </c>
      <c r="BG53" s="5">
        <f>BF53-BF52</f>
        <v>-2</v>
      </c>
      <c r="BH53">
        <f>BH52+2</f>
        <v>4</v>
      </c>
      <c r="BI53" s="5">
        <f>BH53-BH52</f>
        <v>2</v>
      </c>
      <c r="BK53">
        <f>BK52+28</f>
        <v>397</v>
      </c>
      <c r="BL53" s="5">
        <f>BK53-BK52</f>
        <v>28</v>
      </c>
      <c r="BM53">
        <f>BM52+-3</f>
        <v>32</v>
      </c>
      <c r="BN53" s="5">
        <f>BM53-BM52</f>
        <v>-3</v>
      </c>
      <c r="BO53">
        <f>BO52+1</f>
        <v>14</v>
      </c>
      <c r="BP53" s="5">
        <f>BO53-BO52</f>
        <v>1</v>
      </c>
      <c r="BR53">
        <f>BR52+47</f>
        <v>550</v>
      </c>
      <c r="BS53" s="5">
        <f>BR53-BR52</f>
        <v>47</v>
      </c>
      <c r="BU53" s="5"/>
      <c r="BV53">
        <f>BV52+3</f>
        <v>7</v>
      </c>
      <c r="BW53" s="5">
        <f>BV53-BV52</f>
        <v>3</v>
      </c>
      <c r="BY53">
        <f>N53+U53+AB53+AI53+AP53+AW53+BD53+BK53+BR53</f>
        <v>22469</v>
      </c>
      <c r="BZ53" s="5">
        <f>BY53-BY52</f>
        <v>2109</v>
      </c>
      <c r="CA53">
        <f>P53+W53+AD53+AK53+AR53+AY53+BF53+BM53+BT53</f>
        <v>1972</v>
      </c>
      <c r="CB53" s="3">
        <f>(CA53/CA52)-1</f>
        <v>0.011800923550538744</v>
      </c>
      <c r="CC53">
        <f>R53+Y53+AF53+AM53+AT53+BA53+BH53+BO53+BV53</f>
        <v>1544</v>
      </c>
      <c r="CD53" s="3">
        <f>(CC53/CC52)-1</f>
        <v>0.085031623330990902</v>
      </c>
      <c r="CE53" s="3"/>
      <c r="CF53">
        <f>CA53-CA52</f>
        <v>23</v>
      </c>
      <c r="CH53">
        <v>4</v>
      </c>
      <c r="CI53" t="s">
        <v>24</v>
      </c>
      <c r="CJ53" s="8">
        <v>43921</v>
      </c>
      <c r="CK53">
        <v>10</v>
      </c>
      <c r="CM53">
        <v>0</v>
      </c>
      <c r="CN53">
        <v>40</v>
      </c>
      <c r="CW53">
        <v>100</v>
      </c>
      <c r="CX53" t="s">
        <v>30</v>
      </c>
      <c r="DC53" s="9">
        <v>43895</v>
      </c>
      <c r="DD53">
        <v>217</v>
      </c>
      <c r="DE53">
        <f>(DD53/DD52)-1</f>
        <v>0.4563758389261745</v>
      </c>
    </row>
    <row r="54" spans="1:206" ht="19.5">
      <c r="C54">
        <f>H53*D54</f>
        <v>630.99999999945953</v>
      </c>
      <c r="D54">
        <v>0.028083136766200001</v>
      </c>
      <c r="E54" t="s">
        <v>17</v>
      </c>
      <c r="F54" s="9">
        <v>43944</v>
      </c>
      <c r="G54" s="2">
        <f>H54*15</f>
        <v>346499.99999983789</v>
      </c>
      <c r="H54">
        <f>H53+C54</f>
        <v>23099.999999989192</v>
      </c>
      <c r="I54">
        <v>23100</v>
      </c>
      <c r="J54">
        <v>869170</v>
      </c>
      <c r="K54">
        <f>N54+U54+AB54+AI54+AP54+AW54+BD54+BK54+BR54</f>
        <v>23100</v>
      </c>
      <c r="L54" s="3">
        <f>(K54/K53)-1</f>
        <v>0.028083136766211325</v>
      </c>
      <c r="N54">
        <f>N53+29</f>
        <v>751</v>
      </c>
      <c r="O54" s="5">
        <f>N54-N53</f>
        <v>29</v>
      </c>
      <c r="P54">
        <f>P53+2</f>
        <v>22</v>
      </c>
      <c r="Q54" s="5">
        <f>P54-P53</f>
        <v>2</v>
      </c>
      <c r="R54">
        <f>R53+3</f>
        <v>66</v>
      </c>
      <c r="S54" s="5">
        <f>R54-R53</f>
        <v>3</v>
      </c>
      <c r="U54">
        <f>U53+175</f>
        <v>4303</v>
      </c>
      <c r="V54" s="5">
        <f>U54-U53</f>
        <v>175</v>
      </c>
      <c r="W54">
        <f>W53+-5</f>
        <v>490</v>
      </c>
      <c r="X54" s="5">
        <f>W54-W53</f>
        <v>-5</v>
      </c>
      <c r="Y54">
        <f>Y53+27</f>
        <v>469</v>
      </c>
      <c r="Z54" s="5">
        <f>Y54-Y53</f>
        <v>27</v>
      </c>
      <c r="AB54">
        <f>AB53+253</f>
        <v>6064</v>
      </c>
      <c r="AC54" s="5">
        <f>AB54-AB53</f>
        <v>253</v>
      </c>
      <c r="AD54">
        <f>AD53+6</f>
        <v>626</v>
      </c>
      <c r="AE54" s="5">
        <f>AD54-AD53</f>
        <v>6</v>
      </c>
      <c r="AF54">
        <f>AF53+27</f>
        <v>372</v>
      </c>
      <c r="AG54" s="5">
        <f>AF54-AF53</f>
        <v>27</v>
      </c>
      <c r="AI54">
        <f>AI53+125</f>
        <v>10008</v>
      </c>
      <c r="AJ54" s="5">
        <f>AI54-AI53</f>
        <v>125</v>
      </c>
      <c r="AK54">
        <f>AK53+-19</f>
        <v>730</v>
      </c>
      <c r="AL54" s="5">
        <f>AK54-AK53</f>
        <v>-19</v>
      </c>
      <c r="AM54">
        <f>AM53+31</f>
        <v>615</v>
      </c>
      <c r="AN54" s="5">
        <f>AM54-AM53</f>
        <v>31</v>
      </c>
      <c r="AP54">
        <f>AP53+20</f>
        <v>545</v>
      </c>
      <c r="AQ54" s="5">
        <f>AP54-AP53</f>
        <v>20</v>
      </c>
      <c r="AR54">
        <f>AR53+-4</f>
        <v>38</v>
      </c>
      <c r="AS54" s="5">
        <f>AR54-AR53</f>
        <v>-4</v>
      </c>
      <c r="AT54">
        <f>AT53+4</f>
        <v>57</v>
      </c>
      <c r="AU54" s="5">
        <f>AT54-AT53</f>
        <v>4</v>
      </c>
      <c r="AW54">
        <f>AW53+28</f>
        <v>359</v>
      </c>
      <c r="AX54" s="5">
        <f>AW54-AW53</f>
        <v>28</v>
      </c>
      <c r="AY54">
        <f>AY53+-5</f>
        <v>6</v>
      </c>
      <c r="AZ54" s="5">
        <f>AY54-AY53</f>
        <v>-5</v>
      </c>
      <c r="BA54">
        <f>BA53+1</f>
        <v>33</v>
      </c>
      <c r="BB54" s="5">
        <f>BA54-BA53</f>
        <v>1</v>
      </c>
      <c r="BD54">
        <f>BD53+7</f>
        <v>129</v>
      </c>
      <c r="BE54" s="5">
        <f>BD54-BD53</f>
        <v>7</v>
      </c>
      <c r="BF54">
        <f>BF53+1</f>
        <v>4</v>
      </c>
      <c r="BG54" s="5">
        <f>BF54-BF53</f>
        <v>1</v>
      </c>
      <c r="BH54">
        <f>BH53+0</f>
        <v>4</v>
      </c>
      <c r="BI54" s="5">
        <f>BH54-BH53</f>
        <v>0</v>
      </c>
      <c r="BK54">
        <f>BK53+22</f>
        <v>419</v>
      </c>
      <c r="BL54" s="5">
        <f>BK54-BK53</f>
        <v>22</v>
      </c>
      <c r="BM54">
        <f>BM53+-1</f>
        <v>31</v>
      </c>
      <c r="BN54" s="5">
        <f>BM54-BM53</f>
        <v>-1</v>
      </c>
      <c r="BO54">
        <f>BO53+3</f>
        <v>17</v>
      </c>
      <c r="BP54" s="5">
        <f>BO54-BO53</f>
        <v>3</v>
      </c>
      <c r="BR54">
        <f>BR53+-28</f>
        <v>522</v>
      </c>
      <c r="BS54" s="5">
        <f>BR54-BR53</f>
        <v>-28</v>
      </c>
      <c r="BU54" s="5"/>
      <c r="BV54">
        <f>BV53+-1</f>
        <v>6</v>
      </c>
      <c r="BW54" s="5">
        <f>BV54-BV53</f>
        <v>-1</v>
      </c>
      <c r="BY54">
        <f>N54+U54+AB54+AI54+AP54+AW54+BD54+BK54+BR54</f>
        <v>23100</v>
      </c>
      <c r="BZ54" s="5">
        <f>BY54-BY53</f>
        <v>631</v>
      </c>
      <c r="CA54">
        <f>P54+W54+AD54+AK54+AR54+AY54+BF54+BM54+BT54</f>
        <v>1947</v>
      </c>
      <c r="CB54" s="3">
        <f>(CA54/CA53)-1</f>
        <v>-0.012677484787018245</v>
      </c>
      <c r="CC54">
        <f>R54+Y54+AF54+AM54+AT54+BA54+BH54+BO54+BV54</f>
        <v>1639</v>
      </c>
      <c r="CD54" s="3">
        <f>(CC54/CC53)-1</f>
        <v>0.061528497409326421</v>
      </c>
      <c r="CE54" s="3"/>
      <c r="CF54">
        <f>CA54-CA53</f>
        <v>-25</v>
      </c>
      <c r="CH54">
        <v>4</v>
      </c>
      <c r="CI54" t="s">
        <v>24</v>
      </c>
      <c r="CJ54" s="8">
        <v>43922</v>
      </c>
      <c r="CK54">
        <v>10</v>
      </c>
      <c r="CM54">
        <v>0</v>
      </c>
      <c r="CN54">
        <v>41</v>
      </c>
      <c r="CW54">
        <v>100</v>
      </c>
      <c r="CX54" t="s">
        <v>31</v>
      </c>
      <c r="DC54" s="9">
        <v>43896</v>
      </c>
      <c r="DD54">
        <v>262</v>
      </c>
      <c r="DE54">
        <f>(DD54/DD53)-1</f>
        <v>0.20737327188940102</v>
      </c>
    </row>
    <row r="55" spans="1:206" ht="19.5">
      <c r="C55">
        <f>H54*D55</f>
        <v>820.99999999671593</v>
      </c>
      <c r="D55">
        <f>0.035541125541000002</f>
        <v>0.035541125541000002</v>
      </c>
      <c r="E55" t="s">
        <v>18</v>
      </c>
      <c r="F55" s="9">
        <v>43945</v>
      </c>
      <c r="G55" s="2">
        <f>H55*15</f>
        <v>358814.99999978859</v>
      </c>
      <c r="H55">
        <f>H54+C55</f>
        <v>23920.999999985906</v>
      </c>
      <c r="I55">
        <v>23921</v>
      </c>
      <c r="J55">
        <v>905358</v>
      </c>
      <c r="K55">
        <f>N55+U55+AB55+AI55+AP55+AW55+BD55+BK55+BR55</f>
        <v>23921</v>
      </c>
      <c r="L55" s="3">
        <f>(K55/K54)-1</f>
        <v>0.03554112554112554</v>
      </c>
      <c r="N55">
        <f>N54+57</f>
        <v>808</v>
      </c>
      <c r="O55" s="5">
        <f>N55-N54</f>
        <v>57</v>
      </c>
      <c r="P55">
        <f>P54+0</f>
        <v>22</v>
      </c>
      <c r="Q55" s="5">
        <f>P55-P54</f>
        <v>0</v>
      </c>
      <c r="R55">
        <f>R54+3</f>
        <v>69</v>
      </c>
      <c r="S55" s="5">
        <f>R55-R54</f>
        <v>3</v>
      </c>
      <c r="U55">
        <f>U54+267</f>
        <v>4570</v>
      </c>
      <c r="V55" s="5">
        <f>U55-U54</f>
        <v>267</v>
      </c>
      <c r="W55">
        <f>W54+-28</f>
        <v>462</v>
      </c>
      <c r="X55" s="5">
        <f>W55-W54</f>
        <v>-28</v>
      </c>
      <c r="Y55">
        <f>Y54+42</f>
        <v>511</v>
      </c>
      <c r="Z55" s="5">
        <f>Y55-Y54</f>
        <v>42</v>
      </c>
      <c r="AB55">
        <f>AB54+222</f>
        <v>6286</v>
      </c>
      <c r="AC55" s="5">
        <f>AB55-AB54</f>
        <v>222</v>
      </c>
      <c r="AD55">
        <f>AD54+-9</f>
        <v>617</v>
      </c>
      <c r="AE55" s="5">
        <f>AD55-AD54</f>
        <v>-9</v>
      </c>
      <c r="AF55">
        <f>AF54+24</f>
        <v>396</v>
      </c>
      <c r="AG55" s="5">
        <f>AF55-AF54</f>
        <v>24</v>
      </c>
      <c r="AI55">
        <f>AI54+219</f>
        <v>10227</v>
      </c>
      <c r="AJ55" s="5">
        <f>AI55-AI54</f>
        <v>219</v>
      </c>
      <c r="AK55">
        <f>AK54+-36</f>
        <v>694</v>
      </c>
      <c r="AL55" s="5">
        <f>AK55-AK54</f>
        <v>-36</v>
      </c>
      <c r="AM55">
        <f>AM54+47</f>
        <v>662</v>
      </c>
      <c r="AN55" s="5">
        <f>AM55-AM54</f>
        <v>47</v>
      </c>
      <c r="AP55">
        <f>AP54+16</f>
        <v>561</v>
      </c>
      <c r="AQ55" s="5">
        <f>AP55-AP54</f>
        <v>16</v>
      </c>
      <c r="AR55">
        <f>AR54+1</f>
        <v>39</v>
      </c>
      <c r="AS55" s="5">
        <f>AR55-AR54</f>
        <v>1</v>
      </c>
      <c r="AT55">
        <f>AT54+6</f>
        <v>63</v>
      </c>
      <c r="AU55" s="5">
        <f>AT55-AT54</f>
        <v>6</v>
      </c>
      <c r="AW55">
        <f>AW54+16</f>
        <v>375</v>
      </c>
      <c r="AX55" s="5">
        <f>AW55-AW54</f>
        <v>16</v>
      </c>
      <c r="AY55">
        <f>AY54+-2</f>
        <v>4</v>
      </c>
      <c r="AZ55" s="5">
        <f>AY55-AY54</f>
        <v>-2</v>
      </c>
      <c r="BA55">
        <f>BA54+1</f>
        <v>34</v>
      </c>
      <c r="BB55" s="5">
        <f>BA55-BA54</f>
        <v>1</v>
      </c>
      <c r="BD55">
        <f>BD54+10</f>
        <v>139</v>
      </c>
      <c r="BE55" s="5">
        <f>BD55-BD54</f>
        <v>10</v>
      </c>
      <c r="BF55">
        <f>BF54+2</f>
        <v>6</v>
      </c>
      <c r="BG55" s="5">
        <f>BF55-BF54</f>
        <v>2</v>
      </c>
      <c r="BH55">
        <f>BH54+-1</f>
        <v>3</v>
      </c>
      <c r="BI55" s="5">
        <f>BH55-BH54</f>
        <v>-1</v>
      </c>
      <c r="BK55">
        <f>BK54+29</f>
        <v>448</v>
      </c>
      <c r="BL55" s="5">
        <f>BK55-BK54</f>
        <v>29</v>
      </c>
      <c r="BM55">
        <f>BM54+2</f>
        <v>33</v>
      </c>
      <c r="BN55" s="5">
        <f>BM55-BM54</f>
        <v>2</v>
      </c>
      <c r="BO55">
        <f>BO54+6</f>
        <v>23</v>
      </c>
      <c r="BP55" s="5">
        <f>BO55-BO54</f>
        <v>6</v>
      </c>
      <c r="BR55">
        <f>BR54+-15</f>
        <v>507</v>
      </c>
      <c r="BS55" s="5">
        <f>BR55-BR54</f>
        <v>-15</v>
      </c>
      <c r="BU55" s="5"/>
      <c r="BV55">
        <f>BV54+-3</f>
        <v>3</v>
      </c>
      <c r="BW55" s="5">
        <f>BV55-BV54</f>
        <v>-3</v>
      </c>
      <c r="BY55">
        <f>N55+U55+AB55+AI55+AP55+AW55+BD55+BK55+BR55</f>
        <v>23921</v>
      </c>
      <c r="BZ55" s="5">
        <f>BY55-BY54</f>
        <v>821</v>
      </c>
      <c r="CA55">
        <f>P55+W55+AD55+AK55+AR55+AY55+BF55+BM55+BT55</f>
        <v>1877</v>
      </c>
      <c r="CB55" s="3">
        <f>(CA55/CA54)-1</f>
        <v>-0.035952747817154629</v>
      </c>
      <c r="CC55">
        <f>R55+Y55+AF55+AM55+AT55+BA55+BH55+BO55+BV55</f>
        <v>1764</v>
      </c>
      <c r="CD55" s="3">
        <f>(CC55/CC54)-1</f>
        <v>0.07626601586333126</v>
      </c>
      <c r="CE55" s="3"/>
      <c r="CF55">
        <f>CA55-CA54</f>
        <v>-70</v>
      </c>
      <c r="CH55">
        <v>4</v>
      </c>
      <c r="CI55" t="s">
        <v>24</v>
      </c>
      <c r="CJ55" s="8">
        <v>43923</v>
      </c>
      <c r="CK55">
        <v>11</v>
      </c>
      <c r="CM55">
        <v>0</v>
      </c>
      <c r="CN55">
        <v>42</v>
      </c>
      <c r="CW55">
        <v>100</v>
      </c>
      <c r="CX55">
        <v>88</v>
      </c>
      <c r="DC55" s="9">
        <v>43897</v>
      </c>
      <c r="DD55">
        <v>402</v>
      </c>
      <c r="DE55">
        <f>(DD55/DD54)-1</f>
        <v>0.53435114503816794</v>
      </c>
    </row>
    <row r="56" spans="1:206" ht="19.5">
      <c r="C56">
        <f>H55*D56</f>
        <v>660.99999999534452</v>
      </c>
      <c r="D56">
        <f>0.027632624054</f>
        <v>0.027632624054</v>
      </c>
      <c r="E56" t="s">
        <v>19</v>
      </c>
      <c r="F56" s="9">
        <v>43946</v>
      </c>
      <c r="G56" s="2">
        <f>H56*15</f>
        <v>368729.99999971874</v>
      </c>
      <c r="H56">
        <f>H55+C56</f>
        <v>24581.99999998125</v>
      </c>
      <c r="I56">
        <v>24582</v>
      </c>
      <c r="J56">
        <v>938154</v>
      </c>
      <c r="K56">
        <f>N56+U56+AB56+AI56+AP56+AW56+BD56+BK56+BR56</f>
        <v>24582</v>
      </c>
      <c r="L56" s="3">
        <f>(K56/K55)-1</f>
        <v>0.027632624054178434</v>
      </c>
      <c r="N56">
        <f>N55+26</f>
        <v>834</v>
      </c>
      <c r="O56" s="5">
        <f>N56-N55</f>
        <v>26</v>
      </c>
      <c r="P56">
        <f>P55+0</f>
        <v>22</v>
      </c>
      <c r="Q56" s="5">
        <f>P56-P55</f>
        <v>0</v>
      </c>
      <c r="R56">
        <f>R55+4</f>
        <v>73</v>
      </c>
      <c r="S56" s="5">
        <f>R56-R55</f>
        <v>4</v>
      </c>
      <c r="U56">
        <f>U55+191</f>
        <v>4761</v>
      </c>
      <c r="V56" s="5">
        <f>U56-U55</f>
        <v>191</v>
      </c>
      <c r="W56">
        <f>W55+-19</f>
        <v>443</v>
      </c>
      <c r="X56" s="5">
        <f>W56-W55</f>
        <v>-19</v>
      </c>
      <c r="Y56">
        <f>Y55+42</f>
        <v>553</v>
      </c>
      <c r="Z56" s="5">
        <f>Y56-Y55</f>
        <v>42</v>
      </c>
      <c r="AB56">
        <f>AB55+223</f>
        <v>6509</v>
      </c>
      <c r="AC56" s="5">
        <f>AB56-AB55</f>
        <v>223</v>
      </c>
      <c r="AD56">
        <f>AD55+-7</f>
        <v>610</v>
      </c>
      <c r="AE56" s="5">
        <f>AD56-AD55</f>
        <v>-7</v>
      </c>
      <c r="AF56">
        <f>AF55+20</f>
        <v>416</v>
      </c>
      <c r="AG56" s="5">
        <f>AF56-AF55</f>
        <v>20</v>
      </c>
      <c r="AI56">
        <f>AI55+146</f>
        <v>10373</v>
      </c>
      <c r="AJ56" s="5">
        <f>AI56-AI55</f>
        <v>146</v>
      </c>
      <c r="AK56">
        <f>AK55+-45</f>
        <v>649</v>
      </c>
      <c r="AL56" s="5">
        <f>AK56-AK55</f>
        <v>-45</v>
      </c>
      <c r="AM56">
        <f>AM55+27</f>
        <v>689</v>
      </c>
      <c r="AN56" s="5">
        <f>AM56-AM55</f>
        <v>27</v>
      </c>
      <c r="AP56">
        <f>AP55+15</f>
        <v>576</v>
      </c>
      <c r="AQ56" s="5">
        <f>AP56-AP55</f>
        <v>15</v>
      </c>
      <c r="AR56">
        <f>AR55+2</f>
        <v>41</v>
      </c>
      <c r="AS56" s="5">
        <f>AR56-AR55</f>
        <v>2</v>
      </c>
      <c r="AT56">
        <f>AT55+-1</f>
        <v>62</v>
      </c>
      <c r="AU56" s="5">
        <f>AT56-AT55</f>
        <v>-1</v>
      </c>
      <c r="AW56">
        <f>AW55+9</f>
        <v>384</v>
      </c>
      <c r="AX56" s="5">
        <f>AW56-AW55</f>
        <v>9</v>
      </c>
      <c r="AY56">
        <f>AY55+2</f>
        <v>6</v>
      </c>
      <c r="AZ56" s="5">
        <f>AY56-AY55</f>
        <v>2</v>
      </c>
      <c r="BA56">
        <f>BA55+1</f>
        <v>35</v>
      </c>
      <c r="BB56" s="5">
        <f>BA56-BA55</f>
        <v>1</v>
      </c>
      <c r="BD56">
        <f>BD55+12</f>
        <v>151</v>
      </c>
      <c r="BE56" s="5">
        <f>BD56-BD55</f>
        <v>12</v>
      </c>
      <c r="BF56">
        <f>BF55+0</f>
        <v>6</v>
      </c>
      <c r="BG56" s="5">
        <f>BF56-BF55</f>
        <v>0</v>
      </c>
      <c r="BH56">
        <f>BH55+0</f>
        <v>3</v>
      </c>
      <c r="BI56" s="5">
        <f>BH56-BH55</f>
        <v>0</v>
      </c>
      <c r="BK56">
        <f>BK55+25</f>
        <v>473</v>
      </c>
      <c r="BL56" s="5">
        <f>BK56-BK55</f>
        <v>25</v>
      </c>
      <c r="BM56">
        <f>BM55+0</f>
        <v>33</v>
      </c>
      <c r="BN56" s="5">
        <f>BM56-BM55</f>
        <v>0</v>
      </c>
      <c r="BO56">
        <f>BO55+5</f>
        <v>28</v>
      </c>
      <c r="BP56" s="5">
        <f>BO56-BO55</f>
        <v>5</v>
      </c>
      <c r="BR56">
        <f>BR55+14</f>
        <v>521</v>
      </c>
      <c r="BS56" s="5">
        <f>BR56-BR55</f>
        <v>14</v>
      </c>
      <c r="BU56" s="5"/>
      <c r="BV56">
        <f>BV55+0</f>
        <v>3</v>
      </c>
      <c r="BW56" s="5">
        <f>BV56-BV55</f>
        <v>0</v>
      </c>
      <c r="BY56">
        <f>N56+U56+AB56+AI56+AP56+AW56+BD56+BK56+BR56</f>
        <v>24582</v>
      </c>
      <c r="BZ56" s="5">
        <f>BY56-BY55</f>
        <v>661</v>
      </c>
      <c r="CA56">
        <f>P56+W56+AD56+AK56+AR56+AY56+BF56+BM56+BT56</f>
        <v>1810</v>
      </c>
      <c r="CB56" s="3">
        <f>(CA56/CA55)-1</f>
        <v>-0.035695258391049589</v>
      </c>
      <c r="CC56">
        <f>R56+Y56+AF56+AM56+AT56+BA56+BH56+BO56+BV56</f>
        <v>1862</v>
      </c>
      <c r="CD56" s="3">
        <f>(CC56/CC55)-1</f>
        <v>0.05555555555555558</v>
      </c>
      <c r="CE56" s="3"/>
      <c r="CF56">
        <f>CA56-CA55</f>
        <v>-67</v>
      </c>
      <c r="CH56">
        <v>4</v>
      </c>
      <c r="CI56" t="s">
        <v>24</v>
      </c>
      <c r="CJ56" s="8">
        <v>43924</v>
      </c>
      <c r="CK56">
        <v>11</v>
      </c>
      <c r="CM56">
        <v>0</v>
      </c>
      <c r="CN56">
        <v>43</v>
      </c>
      <c r="CW56">
        <v>100</v>
      </c>
      <c r="CX56" t="inlineStr">
        <is>
          <t>25th</t>
        </is>
      </c>
      <c r="DC56" s="9">
        <v>43898</v>
      </c>
      <c r="DD56">
        <v>518</v>
      </c>
      <c r="DE56">
        <f>(DD56/DD55)-1</f>
        <v>0.28855721393034828</v>
      </c>
    </row>
    <row r="57" spans="1:206" ht="19.5">
      <c r="C57">
        <f>H56*D57</f>
        <v>687.00000000043894</v>
      </c>
      <c r="D57">
        <f>0.0279472784965</f>
        <v>0.0279472784965</v>
      </c>
      <c r="E57" t="s">
        <v>12</v>
      </c>
      <c r="F57" s="9">
        <v>43947</v>
      </c>
      <c r="G57" s="2">
        <f>H57*15</f>
        <v>379034.99999972538</v>
      </c>
      <c r="H57">
        <f>H56+C57</f>
        <v>25268.99999998169</v>
      </c>
      <c r="I57">
        <v>25269</v>
      </c>
      <c r="J57">
        <v>965785</v>
      </c>
      <c r="K57">
        <f>N57+U57+AB57+AI57+AP57+AW57+BD57+BK57+BR57</f>
        <v>25269</v>
      </c>
      <c r="L57" s="3">
        <f>(K57/K56)-1</f>
        <v>0.027947278496460726</v>
      </c>
      <c r="N57">
        <f>N56+30</f>
        <v>864</v>
      </c>
      <c r="O57" s="5">
        <f>N57-N56</f>
        <v>30</v>
      </c>
      <c r="P57">
        <f>P56+0</f>
        <v>22</v>
      </c>
      <c r="Q57" s="5">
        <f>P57-P56</f>
        <v>0</v>
      </c>
      <c r="R57">
        <f>R56+1</f>
        <v>74</v>
      </c>
      <c r="S57" s="5">
        <f>R57-R56</f>
        <v>1</v>
      </c>
      <c r="U57">
        <f>U56+228</f>
        <v>4989</v>
      </c>
      <c r="V57" s="5">
        <f>U57-U56</f>
        <v>228</v>
      </c>
      <c r="W57">
        <f>W56+-17</f>
        <v>426</v>
      </c>
      <c r="X57" s="5">
        <f>W57-W56</f>
        <v>-17</v>
      </c>
      <c r="Y57">
        <f>Y56+26</f>
        <v>579</v>
      </c>
      <c r="Z57" s="5">
        <f>Y57-Y56</f>
        <v>26</v>
      </c>
      <c r="AB57">
        <f>AB56+206</f>
        <v>6715</v>
      </c>
      <c r="AC57" s="5">
        <f>AB57-AB56</f>
        <v>206</v>
      </c>
      <c r="AD57">
        <f>AD56+-5</f>
        <v>605</v>
      </c>
      <c r="AE57" s="5">
        <f>AD57-AD56</f>
        <v>-5</v>
      </c>
      <c r="AF57">
        <f>AF56+13</f>
        <v>429</v>
      </c>
      <c r="AG57" s="5">
        <f>AF57-AF56</f>
        <v>13</v>
      </c>
      <c r="AI57">
        <f>AI56+156</f>
        <v>10529</v>
      </c>
      <c r="AJ57" s="5">
        <f>AI57-AI56</f>
        <v>156</v>
      </c>
      <c r="AK57">
        <f>AK56+-14</f>
        <v>635</v>
      </c>
      <c r="AL57" s="5">
        <f>AK57-AK56</f>
        <v>-14</v>
      </c>
      <c r="AM57">
        <f>AM56+18</f>
        <v>707</v>
      </c>
      <c r="AN57" s="5">
        <f>AM57-AM56</f>
        <v>18</v>
      </c>
      <c r="AP57">
        <f>AP56+12</f>
        <v>588</v>
      </c>
      <c r="AQ57" s="5">
        <f>AP57-AP56</f>
        <v>12</v>
      </c>
      <c r="AR57">
        <f>AR56+-4</f>
        <v>37</v>
      </c>
      <c r="AS57" s="5">
        <f>AR57-AR56</f>
        <v>-4</v>
      </c>
      <c r="AT57">
        <f>AT56+4</f>
        <v>66</v>
      </c>
      <c r="AU57" s="5">
        <f>AT57-AT56</f>
        <v>4</v>
      </c>
      <c r="AW57">
        <f>AW56+23</f>
        <v>407</v>
      </c>
      <c r="AX57" s="5">
        <f>AW57-AW56</f>
        <v>23</v>
      </c>
      <c r="AY57">
        <f>AY56+-1</f>
        <v>5</v>
      </c>
      <c r="AZ57" s="5">
        <f>AY57-AY56</f>
        <v>-1</v>
      </c>
      <c r="BA57">
        <f>BA56+0</f>
        <v>35</v>
      </c>
      <c r="BB57" s="5">
        <f>BA57-BA56</f>
        <v>0</v>
      </c>
      <c r="BD57">
        <f>BD56+6</f>
        <v>157</v>
      </c>
      <c r="BE57" s="5">
        <f>BD57-BD56</f>
        <v>6</v>
      </c>
      <c r="BF57">
        <f>BF56+-1</f>
        <v>5</v>
      </c>
      <c r="BG57" s="5">
        <f>BF57-BF56</f>
        <v>-1</v>
      </c>
      <c r="BH57">
        <f>BH56+0</f>
        <v>3</v>
      </c>
      <c r="BI57" s="5">
        <f>BH57-BH56</f>
        <v>0</v>
      </c>
      <c r="BK57">
        <f>BK56+25</f>
        <v>498</v>
      </c>
      <c r="BL57" s="5">
        <f>BK57-BK56</f>
        <v>25</v>
      </c>
      <c r="BM57">
        <f>BM56+-2</f>
        <v>31</v>
      </c>
      <c r="BN57" s="5">
        <f>BM57-BM56</f>
        <v>-2</v>
      </c>
      <c r="BO57">
        <f>BO56+3</f>
        <v>31</v>
      </c>
      <c r="BP57" s="5">
        <f>BO57-BO56</f>
        <v>3</v>
      </c>
      <c r="BR57">
        <f>BR56+1</f>
        <v>522</v>
      </c>
      <c r="BS57" s="5">
        <f>BR57-BR56</f>
        <v>1</v>
      </c>
      <c r="BU57" s="5"/>
      <c r="BV57">
        <f>BV56+-3</f>
        <v>0</v>
      </c>
      <c r="BW57" s="5">
        <f>BV57-BV56</f>
        <v>-3</v>
      </c>
      <c r="BY57">
        <f>N57+U57+AB57+AI57+AP57+AW57+BD57+BK57+BR57</f>
        <v>25269</v>
      </c>
      <c r="BZ57" s="5">
        <f>BY57-BY56</f>
        <v>687</v>
      </c>
      <c r="CA57">
        <f>P57+W57+AD57+AK57+AR57+AY57+BF57+BM57+BT57</f>
        <v>1766</v>
      </c>
      <c r="CB57" s="3">
        <f>(CA57/CA56)-1</f>
        <v>-0.024309392265193353</v>
      </c>
      <c r="CC57">
        <f>R57+Y57+AF57+AM57+AT57+BA57+BH57+BO57+BV57</f>
        <v>1924</v>
      </c>
      <c r="CD57" s="3">
        <f>(CC57/CC56)-1</f>
        <v>0.033297529538131032</v>
      </c>
      <c r="CE57" s="3"/>
      <c r="CF57">
        <f>CA57-CA56</f>
        <v>-44</v>
      </c>
      <c r="CH57">
        <v>4</v>
      </c>
      <c r="CI57" t="s">
        <v>24</v>
      </c>
      <c r="CJ57" s="8">
        <v>43925</v>
      </c>
      <c r="CK57">
        <v>11</v>
      </c>
      <c r="CM57">
        <v>0</v>
      </c>
      <c r="CN57">
        <v>44</v>
      </c>
      <c r="CW57">
        <v>100</v>
      </c>
      <c r="CX57" t="inlineStr">
        <is>
          <t>26th</t>
        </is>
      </c>
      <c r="DC57" s="9">
        <v>43899</v>
      </c>
      <c r="DD57">
        <v>583</v>
      </c>
      <c r="DE57">
        <f>(DD57/DD56)-1</f>
        <v>0.12548262548262556</v>
      </c>
    </row>
    <row r="58" spans="1:206" ht="19.5">
      <c r="C58">
        <f>H57*D58</f>
        <v>727.99999999542956</v>
      </c>
      <c r="D58">
        <f>0.028810004353000001</f>
        <v>0.028810004353000001</v>
      </c>
      <c r="E58" t="s">
        <v>14</v>
      </c>
      <c r="F58" s="9">
        <v>43948</v>
      </c>
      <c r="G58" s="2">
        <f>H58*15</f>
        <v>389954.99999965681</v>
      </c>
      <c r="H58">
        <f>H57+C58</f>
        <v>25996.999999977121</v>
      </c>
      <c r="I58">
        <v>25997</v>
      </c>
      <c r="J58">
        <v>988197</v>
      </c>
      <c r="K58">
        <f>N58+U58+AB58+AI58+AP58+AW58+BD58+BK58+BR58</f>
        <v>25997</v>
      </c>
      <c r="L58" s="3">
        <f>(K58/K57)-1</f>
        <v>0.028810004353160057</v>
      </c>
      <c r="N58">
        <f>N57+28</f>
        <v>892</v>
      </c>
      <c r="O58" s="5">
        <f>N58-N57</f>
        <v>28</v>
      </c>
      <c r="P58">
        <f>P57+-1</f>
        <v>21</v>
      </c>
      <c r="Q58" s="5">
        <f>P58-P57</f>
        <v>-1</v>
      </c>
      <c r="R58">
        <f>R57+1</f>
        <v>75</v>
      </c>
      <c r="S58" s="5">
        <f>R58-R57</f>
        <v>1</v>
      </c>
      <c r="U58">
        <f>U57+168</f>
        <v>5157</v>
      </c>
      <c r="V58" s="5">
        <f>U58-U57</f>
        <v>168</v>
      </c>
      <c r="W58">
        <f>W57+3</f>
        <v>429</v>
      </c>
      <c r="X58" s="5">
        <f>W58-W57</f>
        <v>3</v>
      </c>
      <c r="Y58">
        <f>Y57+33</f>
        <v>612</v>
      </c>
      <c r="Z58" s="5">
        <f>Y58-Y57</f>
        <v>33</v>
      </c>
      <c r="AB58">
        <f>AB57+278</f>
        <v>6993</v>
      </c>
      <c r="AC58" s="5">
        <f>AB58-AB57</f>
        <v>278</v>
      </c>
      <c r="AD58">
        <f>AD57+-3</f>
        <v>602</v>
      </c>
      <c r="AE58" s="5">
        <f>AD58-AD57</f>
        <v>-3</v>
      </c>
      <c r="AF58">
        <f>AF57+27</f>
        <v>456</v>
      </c>
      <c r="AG58" s="5">
        <f>AF58-AF57</f>
        <v>27</v>
      </c>
      <c r="AI58">
        <f>AI57+234</f>
        <v>10763</v>
      </c>
      <c r="AJ58" s="5">
        <f>AI58-AI57</f>
        <v>234</v>
      </c>
      <c r="AK58">
        <f>AK57+-8</f>
        <v>627</v>
      </c>
      <c r="AL58" s="5">
        <f>AK58-AK57</f>
        <v>-8</v>
      </c>
      <c r="AM58">
        <f>AM57+20</f>
        <v>727</v>
      </c>
      <c r="AN58" s="5">
        <f>AM58-AM57</f>
        <v>20</v>
      </c>
      <c r="AP58">
        <f>AP57+21</f>
        <v>609</v>
      </c>
      <c r="AQ58" s="5">
        <f>AP58-AP57</f>
        <v>21</v>
      </c>
      <c r="AR58">
        <f>AR57+0</f>
        <v>37</v>
      </c>
      <c r="AS58" s="5">
        <f>AR58-AR57</f>
        <v>0</v>
      </c>
      <c r="AT58">
        <f>AT57+3</f>
        <v>69</v>
      </c>
      <c r="AU58" s="5">
        <f>AT58-AT57</f>
        <v>3</v>
      </c>
      <c r="AW58">
        <f>AW57+12</f>
        <v>419</v>
      </c>
      <c r="AX58" s="5">
        <f>AW58-AW57</f>
        <v>12</v>
      </c>
      <c r="AY58">
        <f>AY57+0</f>
        <v>5</v>
      </c>
      <c r="AZ58" s="5">
        <f>AY58-AY57</f>
        <v>0</v>
      </c>
      <c r="BA58">
        <f>BA57+0</f>
        <v>35</v>
      </c>
      <c r="BB58" s="5">
        <f>BA58-BA57</f>
        <v>0</v>
      </c>
      <c r="BD58">
        <f>BD57+7</f>
        <v>164</v>
      </c>
      <c r="BE58" s="5">
        <f>BD58-BD57</f>
        <v>7</v>
      </c>
      <c r="BF58">
        <f>BF57+1</f>
        <v>6</v>
      </c>
      <c r="BG58" s="5">
        <f>BF58-BF57</f>
        <v>1</v>
      </c>
      <c r="BH58">
        <f>BH57+0</f>
        <v>3</v>
      </c>
      <c r="BI58" s="5">
        <f>BH58-BH57</f>
        <v>0</v>
      </c>
      <c r="BK58">
        <f>BK57+18</f>
        <v>516</v>
      </c>
      <c r="BL58" s="5">
        <f>BK58-BK57</f>
        <v>18</v>
      </c>
      <c r="BM58">
        <f>BM57+0</f>
        <v>31</v>
      </c>
      <c r="BN58" s="5">
        <f>BM58-BM57</f>
        <v>0</v>
      </c>
      <c r="BO58">
        <f>BO57+3</f>
        <v>34</v>
      </c>
      <c r="BP58" s="5">
        <f>BO58-BO57</f>
        <v>3</v>
      </c>
      <c r="BR58">
        <f>BR57+-38</f>
        <v>484</v>
      </c>
      <c r="BS58" s="5">
        <f>BR58-BR57</f>
        <v>-38</v>
      </c>
      <c r="BU58" s="5"/>
      <c r="BV58">
        <f>BV57+1</f>
        <v>1</v>
      </c>
      <c r="BW58" s="5">
        <f>BV58-BV57</f>
        <v>1</v>
      </c>
      <c r="BY58">
        <f>N58+U58+AB58+AI58+AP58+AW58+BD58+BK58+BR58</f>
        <v>25997</v>
      </c>
      <c r="BZ58" s="5">
        <f>BY58-BY57</f>
        <v>728</v>
      </c>
      <c r="CA58">
        <f>P58+W58+AD58+AK58+AR58+AY58+BF58+BM58+BT58</f>
        <v>1758</v>
      </c>
      <c r="CB58" s="3">
        <f>(CA58/CA57)-1</f>
        <v>-0.0045300113250282825</v>
      </c>
      <c r="CC58">
        <f>R58+Y58+AF58+AM58+AT58+BA58+BH58+BO58+BV58</f>
        <v>2012</v>
      </c>
      <c r="CD58" s="3">
        <f>(CC58/CC57)-1</f>
        <v>0.04573804573804563</v>
      </c>
      <c r="CE58" s="3"/>
      <c r="CF58">
        <f>CA58-CA57</f>
        <v>-8</v>
      </c>
      <c r="CH58">
        <v>4</v>
      </c>
      <c r="CI58" t="s">
        <v>24</v>
      </c>
      <c r="CJ58" s="8">
        <v>43926</v>
      </c>
      <c r="CK58">
        <v>11</v>
      </c>
      <c r="CM58">
        <v>0</v>
      </c>
      <c r="CN58">
        <v>45</v>
      </c>
      <c r="CW58">
        <v>27</v>
      </c>
      <c r="CX58">
        <v>77</v>
      </c>
      <c r="DC58" s="9">
        <v>43900</v>
      </c>
      <c r="DD58">
        <v>959</v>
      </c>
      <c r="DE58">
        <f>(DD58/DD57)-1</f>
        <v>0.64493996569468259</v>
      </c>
    </row>
    <row r="59" spans="1:206" ht="19.5">
      <c r="C59">
        <f>H58*D59</f>
        <v>314.99999999980565</v>
      </c>
      <c r="D59">
        <f>0.0121167827057</f>
        <v>0.0121167827057</v>
      </c>
      <c r="E59" t="s">
        <v>15</v>
      </c>
      <c r="F59" s="9">
        <v>43949</v>
      </c>
      <c r="G59" s="2">
        <f>H59*15</f>
        <v>394679.9999996539</v>
      </c>
      <c r="H59">
        <f>H58+C59</f>
        <v>26311.999999976928</v>
      </c>
      <c r="I59">
        <v>26312</v>
      </c>
      <c r="J59">
        <v>1012582</v>
      </c>
      <c r="K59">
        <f>N59+U59+AB59+AI59+AP59+AW59+BD59+BK59+BR59</f>
        <v>26312</v>
      </c>
      <c r="L59" s="3">
        <f>(K59/K58)-1</f>
        <v>0.012116782705696716</v>
      </c>
      <c r="N59">
        <f>N58+8</f>
        <v>900</v>
      </c>
      <c r="O59" s="5">
        <f>N59-N58</f>
        <v>8</v>
      </c>
      <c r="P59">
        <f>P58+-1</f>
        <v>20</v>
      </c>
      <c r="Q59" s="5">
        <f>P59-P58</f>
        <v>-1</v>
      </c>
      <c r="R59">
        <f>R58+1</f>
        <v>76</v>
      </c>
      <c r="S59" s="5">
        <f>R59-R58</f>
        <v>1</v>
      </c>
      <c r="U59">
        <f>U58+67</f>
        <v>5224</v>
      </c>
      <c r="V59" s="5">
        <f>U59-U58</f>
        <v>67</v>
      </c>
      <c r="W59">
        <f>W58+-11</f>
        <v>418</v>
      </c>
      <c r="X59" s="5">
        <f>W59-W58</f>
        <v>-11</v>
      </c>
      <c r="Y59">
        <f>Y58+31</f>
        <v>643</v>
      </c>
      <c r="Z59" s="5">
        <f>Y59-Y58</f>
        <v>31</v>
      </c>
      <c r="AB59">
        <f>AB58+96</f>
        <v>7089</v>
      </c>
      <c r="AC59" s="5">
        <f>AB59-AB58</f>
        <v>96</v>
      </c>
      <c r="AD59">
        <f>AD58+-4</f>
        <v>598</v>
      </c>
      <c r="AE59" s="5">
        <f>AD59-AD58</f>
        <v>-4</v>
      </c>
      <c r="AF59">
        <f>AF58+22</f>
        <v>478</v>
      </c>
      <c r="AG59" s="5">
        <f>AF59-AF58</f>
        <v>22</v>
      </c>
      <c r="AI59">
        <f>AI58+111</f>
        <v>10874</v>
      </c>
      <c r="AJ59" s="5">
        <f>AI59-AI58</f>
        <v>111</v>
      </c>
      <c r="AK59">
        <f>AK58+-7</f>
        <v>620</v>
      </c>
      <c r="AL59" s="5">
        <f>AK59-AK58</f>
        <v>-7</v>
      </c>
      <c r="AM59">
        <f>AM58+20</f>
        <v>747</v>
      </c>
      <c r="AN59" s="5">
        <f>AM59-AM58</f>
        <v>20</v>
      </c>
      <c r="AP59">
        <f>AP58+9</f>
        <v>618</v>
      </c>
      <c r="AQ59" s="5">
        <f>AP59-AP58</f>
        <v>9</v>
      </c>
      <c r="AR59">
        <f>AR58+-6</f>
        <v>31</v>
      </c>
      <c r="AS59" s="5">
        <f>AR59-AR58</f>
        <v>-6</v>
      </c>
      <c r="AT59">
        <f>AT58+1</f>
        <v>70</v>
      </c>
      <c r="AU59" s="5">
        <f>AT59-AT58</f>
        <v>1</v>
      </c>
      <c r="AW59">
        <f>AW58+3</f>
        <v>422</v>
      </c>
      <c r="AX59" s="5">
        <f>AW59-AW58</f>
        <v>3</v>
      </c>
      <c r="AY59">
        <f>AY58+1</f>
        <v>6</v>
      </c>
      <c r="AZ59" s="5">
        <f>AY59-AY58</f>
        <v>1</v>
      </c>
      <c r="BA59">
        <f>BA58+0</f>
        <v>35</v>
      </c>
      <c r="BB59" s="5">
        <f>BA59-BA58</f>
        <v>0</v>
      </c>
      <c r="BD59">
        <f>BD58+0</f>
        <v>164</v>
      </c>
      <c r="BE59" s="5">
        <f>BD59-BD58</f>
        <v>0</v>
      </c>
      <c r="BF59">
        <f>BF58+-1</f>
        <v>5</v>
      </c>
      <c r="BG59" s="5">
        <f>BF59-BF58</f>
        <v>-1</v>
      </c>
      <c r="BH59">
        <f>BH58+0</f>
        <v>3</v>
      </c>
      <c r="BI59" s="5">
        <f>BH59-BH58</f>
        <v>0</v>
      </c>
      <c r="BK59">
        <f>BK58+14</f>
        <v>530</v>
      </c>
      <c r="BL59" s="5">
        <f>BK59-BK58</f>
        <v>14</v>
      </c>
      <c r="BM59">
        <f>BM58+3</f>
        <v>34</v>
      </c>
      <c r="BN59" s="5">
        <f>BM59-BM58</f>
        <v>3</v>
      </c>
      <c r="BO59">
        <f>BO58+0</f>
        <v>34</v>
      </c>
      <c r="BP59" s="5">
        <f>BO59-BO58</f>
        <v>0</v>
      </c>
      <c r="BR59">
        <f>BR58+7</f>
        <v>491</v>
      </c>
      <c r="BS59" s="5">
        <f>BR59-BR58</f>
        <v>7</v>
      </c>
      <c r="BU59" s="5"/>
      <c r="BV59">
        <f>BV58+2</f>
        <v>3</v>
      </c>
      <c r="BW59" s="5">
        <f>BV59-BV58</f>
        <v>2</v>
      </c>
      <c r="BY59">
        <f>N59+U59+AB59+AI59+AP59+AW59+BD59+BK59+BR59</f>
        <v>26312</v>
      </c>
      <c r="BZ59" s="5">
        <f>BY59-BY58</f>
        <v>315</v>
      </c>
      <c r="CA59">
        <f>P59+W59+AD59+AK59+AR59+AY59+BF59+BM59+BT59</f>
        <v>1732</v>
      </c>
      <c r="CB59" s="3">
        <f>(CA59/CA58)-1</f>
        <v>-0.014789533560864654</v>
      </c>
      <c r="CC59">
        <f>R59+Y59+AF59+AM59+AT59+BA59+BH59+BO59+BV59</f>
        <v>2089</v>
      </c>
      <c r="CD59" s="3">
        <f>(CC59/CC58)-1</f>
        <v>0.038270377733598426</v>
      </c>
      <c r="CE59" s="3"/>
      <c r="CF59">
        <f>CA59-CA58</f>
        <v>-26</v>
      </c>
      <c r="CH59">
        <v>4</v>
      </c>
      <c r="CI59" t="s">
        <v>24</v>
      </c>
      <c r="CJ59" s="8">
        <v>43927</v>
      </c>
      <c r="CK59">
        <v>11</v>
      </c>
      <c r="CM59">
        <v>0</v>
      </c>
      <c r="CW59">
        <v>28</v>
      </c>
      <c r="CX59">
        <v>88</v>
      </c>
      <c r="DC59" s="9">
        <v>43901</v>
      </c>
      <c r="DD59">
        <v>1281</v>
      </c>
      <c r="DE59">
        <f>(DD59/DD58)-1</f>
        <v>0.33576642335766427</v>
      </c>
    </row>
    <row r="60" spans="1:206" ht="19.17">
      <c r="C60">
        <f>H59*D60</f>
        <v>455.00000000020418</v>
      </c>
      <c r="D60">
        <f>0.017292490118599999</f>
        <v>0.017292490118599999</v>
      </c>
      <c r="E60" t="s">
        <v>16</v>
      </c>
      <c r="F60" s="9">
        <v>43950</v>
      </c>
      <c r="G60" s="2">
        <f>H60*15</f>
        <v>401504.99999965698</v>
      </c>
      <c r="H60">
        <f>H59+C60</f>
        <v>26766.999999977132</v>
      </c>
      <c r="I60">
        <v>26767</v>
      </c>
      <c r="J60">
        <v>1039909</v>
      </c>
      <c r="K60">
        <f>N60+U60+AB60+AI60+AP60+AW60+BD60+BK60+BR60</f>
        <v>26767</v>
      </c>
      <c r="L60" s="3">
        <f>(K60/K59)-1</f>
        <v>0.017292490118577142</v>
      </c>
      <c r="N60">
        <f>N59+19</f>
        <v>919</v>
      </c>
      <c r="O60" s="5">
        <f>N60-N59</f>
        <v>19</v>
      </c>
      <c r="P60">
        <f>P59+1</f>
        <v>21</v>
      </c>
      <c r="Q60" s="5">
        <f>P60-P59</f>
        <v>1</v>
      </c>
      <c r="R60">
        <f>R59+3</f>
        <v>79</v>
      </c>
      <c r="S60" s="5">
        <f>R60-R59</f>
        <v>3</v>
      </c>
      <c r="U60">
        <f>U59+164</f>
        <v>5388</v>
      </c>
      <c r="V60" s="5">
        <f>U60-U59</f>
        <v>164</v>
      </c>
      <c r="W60">
        <f>W59+-15</f>
        <v>403</v>
      </c>
      <c r="X60" s="5">
        <f>W60-W59</f>
        <v>-15</v>
      </c>
      <c r="Y60">
        <f>Y59+27</f>
        <v>670</v>
      </c>
      <c r="Z60" s="5">
        <f>Y60-Y59</f>
        <v>27</v>
      </c>
      <c r="AB60">
        <f>AB59+116</f>
        <v>7205</v>
      </c>
      <c r="AC60" s="5">
        <f>AB60-AB59</f>
        <v>116</v>
      </c>
      <c r="AD60">
        <f>AD59+-7</f>
        <v>591</v>
      </c>
      <c r="AE60" s="5">
        <f>AD60-AD59</f>
        <v>-7</v>
      </c>
      <c r="AF60">
        <f>AF59+15</f>
        <v>493</v>
      </c>
      <c r="AG60" s="5">
        <f>AF60-AF59</f>
        <v>15</v>
      </c>
      <c r="AI60">
        <f>AI59+111</f>
        <v>10985</v>
      </c>
      <c r="AJ60" s="5">
        <f>AI60-AI59</f>
        <v>111</v>
      </c>
      <c r="AK60">
        <f>AK59+-29</f>
        <v>591</v>
      </c>
      <c r="AL60" s="5">
        <f>AK60-AK59</f>
        <v>-29</v>
      </c>
      <c r="AM60">
        <f>AM59+27</f>
        <v>774</v>
      </c>
      <c r="AN60" s="5">
        <f>AM60-AM59</f>
        <v>27</v>
      </c>
      <c r="AP60">
        <f>AP59+13</f>
        <v>631</v>
      </c>
      <c r="AQ60" s="5">
        <f>AP60-AP59</f>
        <v>13</v>
      </c>
      <c r="AR60">
        <f>AR59+6</f>
        <v>37</v>
      </c>
      <c r="AS60" s="5">
        <f>AR60-AR59</f>
        <v>6</v>
      </c>
      <c r="AT60">
        <f>AT59+6</f>
        <v>76</v>
      </c>
      <c r="AU60" s="5">
        <f>AT60-AT59</f>
        <v>6</v>
      </c>
      <c r="AW60">
        <f>AW59+5</f>
        <v>427</v>
      </c>
      <c r="AX60" s="5">
        <f>AW60-AW59</f>
        <v>5</v>
      </c>
      <c r="AY60">
        <f>AY59+-1</f>
        <v>5</v>
      </c>
      <c r="AZ60" s="5">
        <f>AY60-AY59</f>
        <v>-1</v>
      </c>
      <c r="BA60">
        <f>BA59+1</f>
        <v>36</v>
      </c>
      <c r="BB60" s="5">
        <f>BA60-BA59</f>
        <v>1</v>
      </c>
      <c r="BD60">
        <f>BD59+1</f>
        <v>165</v>
      </c>
      <c r="BE60" s="5">
        <f>BD60-BD59</f>
        <v>1</v>
      </c>
      <c r="BF60">
        <f>BF59+-1</f>
        <v>4</v>
      </c>
      <c r="BG60" s="5">
        <f>BF60-BF59</f>
        <v>-1</v>
      </c>
      <c r="BH60">
        <f>BH59+-1</f>
        <v>2</v>
      </c>
      <c r="BI60" s="5">
        <f>BH60-BH59</f>
        <v>-1</v>
      </c>
      <c r="BK60">
        <f>BK59+10</f>
        <v>540</v>
      </c>
      <c r="BL60" s="5">
        <f>BK60-BK59</f>
        <v>10</v>
      </c>
      <c r="BM60">
        <f>BM59+5</f>
        <v>39</v>
      </c>
      <c r="BN60" s="5">
        <f>BM60-BM59</f>
        <v>5</v>
      </c>
      <c r="BO60">
        <f>BO59+1</f>
        <v>35</v>
      </c>
      <c r="BP60" s="5">
        <f>BO60-BO59</f>
        <v>1</v>
      </c>
      <c r="BR60">
        <f>BR59+16</f>
        <v>507</v>
      </c>
      <c r="BS60" s="5">
        <f>BR60-BR59</f>
        <v>16</v>
      </c>
      <c r="BU60" s="5"/>
      <c r="BV60">
        <f>BV59+0</f>
        <v>3</v>
      </c>
      <c r="BW60" s="5">
        <f>BV60-BV59</f>
        <v>0</v>
      </c>
      <c r="BY60">
        <f>N60+U60+AB60+AI60+AP60+AW60+BD60+BK60+BR60</f>
        <v>26767</v>
      </c>
      <c r="BZ60" s="5">
        <f>BY60-BY59</f>
        <v>455</v>
      </c>
      <c r="CA60">
        <f>P60+W60+AD60+AK60+AR60+AY60+BF60+BM60+BT60</f>
        <v>1691</v>
      </c>
      <c r="CB60" s="3">
        <f>(CA60/CA59)-1</f>
        <v>-0.023672055427251704</v>
      </c>
      <c r="CC60">
        <f>R60+Y60+AF60+AM60+AT60+BA60+BH60+BO60+BV60</f>
        <v>2168</v>
      </c>
      <c r="CD60" s="3">
        <f>(CC60/CC59)-1</f>
        <v>0.037817137386309208</v>
      </c>
      <c r="CE60" s="1"/>
      <c r="CF60">
        <f>CA60-CA59</f>
        <v>-41</v>
      </c>
      <c r="CH60">
        <v>4</v>
      </c>
      <c r="CI60" t="s">
        <v>24</v>
      </c>
      <c r="CJ60" s="8">
        <v>43928</v>
      </c>
      <c r="CK60">
        <v>12</v>
      </c>
      <c r="CM60">
        <v>0</v>
      </c>
      <c r="CW60">
        <v>29</v>
      </c>
      <c r="CX60">
        <v>99</v>
      </c>
      <c r="DC60" s="9">
        <v>43902</v>
      </c>
      <c r="DD60">
        <v>1663</v>
      </c>
      <c r="DE60">
        <f>(DD60/DD59)-1</f>
        <v>0.29820452771272454</v>
      </c>
    </row>
    <row r="61" spans="1:206" ht="18.41">
      <c r="C61">
        <f>H60*D61</f>
        <v>933.00000000072691</v>
      </c>
      <c r="D61">
        <f>0.034856352972000001</f>
        <v>0.034856352972000001</v>
      </c>
      <c r="E61" t="s">
        <v>17</v>
      </c>
      <c r="F61" s="9">
        <v>43951</v>
      </c>
      <c r="G61" s="2">
        <f>H61*15</f>
        <v>415499.99999966787</v>
      </c>
      <c r="H61">
        <f>H60+C61</f>
        <v>27699.999999977859</v>
      </c>
      <c r="I61">
        <v>27700</v>
      </c>
      <c r="J61">
        <v>1069424</v>
      </c>
      <c r="K61">
        <f>N61+U61+AB61+AI61+AP61+AW61+BD61+BK61+BR61</f>
        <v>27700</v>
      </c>
      <c r="L61" s="3">
        <f>(K61/K60)-1</f>
        <v>0.034856352971943005</v>
      </c>
      <c r="N61">
        <f>N60+44</f>
        <v>963</v>
      </c>
      <c r="O61" s="5">
        <f>N61-N60</f>
        <v>44</v>
      </c>
      <c r="P61">
        <f>P60+0</f>
        <v>21</v>
      </c>
      <c r="Q61" s="5">
        <f>P61-P60</f>
        <v>0</v>
      </c>
      <c r="R61">
        <f>R60+1</f>
        <v>80</v>
      </c>
      <c r="S61" s="5">
        <f>R61-R60</f>
        <v>1</v>
      </c>
      <c r="U61">
        <f>U60+213</f>
        <v>5601</v>
      </c>
      <c r="V61" s="5">
        <f>U61-U60</f>
        <v>213</v>
      </c>
      <c r="W61">
        <f>W60+13</f>
        <v>416</v>
      </c>
      <c r="X61" s="5">
        <f>W61-W60</f>
        <v>13</v>
      </c>
      <c r="Y61">
        <f>Y60+28</f>
        <v>698</v>
      </c>
      <c r="Z61" s="5">
        <f>Y61-Y60</f>
        <v>28</v>
      </c>
      <c r="AB61">
        <f>AB60+331</f>
        <v>7536</v>
      </c>
      <c r="AC61" s="5">
        <f>AB61-AB60</f>
        <v>331</v>
      </c>
      <c r="AD61">
        <f>AD60+-34</f>
        <v>557</v>
      </c>
      <c r="AE61" s="5">
        <f>AD61-AD60</f>
        <v>-34</v>
      </c>
      <c r="AF61">
        <f>AF60+19</f>
        <v>512</v>
      </c>
      <c r="AG61" s="5">
        <f>AF61-AF60</f>
        <v>19</v>
      </c>
      <c r="AI61">
        <f>AI60+309</f>
        <v>11294</v>
      </c>
      <c r="AJ61" s="5">
        <f>AI61-AI60</f>
        <v>309</v>
      </c>
      <c r="AK61">
        <f>AK60+-26</f>
        <v>565</v>
      </c>
      <c r="AL61" s="5">
        <f>AK61-AK60</f>
        <v>-26</v>
      </c>
      <c r="AM61">
        <f>AM60+36</f>
        <v>810</v>
      </c>
      <c r="AN61" s="5">
        <f>AM61-AM60</f>
        <v>36</v>
      </c>
      <c r="AP61">
        <f>AP60+26</f>
        <v>657</v>
      </c>
      <c r="AQ61" s="5">
        <f>AP61-AP60</f>
        <v>26</v>
      </c>
      <c r="AR61">
        <f>AR60+5</f>
        <v>42</v>
      </c>
      <c r="AS61" s="5">
        <f>AR61-AR60</f>
        <v>5</v>
      </c>
      <c r="AT61">
        <f>AT60+3</f>
        <v>79</v>
      </c>
      <c r="AU61" s="5">
        <f>AT61-AT60</f>
        <v>3</v>
      </c>
      <c r="AW61">
        <f>AW60+10</f>
        <v>437</v>
      </c>
      <c r="AX61" s="5">
        <f>AW61-AW60</f>
        <v>10</v>
      </c>
      <c r="AY61">
        <f>AY60+-1</f>
        <v>4</v>
      </c>
      <c r="AZ61" s="5">
        <f>AY61-AY60</f>
        <v>-1</v>
      </c>
      <c r="BA61">
        <f>BA60+0</f>
        <v>36</v>
      </c>
      <c r="BB61" s="5">
        <f>BA61-BA60</f>
        <v>0</v>
      </c>
      <c r="BD61">
        <f>BD60+21</f>
        <v>186</v>
      </c>
      <c r="BE61" s="5">
        <f>BD61-BD60</f>
        <v>21</v>
      </c>
      <c r="BF61">
        <f>BF60+0</f>
        <v>4</v>
      </c>
      <c r="BG61" s="5">
        <f>BF61-BF60</f>
        <v>0</v>
      </c>
      <c r="BH61">
        <f>BH60+0</f>
        <v>2</v>
      </c>
      <c r="BI61" s="5">
        <f>BH61-BH60</f>
        <v>0</v>
      </c>
      <c r="BK61">
        <f>BK60+24</f>
        <v>564</v>
      </c>
      <c r="BL61" s="5">
        <f>BK61-BK60</f>
        <v>24</v>
      </c>
      <c r="BM61">
        <f>BM60+2</f>
        <v>41</v>
      </c>
      <c r="BN61" s="5">
        <f>BM61-BM60</f>
        <v>2</v>
      </c>
      <c r="BO61">
        <f>BO60+1</f>
        <v>36</v>
      </c>
      <c r="BP61" s="5">
        <f>BO61-BO60</f>
        <v>1</v>
      </c>
      <c r="BR61">
        <f>BR60+-45</f>
        <v>462</v>
      </c>
      <c r="BS61" s="5">
        <f>BR61-BR60</f>
        <v>-45</v>
      </c>
      <c r="BU61" s="5"/>
      <c r="BV61">
        <f>BV60+1</f>
        <v>4</v>
      </c>
      <c r="BW61" s="5">
        <f>BV61-BV60</f>
        <v>1</v>
      </c>
      <c r="BY61">
        <f>N61+U61+AB61+AI61+AP61+AW61+BD61+BK61+BR61</f>
        <v>27700</v>
      </c>
      <c r="BZ61" s="5">
        <f>BY61-BY60</f>
        <v>933</v>
      </c>
      <c r="CA61">
        <f>P61+W61+AD61+AK61+AR61+AY61+BF61+BM61+BT61</f>
        <v>1650</v>
      </c>
      <c r="CB61" s="3">
        <f>(CA61/CA60)-1</f>
        <v>-0.02424600827912482</v>
      </c>
      <c r="CC61">
        <f>R61+Y61+AF61+AM61+AT61+BA61+BH61+BO61+BV61</f>
        <v>2257</v>
      </c>
      <c r="CD61" s="3">
        <f>(CC61/CC60)-1</f>
        <v>0.041051660516605137</v>
      </c>
      <c r="CE61" s="1"/>
      <c r="CF61">
        <f>CA61-CA60</f>
        <v>-41</v>
      </c>
      <c r="CH61">
        <v>4</v>
      </c>
      <c r="CI61" t="s">
        <v>24</v>
      </c>
      <c r="CJ61" s="8">
        <v>43929</v>
      </c>
      <c r="CK61">
        <v>13</v>
      </c>
      <c r="CM61">
        <v>0</v>
      </c>
      <c r="CW61">
        <v>30</v>
      </c>
      <c r="CX61">
        <v>110</v>
      </c>
      <c r="DC61" s="9">
        <v>43903</v>
      </c>
      <c r="DD61">
        <v>2179</v>
      </c>
      <c r="DE61">
        <f>(DD61/DD60)-1</f>
        <v>0.31028262176788934</v>
      </c>
    </row>
    <row r="62" spans="1:206" ht="18.41">
      <c r="C62">
        <f>H61*D62</f>
        <v>1064.0000000110495</v>
      </c>
      <c r="D62">
        <f>0.038411552347</f>
        <v>0.038411552347</v>
      </c>
      <c r="E62" t="s">
        <v>18</v>
      </c>
      <c r="F62" s="9">
        <v>43952</v>
      </c>
      <c r="G62" s="2">
        <f>H62*15</f>
        <v>431459.99999983364</v>
      </c>
      <c r="H62">
        <f>H61+C62</f>
        <v>28763.999999988908</v>
      </c>
      <c r="I62">
        <v>28764</v>
      </c>
      <c r="J62">
        <v>1103461</v>
      </c>
      <c r="K62">
        <f>N62+U62+AB62+AI62+AP62+AW62+BD62+BK62+BR62</f>
        <v>28764</v>
      </c>
      <c r="L62" s="3">
        <f>(K62/K61)-1</f>
        <v>0.038411552346570454</v>
      </c>
      <c r="N62">
        <f>N61+51</f>
        <v>1014</v>
      </c>
      <c r="O62" s="5">
        <f>N62-N61</f>
        <v>51</v>
      </c>
      <c r="P62">
        <f>P61+1</f>
        <v>22</v>
      </c>
      <c r="Q62" s="5">
        <f>P62-P61</f>
        <v>1</v>
      </c>
      <c r="R62">
        <f>R61+6</f>
        <v>86</v>
      </c>
      <c r="S62" s="5">
        <f>R62-R61</f>
        <v>6</v>
      </c>
      <c r="U62">
        <f>U61+330</f>
        <v>5931</v>
      </c>
      <c r="V62" s="5">
        <f>U62-U61</f>
        <v>330</v>
      </c>
      <c r="W62">
        <f>W61+-3</f>
        <v>413</v>
      </c>
      <c r="X62" s="5">
        <f>W62-W61</f>
        <v>-3</v>
      </c>
      <c r="Y62">
        <f>Y61+17</f>
        <v>715</v>
      </c>
      <c r="Z62" s="5">
        <f>Y62-Y61</f>
        <v>17</v>
      </c>
      <c r="AA62" t="inlineStr">
        <is>
          <t>UPDATED - finished this line's entry and won't require further update.</t>
        </is>
      </c>
      <c r="AB62">
        <f>AB61+364</f>
        <v>7900</v>
      </c>
      <c r="AC62" s="5">
        <f>AB62-AB61</f>
        <v>364</v>
      </c>
      <c r="AD62">
        <f>AD61+-24</f>
        <v>533</v>
      </c>
      <c r="AE62" s="5">
        <f>AD62-AD61</f>
        <v>-24</v>
      </c>
      <c r="AF62">
        <f>AF61+21</f>
        <v>533</v>
      </c>
      <c r="AG62" s="5">
        <f>AF62-AF61</f>
        <v>21</v>
      </c>
      <c r="AI62">
        <f>AI61+318</f>
        <v>11612</v>
      </c>
      <c r="AJ62" s="5">
        <f>AI62-AI61</f>
        <v>318</v>
      </c>
      <c r="AK62">
        <f>AK61+-28</f>
        <v>537</v>
      </c>
      <c r="AL62" s="5">
        <f>AK62-AK61</f>
        <v>-28</v>
      </c>
      <c r="AM62">
        <f>AM61+29</f>
        <v>839</v>
      </c>
      <c r="AN62" s="5">
        <f>AM62-AM61</f>
        <v>29</v>
      </c>
      <c r="AP62">
        <f>AP61+30</f>
        <v>687</v>
      </c>
      <c r="AQ62" s="5">
        <f>AP62-AP61</f>
        <v>30</v>
      </c>
      <c r="AR62">
        <f>AR61+-2</f>
        <v>40</v>
      </c>
      <c r="AS62" s="5">
        <f>AR62-AR61</f>
        <v>-2</v>
      </c>
      <c r="AT62">
        <f>AT61+3</f>
        <v>82</v>
      </c>
      <c r="AU62" s="5">
        <f>AT62-AT61</f>
        <v>3</v>
      </c>
      <c r="AW62">
        <f>AW61+9</f>
        <v>446</v>
      </c>
      <c r="AX62" s="5">
        <f>AW62-AW61</f>
        <v>9</v>
      </c>
      <c r="AY62">
        <f>AY61+2</f>
        <v>6</v>
      </c>
      <c r="AZ62" s="5">
        <f>AY62-AY61</f>
        <v>2</v>
      </c>
      <c r="BA62">
        <f>BA61+2</f>
        <v>38</v>
      </c>
      <c r="BB62" s="5">
        <f>BA62-BA61</f>
        <v>2</v>
      </c>
      <c r="BD62">
        <f>BD61+14</f>
        <v>200</v>
      </c>
      <c r="BE62" s="5">
        <f>BD62-BD61</f>
        <v>14</v>
      </c>
      <c r="BF62">
        <f>BF61+-1</f>
        <v>3</v>
      </c>
      <c r="BG62" s="5">
        <f>BF62-BF61</f>
        <v>-1</v>
      </c>
      <c r="BH62">
        <f>BH61+0</f>
        <v>2</v>
      </c>
      <c r="BI62" s="5">
        <f>BH62-BH61</f>
        <v>0</v>
      </c>
      <c r="BK62">
        <f>BK61+39</f>
        <v>603</v>
      </c>
      <c r="BL62" s="5">
        <f>BK62-BK61</f>
        <v>39</v>
      </c>
      <c r="BM62">
        <f>BM61+-3</f>
        <v>38</v>
      </c>
      <c r="BN62" s="5">
        <f>BM62-BM61</f>
        <v>-3</v>
      </c>
      <c r="BO62">
        <f>BO61+6</f>
        <v>42</v>
      </c>
      <c r="BP62" s="5">
        <f>BO62-BO61</f>
        <v>6</v>
      </c>
      <c r="BR62">
        <f>BR61+-91</f>
        <v>371</v>
      </c>
      <c r="BS62" s="5">
        <f>BR62-BR61</f>
        <v>-91</v>
      </c>
      <c r="BU62" s="5"/>
      <c r="BV62">
        <f>BV61+-2</f>
        <v>2</v>
      </c>
      <c r="BW62" s="5">
        <f>BV62-BV61</f>
        <v>-2</v>
      </c>
      <c r="BY62">
        <f>N62+U62+AB62+AI62+AP62+AW62+BD62+BK62+BR62</f>
        <v>28764</v>
      </c>
      <c r="BZ62" s="5">
        <f>BY62-BY61</f>
        <v>1064</v>
      </c>
      <c r="CA62">
        <f>P62+W62+AD62+AK62+AR62+AY62+BF62+BM62+BT62</f>
        <v>1592</v>
      </c>
      <c r="CB62" s="3">
        <f>(CA62/CA61)-1</f>
        <v>-0.035151515151515156</v>
      </c>
      <c r="CC62">
        <f>R62+Y62+AF62+AM62+AT62+BA62+BH62+BO62+BV62</f>
        <v>2339</v>
      </c>
      <c r="CD62" s="3">
        <f>(CC62/CC61)-1</f>
        <v>0.036331413380593647</v>
      </c>
      <c r="CE62" s="1"/>
      <c r="CF62">
        <f>CA62-CA61</f>
        <v>-58</v>
      </c>
      <c r="CG62" t="inlineStr">
        <is>
          <t>CORRECT - no errors seen.  Ready for permanent record.</t>
        </is>
      </c>
      <c r="CH62">
        <v>4</v>
      </c>
      <c r="CI62" t="s">
        <v>24</v>
      </c>
      <c r="CJ62" s="8">
        <v>43930</v>
      </c>
      <c r="CK62">
        <v>14</v>
      </c>
      <c r="CM62">
        <v>0</v>
      </c>
      <c r="CW62">
        <v>1</v>
      </c>
      <c r="CX62">
        <v>1</v>
      </c>
      <c r="DC62" s="9">
        <v>43904</v>
      </c>
      <c r="DD62">
        <v>2727</v>
      </c>
      <c r="DE62">
        <f>(DD62/DD61)-1</f>
        <v>0.25149150986691149</v>
      </c>
    </row>
    <row r="63" spans="1:206" ht="19.5">
      <c r="C63">
        <f>H62*D63</f>
        <v>523.00000000041462</v>
      </c>
      <c r="D63">
        <f>0.018182450285099998</f>
        <v>0.018182450285099998</v>
      </c>
      <c r="E63" t="s">
        <v>19</v>
      </c>
      <c r="F63" s="9">
        <v>43953</v>
      </c>
      <c r="G63" s="2">
        <f>H63*15</f>
        <v>439304.99999983981</v>
      </c>
      <c r="H63">
        <f>H62+C63</f>
        <v>29286.999999989323</v>
      </c>
      <c r="I63">
        <v>29287</v>
      </c>
      <c r="J63">
        <v>1132539</v>
      </c>
      <c r="K63">
        <f>N63+U63+AB63+AI63+AP63+AW63+BD63+BK63+BR63</f>
        <v>29287</v>
      </c>
      <c r="L63" s="3">
        <f>(K63/K62)-1</f>
        <v>0.018182450285078477</v>
      </c>
      <c r="M63" t="inlineStr">
        <is>
          <t>NEW:</t>
        </is>
      </c>
      <c r="N63">
        <f>N62+22</f>
        <v>1036</v>
      </c>
      <c r="O63" s="5">
        <f>N63-N62</f>
        <v>22</v>
      </c>
      <c r="P63">
        <f>P62+0</f>
        <v>22</v>
      </c>
      <c r="Q63" s="5">
        <f>P63-P62</f>
        <v>0</v>
      </c>
      <c r="R63">
        <f>R62+3</f>
        <v>89</v>
      </c>
      <c r="S63" s="5">
        <f>R63-R62</f>
        <v>3</v>
      </c>
      <c r="U63">
        <f>U62+181</f>
        <v>6112</v>
      </c>
      <c r="V63" s="5">
        <f>U63-U62</f>
        <v>181</v>
      </c>
      <c r="W63">
        <f>W62+-13</f>
        <v>400</v>
      </c>
      <c r="X63" s="5">
        <f>W63-W62</f>
        <v>-13</v>
      </c>
      <c r="Y63">
        <f>Y62+26</f>
        <v>741</v>
      </c>
      <c r="Z63" s="5">
        <f>Y63-Y62</f>
        <v>26</v>
      </c>
      <c r="AA63" t="inlineStr">
        <is>
          <t>PROPOSED - open to proposal now - subject to revision.</t>
        </is>
      </c>
      <c r="AB63">
        <f>AB62+124</f>
        <v>8024</v>
      </c>
      <c r="AC63" s="5">
        <f>AB63-AB62</f>
        <v>124</v>
      </c>
      <c r="AD63">
        <f>AD62+-10</f>
        <v>523</v>
      </c>
      <c r="AE63" s="5">
        <f>AD63-AD62</f>
        <v>-10</v>
      </c>
      <c r="AF63">
        <f>AF62+32</f>
        <v>565</v>
      </c>
      <c r="AG63" s="5">
        <f>AF63-AF62</f>
        <v>32</v>
      </c>
      <c r="AI63">
        <f>AI62+189</f>
        <v>11801</v>
      </c>
      <c r="AJ63" s="5">
        <f>AI63-AI62</f>
        <v>189</v>
      </c>
      <c r="AK63">
        <f>AK62+-12</f>
        <v>525</v>
      </c>
      <c r="AL63" s="5">
        <f>AK63-AK62</f>
        <v>-12</v>
      </c>
      <c r="AM63">
        <f>AM62+26</f>
        <v>865</v>
      </c>
      <c r="AN63" s="5">
        <f>AM63-AM62</f>
        <v>26</v>
      </c>
      <c r="AP63">
        <f>AP62+20</f>
        <v>707</v>
      </c>
      <c r="AQ63" s="5">
        <f>AP63-AP62</f>
        <v>20</v>
      </c>
      <c r="AR63">
        <f>AR62+-3</f>
        <v>37</v>
      </c>
      <c r="AS63" s="5">
        <f>AR63-AR62</f>
        <v>-3</v>
      </c>
      <c r="AT63">
        <f>AT62+9</f>
        <v>91</v>
      </c>
      <c r="AU63" s="5">
        <f>AT63-AT62</f>
        <v>9</v>
      </c>
      <c r="AW63">
        <f>AW62+15</f>
        <v>461</v>
      </c>
      <c r="AX63" s="5">
        <f>AW63-AW62</f>
        <v>15</v>
      </c>
      <c r="AY63">
        <f>AY62+0</f>
        <v>6</v>
      </c>
      <c r="AZ63" s="5">
        <f>AY63-AY62</f>
        <v>0</v>
      </c>
      <c r="BA63">
        <f>BA62+1</f>
        <v>39</v>
      </c>
      <c r="BB63" s="5">
        <f>BA63-BA62</f>
        <v>1</v>
      </c>
      <c r="BD63">
        <f>BD62+11</f>
        <v>211</v>
      </c>
      <c r="BE63" s="5">
        <f>BD63-BD62</f>
        <v>11</v>
      </c>
      <c r="BF63">
        <f>BF62+2</f>
        <v>5</v>
      </c>
      <c r="BG63" s="5">
        <f>BF63-BF62</f>
        <v>2</v>
      </c>
      <c r="BH63">
        <f>BH62+0</f>
        <v>2</v>
      </c>
      <c r="BI63" s="5">
        <f>BH63-BH62</f>
        <v>0</v>
      </c>
      <c r="BK63">
        <f>BK62+20</f>
        <v>623</v>
      </c>
      <c r="BL63" s="5">
        <f>BK63-BK62</f>
        <v>20</v>
      </c>
      <c r="BM63">
        <f>BM62+-5</f>
        <v>33</v>
      </c>
      <c r="BN63" s="5">
        <f>BM63-BM62</f>
        <v>-5</v>
      </c>
      <c r="BO63">
        <f>BO62+1</f>
        <v>43</v>
      </c>
      <c r="BP63" s="5">
        <f>BO63-BO62</f>
        <v>1</v>
      </c>
      <c r="BR63">
        <f>BR62+-59</f>
        <v>312</v>
      </c>
      <c r="BS63" s="5">
        <f>BR63-BR62</f>
        <v>-59</v>
      </c>
      <c r="BU63" s="5"/>
      <c r="BV63">
        <f>BV62+-1</f>
        <v>1</v>
      </c>
      <c r="BW63" s="5">
        <f>BV63-BV62</f>
        <v>-1</v>
      </c>
      <c r="BY63">
        <f>N63+U63+AB63+AI63+AP63+AW63+BD63+BK63+BR63</f>
        <v>29287</v>
      </c>
      <c r="BZ63" s="5">
        <f>BY63-BY62</f>
        <v>523</v>
      </c>
      <c r="CA63">
        <f>P63+W63+AD63+AK63+AR63+AY63+BF63+BM63+BT63</f>
        <v>1551</v>
      </c>
      <c r="CB63" s="3">
        <f>(CA63/CA62)-1</f>
        <v>-0.025753768844221092</v>
      </c>
      <c r="CC63">
        <f>R63+Y63+AF63+AM63+AT63+BA63+BH63+BO63+BV63</f>
        <v>2436</v>
      </c>
      <c r="CD63" s="3">
        <f>(CC63/CC62)-1</f>
        <v>0.041470713980333418</v>
      </c>
      <c r="CE63" s="1"/>
      <c r="CF63">
        <f>CA63-CA62</f>
        <v>-41</v>
      </c>
      <c r="CH63">
        <v>4</v>
      </c>
      <c r="CI63" t="s">
        <v>24</v>
      </c>
      <c r="CJ63" s="8">
        <v>43931</v>
      </c>
      <c r="CK63">
        <v>15</v>
      </c>
      <c r="CM63">
        <v>0</v>
      </c>
      <c r="CW63">
        <v>2</v>
      </c>
      <c r="CX63">
        <v>22</v>
      </c>
      <c r="DC63" s="9">
        <v>43905</v>
      </c>
      <c r="DD63">
        <v>3499</v>
      </c>
      <c r="DE63">
        <f>(DD63/DD62)-1</f>
        <v>0.28309497616428314</v>
      </c>
    </row>
    <row r="64" spans="1:206" ht="18.41">
      <c r="C64">
        <f>H63*D64</f>
        <v>532.50942149952948</v>
      </c>
      <c r="D64">
        <f>D63</f>
        <v>0.018182450285099998</v>
      </c>
      <c r="E64" t="s">
        <v>12</v>
      </c>
      <c r="F64" t="inlineStr">
        <is>
          <t>day two</t>
        </is>
      </c>
      <c r="G64" s="2">
        <f>H64*15</f>
        <v>447292.64132233278</v>
      </c>
      <c r="H64">
        <f>H63+C64</f>
        <v>29819.509421488852</v>
      </c>
      <c r="K64" s="1"/>
      <c r="L64" s="1"/>
      <c r="N64" s="1"/>
      <c r="O64" s="1"/>
      <c r="P64" s="1"/>
      <c r="Q64" s="1"/>
      <c r="R64" s="1"/>
      <c r="S64" s="1"/>
      <c r="U64" s="1"/>
      <c r="V64" s="1"/>
      <c r="W64" s="1"/>
      <c r="X64" s="1"/>
      <c r="Y64" s="1"/>
      <c r="Z64" s="1"/>
      <c r="AB64" s="1"/>
      <c r="AC64" s="1"/>
      <c r="AD64" s="1"/>
      <c r="AE64" s="1"/>
      <c r="AF64" s="1"/>
      <c r="AG64" s="1"/>
      <c r="AI64" s="1"/>
      <c r="AJ64" s="1"/>
      <c r="AK64" s="1"/>
      <c r="AL64" s="1"/>
      <c r="AM64" s="1"/>
      <c r="AN64" s="1"/>
      <c r="AP64" s="1"/>
      <c r="AQ64" s="1"/>
      <c r="AR64" s="1"/>
      <c r="AS64" s="1"/>
      <c r="AT64" s="1"/>
      <c r="AU64" s="1"/>
      <c r="AW64" s="1"/>
      <c r="AX64" s="1"/>
      <c r="AY64" s="1"/>
      <c r="AZ64" s="1"/>
      <c r="BA64" s="1"/>
      <c r="BB64" s="1"/>
      <c r="BD64" s="1"/>
      <c r="BE64" s="1"/>
      <c r="BF64" s="1"/>
      <c r="BG64" s="1"/>
      <c r="BH64" s="1"/>
      <c r="BI64" s="1"/>
      <c r="BK64" s="1"/>
      <c r="BL64" s="1"/>
      <c r="BM64" s="1"/>
      <c r="BN64" s="1"/>
      <c r="BO64" s="1"/>
      <c r="BP64" s="1"/>
      <c r="BR64" s="1"/>
      <c r="BS64" s="1"/>
      <c r="BT64" s="1"/>
      <c r="BU64" s="1"/>
      <c r="BV64" s="1"/>
      <c r="BW64" s="1"/>
      <c r="BY64" s="1"/>
      <c r="BZ64" s="1"/>
      <c r="CA64" s="1"/>
      <c r="CB64" s="1"/>
      <c r="CC64" s="1"/>
      <c r="CD64" s="1"/>
      <c r="CE64" s="1"/>
      <c r="CF64" s="1"/>
      <c r="CH64">
        <v>4</v>
      </c>
      <c r="CI64" t="s">
        <v>24</v>
      </c>
      <c r="CJ64" s="8">
        <v>43932</v>
      </c>
      <c r="CK64">
        <v>16</v>
      </c>
      <c r="CM64">
        <v>0</v>
      </c>
      <c r="CW64">
        <v>3</v>
      </c>
      <c r="CX64">
        <v>33</v>
      </c>
      <c r="DC64" s="9">
        <v>43906</v>
      </c>
      <c r="DD64">
        <v>4632</v>
      </c>
      <c r="DE64">
        <f>(DD64/DD63)-1</f>
        <v>0.32380680194341238</v>
      </c>
    </row>
    <row r="65" spans="1:206" ht="18.41">
      <c r="C65">
        <f>H64*D65</f>
        <v>542.19174758229212</v>
      </c>
      <c r="D65">
        <f>D64</f>
        <v>0.018182450285099998</v>
      </c>
      <c r="E65" t="s">
        <v>14</v>
      </c>
      <c r="F65" t="inlineStr">
        <is>
          <t>day three</t>
        </is>
      </c>
      <c r="G65" s="2">
        <f>H65*15</f>
        <v>455425.51753606717</v>
      </c>
      <c r="H65">
        <f>H64+C65</f>
        <v>30361.701169071144</v>
      </c>
      <c r="J65" s="1"/>
      <c r="K65" s="1"/>
      <c r="L65" s="1"/>
      <c r="N65" s="1"/>
      <c r="O65" s="1"/>
      <c r="P65" s="1"/>
      <c r="Q65" s="1"/>
      <c r="R65" s="1"/>
      <c r="S65" s="1"/>
      <c r="U65" s="1"/>
      <c r="V65" s="1"/>
      <c r="W65" s="1"/>
      <c r="X65" s="1"/>
      <c r="Y65" s="1"/>
      <c r="Z65" s="1"/>
      <c r="AB65" s="1"/>
      <c r="AC65" s="1"/>
      <c r="AD65" s="1"/>
      <c r="AE65" s="1"/>
      <c r="AF65" s="1"/>
      <c r="AG65" s="1"/>
      <c r="AI65" s="1"/>
      <c r="AJ65" s="1"/>
      <c r="AK65" s="1"/>
      <c r="AL65" s="1"/>
      <c r="AM65" s="1"/>
      <c r="AN65" s="1"/>
      <c r="AP65" s="1"/>
      <c r="AQ65" s="1"/>
      <c r="AR65" s="1"/>
      <c r="AS65" s="1"/>
      <c r="AT65" s="1"/>
      <c r="AU65" s="1"/>
      <c r="AW65" s="1"/>
      <c r="AX65" s="1"/>
      <c r="AY65" s="1"/>
      <c r="AZ65" s="1"/>
      <c r="BA65" s="1"/>
      <c r="BB65" s="1"/>
      <c r="BD65" s="1"/>
      <c r="BE65" s="1"/>
      <c r="BF65" s="1"/>
      <c r="BG65" s="1"/>
      <c r="BH65" s="1"/>
      <c r="BI65" s="1"/>
      <c r="BK65" s="1"/>
      <c r="BL65" s="1"/>
      <c r="BM65" s="1"/>
      <c r="BN65" s="1"/>
      <c r="BO65" s="1"/>
      <c r="BP65" s="1"/>
      <c r="BR65" s="1"/>
      <c r="BS65" s="1"/>
      <c r="BT65" s="1"/>
      <c r="BU65" s="1"/>
      <c r="BV65" s="1"/>
      <c r="BW65" s="1"/>
      <c r="BY65" s="1"/>
      <c r="BZ65" s="1"/>
      <c r="CA65" s="1"/>
      <c r="CB65" s="1"/>
      <c r="CC65" s="1"/>
      <c r="CD65" s="1"/>
      <c r="CE65" s="1"/>
      <c r="CF65" s="1"/>
      <c r="CH65">
        <v>4</v>
      </c>
      <c r="CI65" t="s">
        <v>24</v>
      </c>
      <c r="CJ65" s="8">
        <v>43933</v>
      </c>
      <c r="CK65">
        <v>17</v>
      </c>
      <c r="CM65">
        <v>0</v>
      </c>
      <c r="CW65">
        <v>4</v>
      </c>
      <c r="CX65">
        <v>22</v>
      </c>
      <c r="DC65" s="9">
        <v>43907</v>
      </c>
      <c r="DD65">
        <v>6421</v>
      </c>
      <c r="DE65">
        <f>(DD65/DD64)-1</f>
        <v>0.38622625215889461</v>
      </c>
    </row>
    <row r="66" spans="1:206" ht="18.41">
      <c r="C66">
        <f>H65*D66</f>
        <v>552.05012207769857</v>
      </c>
      <c r="D66">
        <f>D65</f>
        <v>0.018182450285099998</v>
      </c>
      <c r="E66" t="s">
        <v>15</v>
      </c>
      <c r="F66" t="inlineStr">
        <is>
          <t>day four</t>
        </is>
      </c>
      <c r="G66" s="2">
        <f>H66*15</f>
        <v>463706.26936723263</v>
      </c>
      <c r="H66">
        <f>H65+C66</f>
        <v>30913.751291148841</v>
      </c>
      <c r="J66" s="1"/>
      <c r="K66" s="1"/>
      <c r="L66" s="1"/>
      <c r="N66" s="1"/>
      <c r="O66" s="1"/>
      <c r="P66" s="1"/>
      <c r="Q66" s="1"/>
      <c r="R66" s="1"/>
      <c r="S66" s="1"/>
      <c r="U66" s="1"/>
      <c r="V66" s="1"/>
      <c r="W66" s="1"/>
      <c r="X66" s="1"/>
      <c r="Y66" s="1"/>
      <c r="Z66" s="1"/>
      <c r="AB66" s="1"/>
      <c r="AC66" s="1"/>
      <c r="AD66" s="1"/>
      <c r="AE66" s="1"/>
      <c r="AF66" s="1"/>
      <c r="AG66" s="1"/>
      <c r="AI66" s="1"/>
      <c r="AJ66" s="1"/>
      <c r="AK66" s="1"/>
      <c r="AL66" s="1"/>
      <c r="AM66" s="1"/>
      <c r="AN66" s="1"/>
      <c r="AP66" s="1"/>
      <c r="AQ66" s="1"/>
      <c r="AR66" s="1"/>
      <c r="AS66" s="1"/>
      <c r="AT66" s="1"/>
      <c r="AU66" s="1"/>
      <c r="AW66" s="1"/>
      <c r="AX66" s="1"/>
      <c r="AY66" s="1"/>
      <c r="AZ66" s="1"/>
      <c r="BA66" s="1"/>
      <c r="BB66" s="1"/>
      <c r="BD66" s="1"/>
      <c r="BE66" s="1"/>
      <c r="BF66" s="1"/>
      <c r="BG66" s="1"/>
      <c r="BH66" s="1"/>
      <c r="BI66" s="1"/>
      <c r="BK66" s="1"/>
      <c r="BL66" s="1"/>
      <c r="BM66" s="1"/>
      <c r="BN66" s="1"/>
      <c r="BO66" s="1"/>
      <c r="BP66" s="1"/>
      <c r="BR66" s="1"/>
      <c r="BS66" s="1"/>
      <c r="BT66" s="1"/>
      <c r="BU66" s="1"/>
      <c r="BV66" s="1"/>
      <c r="BW66" s="1"/>
      <c r="BY66" s="1"/>
      <c r="BZ66" s="1"/>
      <c r="CA66" s="1"/>
      <c r="CB66" s="1"/>
      <c r="CC66" s="1"/>
      <c r="CD66" s="1"/>
      <c r="CE66" s="1"/>
      <c r="CF66" s="1"/>
      <c r="CH66">
        <v>4</v>
      </c>
      <c r="CI66" t="s">
        <v>24</v>
      </c>
      <c r="CJ66" s="8">
        <v>43934</v>
      </c>
      <c r="CK66">
        <v>19</v>
      </c>
      <c r="CM66">
        <v>0</v>
      </c>
      <c r="CW66">
        <v>5</v>
      </c>
      <c r="CX66">
        <v>55</v>
      </c>
      <c r="DC66" s="9">
        <v>43908</v>
      </c>
      <c r="DD66">
        <v>7783</v>
      </c>
      <c r="DE66">
        <f>(DD66/DD65)-1</f>
        <v>0.21211649275813738</v>
      </c>
    </row>
    <row r="67" spans="1:206" ht="18.41">
      <c r="C67">
        <f>H66*D67</f>
        <v>562.08774597725971</v>
      </c>
      <c r="D67">
        <f>D66</f>
        <v>0.018182450285099998</v>
      </c>
      <c r="E67" t="s">
        <v>16</v>
      </c>
      <c r="F67" t="inlineStr">
        <is>
          <t>day five</t>
        </is>
      </c>
      <c r="G67" s="2">
        <f>H67*15</f>
        <v>472137.58555689151</v>
      </c>
      <c r="H67">
        <f>H66+C67</f>
        <v>31475.839037126101</v>
      </c>
      <c r="J67" s="1"/>
      <c r="K67" s="1"/>
      <c r="L67" s="1"/>
      <c r="N67" s="1"/>
      <c r="O67" s="1"/>
      <c r="P67" s="1"/>
      <c r="Q67" s="1"/>
      <c r="R67" s="1"/>
      <c r="S67" s="1"/>
      <c r="U67" s="1"/>
      <c r="V67" s="1"/>
      <c r="W67" s="1"/>
      <c r="X67" s="1"/>
      <c r="Y67" s="1"/>
      <c r="Z67" s="1"/>
      <c r="AB67" s="1"/>
      <c r="AC67" s="1"/>
      <c r="AD67" s="1"/>
      <c r="AE67" s="1"/>
      <c r="AF67" s="1"/>
      <c r="AG67" s="1"/>
      <c r="AI67" s="1"/>
      <c r="AJ67" s="1"/>
      <c r="AK67" s="1"/>
      <c r="AL67" s="1"/>
      <c r="AM67" s="1"/>
      <c r="AN67" s="1"/>
      <c r="AP67" s="1"/>
      <c r="AQ67" s="1"/>
      <c r="AR67" s="1"/>
      <c r="AS67" s="1"/>
      <c r="AT67" s="1"/>
      <c r="AU67" s="1"/>
      <c r="AW67" s="1"/>
      <c r="AX67" s="1"/>
      <c r="AY67" s="1"/>
      <c r="AZ67" s="1"/>
      <c r="BA67" s="1"/>
      <c r="BB67" s="1"/>
      <c r="BD67" s="1"/>
      <c r="BE67" s="1"/>
      <c r="BF67" s="1"/>
      <c r="BG67" s="1"/>
      <c r="BH67" s="1"/>
      <c r="BI67" s="1"/>
      <c r="BK67" s="1"/>
      <c r="BL67" s="1"/>
      <c r="BM67" s="1"/>
      <c r="BN67" s="1"/>
      <c r="BO67" s="1"/>
      <c r="BP67" s="1"/>
      <c r="BR67" s="1"/>
      <c r="BS67" s="1"/>
      <c r="BT67" s="1"/>
      <c r="BU67" s="1"/>
      <c r="BV67" s="1"/>
      <c r="BW67" s="1"/>
      <c r="BY67" s="1"/>
      <c r="BZ67" s="1"/>
      <c r="CA67" s="1"/>
      <c r="CB67" s="1"/>
      <c r="CC67" s="1"/>
      <c r="CD67" s="1"/>
      <c r="CE67" s="1"/>
      <c r="CF67" s="1"/>
      <c r="CH67">
        <v>4</v>
      </c>
      <c r="CI67" t="s">
        <v>24</v>
      </c>
      <c r="CJ67" s="8">
        <v>43935</v>
      </c>
      <c r="CK67">
        <v>20</v>
      </c>
      <c r="CM67">
        <v>0</v>
      </c>
      <c r="CW67">
        <v>6</v>
      </c>
      <c r="CX67">
        <v>22</v>
      </c>
      <c r="DC67" s="9">
        <v>43909</v>
      </c>
      <c r="DD67">
        <v>13677</v>
      </c>
      <c r="DE67">
        <f>(DD67/DD66)-1</f>
        <v>0.75729153282795836</v>
      </c>
    </row>
    <row r="68" spans="1:206" ht="18.41">
      <c r="C68">
        <f>H67*D68</f>
        <v>572.30787847435511</v>
      </c>
      <c r="D68">
        <f>D67</f>
        <v>0.018182450285099998</v>
      </c>
      <c r="E68" t="s">
        <v>17</v>
      </c>
      <c r="F68" t="inlineStr">
        <is>
          <t>above: moving target</t>
        </is>
      </c>
      <c r="G68" s="2">
        <f>H68*15</f>
        <v>480722.20373400685</v>
      </c>
      <c r="H68">
        <f>H67+C68</f>
        <v>32048.146915600457</v>
      </c>
      <c r="J68" s="1"/>
      <c r="K68" s="1"/>
      <c r="L68" s="1"/>
      <c r="N68" s="1"/>
      <c r="O68" s="1"/>
      <c r="P68" s="1"/>
      <c r="Q68" s="1"/>
      <c r="R68" s="1"/>
      <c r="S68" s="1"/>
      <c r="U68" s="1"/>
      <c r="V68" s="1"/>
      <c r="W68" s="1"/>
      <c r="X68" s="1"/>
      <c r="Y68" s="1"/>
      <c r="Z68" s="1"/>
      <c r="AB68" s="1"/>
      <c r="AC68" s="1"/>
      <c r="AD68" s="1"/>
      <c r="AE68" s="1"/>
      <c r="AF68" s="1"/>
      <c r="AG68" s="1"/>
      <c r="AI68" s="1"/>
      <c r="AJ68" s="1"/>
      <c r="AK68" s="1"/>
      <c r="AL68" s="1"/>
      <c r="AM68" s="1"/>
      <c r="AN68" s="1"/>
      <c r="AP68" s="1"/>
      <c r="AQ68" s="1"/>
      <c r="AR68" s="1"/>
      <c r="AS68" s="1"/>
      <c r="AT68" s="1"/>
      <c r="AU68" s="1"/>
      <c r="AW68" s="1"/>
      <c r="AX68" s="1"/>
      <c r="AY68" s="1"/>
      <c r="AZ68" s="1"/>
      <c r="BA68" s="1"/>
      <c r="BB68" s="1"/>
      <c r="BD68" s="1"/>
      <c r="BE68" s="1"/>
      <c r="BF68" s="1"/>
      <c r="BG68" s="1"/>
      <c r="BH68" s="1"/>
      <c r="BI68" s="1"/>
      <c r="BK68" s="1"/>
      <c r="BL68" s="1"/>
      <c r="BM68" s="1"/>
      <c r="BN68" s="1"/>
      <c r="BO68" s="1"/>
      <c r="BP68" s="1"/>
      <c r="BR68" s="1"/>
      <c r="BS68" s="1"/>
      <c r="BT68" s="1"/>
      <c r="BU68" s="1"/>
      <c r="BV68" s="1"/>
      <c r="BW68" s="1"/>
      <c r="BY68" s="1"/>
      <c r="BZ68" s="1"/>
      <c r="CA68" s="1"/>
      <c r="CB68" s="1"/>
      <c r="CC68" s="1"/>
      <c r="CD68" s="1"/>
      <c r="CE68" s="1"/>
      <c r="CF68" s="1"/>
      <c r="CH68">
        <v>4</v>
      </c>
      <c r="CI68" t="s">
        <v>24</v>
      </c>
      <c r="CJ68" s="8">
        <v>43936</v>
      </c>
      <c r="CK68">
        <v>23</v>
      </c>
      <c r="CM68">
        <v>2</v>
      </c>
      <c r="CW68">
        <v>7</v>
      </c>
      <c r="CX68">
        <v>77</v>
      </c>
      <c r="DC68" s="9">
        <v>43910</v>
      </c>
      <c r="DD68">
        <v>19100</v>
      </c>
      <c r="DE68">
        <f>(DD68/DD67)-1</f>
        <v>0.39650508152372588</v>
      </c>
    </row>
    <row r="69" spans="1:206" ht="19.5">
      <c r="C69">
        <f>H68*D69</f>
        <v>582.71383802248613</v>
      </c>
      <c r="D69">
        <f>D68</f>
        <v>0.018182450285099998</v>
      </c>
      <c r="E69" t="s">
        <v>18</v>
      </c>
      <c r="F69" s="9">
        <v>43959</v>
      </c>
      <c r="G69" s="2">
        <f>H69*15</f>
        <v>489462.91130434413</v>
      </c>
      <c r="H69">
        <f>H68+C69</f>
        <v>32630.860753622943</v>
      </c>
      <c r="J69" s="1"/>
      <c r="K69" s="1"/>
      <c r="L69" s="1"/>
      <c r="N69" s="1"/>
      <c r="O69" s="1"/>
      <c r="P69" s="1"/>
      <c r="Q69" s="1"/>
      <c r="R69" s="1"/>
      <c r="S69" s="1"/>
      <c r="U69" s="1"/>
      <c r="V69" s="1"/>
      <c r="W69" s="1"/>
      <c r="X69" s="1"/>
      <c r="Y69" s="1"/>
      <c r="Z69" s="1"/>
      <c r="AB69" s="1"/>
      <c r="AC69" s="1"/>
      <c r="AD69" s="1"/>
      <c r="AE69" s="1"/>
      <c r="AF69" s="1"/>
      <c r="AG69" s="1"/>
      <c r="AI69" s="1"/>
      <c r="AJ69" s="1"/>
      <c r="AK69" s="1"/>
      <c r="AL69" s="1"/>
      <c r="AM69" s="1"/>
      <c r="AN69" s="1"/>
      <c r="AP69" s="1"/>
      <c r="AQ69" s="1"/>
      <c r="AR69" s="1"/>
      <c r="AS69" s="1"/>
      <c r="AT69" s="1"/>
      <c r="AU69" s="1"/>
      <c r="AW69" s="1"/>
      <c r="AX69" s="1"/>
      <c r="AY69" s="1"/>
      <c r="AZ69" s="1"/>
      <c r="BA69" s="1"/>
      <c r="BB69" s="1"/>
      <c r="BD69" s="1"/>
      <c r="BE69" s="1"/>
      <c r="BF69" s="1"/>
      <c r="BG69" s="1"/>
      <c r="BH69" s="1"/>
      <c r="BI69" s="1"/>
      <c r="BK69" s="1"/>
      <c r="BL69" s="1"/>
      <c r="BM69" s="1"/>
      <c r="BN69" s="1"/>
      <c r="BO69" s="1"/>
      <c r="BP69" s="1"/>
      <c r="BR69" s="1"/>
      <c r="BS69" s="1"/>
      <c r="BT69" s="1"/>
      <c r="BU69" s="1"/>
      <c r="BV69" s="1"/>
      <c r="BW69" s="1"/>
      <c r="BY69" s="1"/>
      <c r="BZ69" s="1"/>
      <c r="CA69" s="1"/>
      <c r="CB69" s="1"/>
      <c r="CC69" s="1"/>
      <c r="CD69" s="1"/>
      <c r="CE69" s="1"/>
      <c r="CF69" s="1"/>
      <c r="CH69">
        <v>4</v>
      </c>
      <c r="CI69" t="s">
        <v>24</v>
      </c>
      <c r="CJ69" s="8">
        <v>43937</v>
      </c>
      <c r="CK69">
        <v>26</v>
      </c>
      <c r="CL69">
        <v>142</v>
      </c>
      <c r="CM69">
        <v>2</v>
      </c>
      <c r="CW69">
        <v>8</v>
      </c>
      <c r="DC69" s="9">
        <v>43911</v>
      </c>
      <c r="DD69">
        <v>25489</v>
      </c>
      <c r="DE69">
        <f>(DD69/DD68)-1</f>
        <v>0.33450261780104706</v>
      </c>
    </row>
    <row r="70" spans="1:206" ht="20.62">
      <c r="C70">
        <f>H69*D70</f>
        <v>593.30900341276981</v>
      </c>
      <c r="D70">
        <f>D69</f>
        <v>0.018182450285099998</v>
      </c>
      <c r="E70" t="s">
        <v>19</v>
      </c>
      <c r="F70" s="9">
        <v>43960</v>
      </c>
      <c r="G70" s="2">
        <f>H70*15</f>
        <v>498362.54635553568</v>
      </c>
      <c r="H70">
        <f>H69+C70</f>
        <v>33224.169757035714</v>
      </c>
      <c r="J70" s="1"/>
      <c r="K70" s="1"/>
      <c r="L70" s="1"/>
      <c r="N70" s="1"/>
      <c r="O70" s="1"/>
      <c r="P70" s="1"/>
      <c r="Q70" s="1"/>
      <c r="R70" s="1"/>
      <c r="S70" s="1"/>
      <c r="U70" s="1"/>
      <c r="V70" s="1"/>
      <c r="W70" s="1"/>
      <c r="X70" s="1"/>
      <c r="Y70" s="1"/>
      <c r="Z70" s="1"/>
      <c r="AB70" s="1"/>
      <c r="AC70" s="1"/>
      <c r="AD70" s="1"/>
      <c r="AE70" s="1"/>
      <c r="AF70" s="1"/>
      <c r="AG70" s="1"/>
      <c r="AI70" s="1"/>
      <c r="AJ70" s="1"/>
      <c r="AK70" s="1"/>
      <c r="AL70" s="1"/>
      <c r="AM70" s="1"/>
      <c r="AN70" s="1"/>
      <c r="AP70" s="1"/>
      <c r="AQ70" s="1"/>
      <c r="AR70" s="1"/>
      <c r="AS70" s="1"/>
      <c r="AT70" s="1"/>
      <c r="AU70" s="1"/>
      <c r="AW70" s="1"/>
      <c r="AX70" s="1"/>
      <c r="AY70" s="1"/>
      <c r="AZ70" s="1"/>
      <c r="BA70" s="1"/>
      <c r="BB70" s="1"/>
      <c r="BD70" s="1"/>
      <c r="BE70" s="1"/>
      <c r="BF70" s="1"/>
      <c r="BG70" s="1"/>
      <c r="BH70" s="1"/>
      <c r="BI70" s="1"/>
      <c r="BK70" s="1"/>
      <c r="BL70" s="1"/>
      <c r="BM70" s="1"/>
      <c r="BN70" s="1"/>
      <c r="BO70" s="1"/>
      <c r="BP70" s="1"/>
      <c r="BR70" s="1"/>
      <c r="BS70" s="1"/>
      <c r="BT70" s="1"/>
      <c r="BU70" s="1"/>
      <c r="BV70" s="1"/>
      <c r="BW70" s="1"/>
      <c r="BY70" s="1"/>
      <c r="BZ70" s="1"/>
      <c r="CA70" s="1"/>
      <c r="CB70" s="1"/>
      <c r="CC70" s="1"/>
      <c r="CD70" s="1"/>
      <c r="CE70" s="1"/>
      <c r="CF70" s="1"/>
      <c r="CH70">
        <v>4</v>
      </c>
      <c r="CI70" t="s">
        <v>24</v>
      </c>
      <c r="CJ70" s="8">
        <v>43938</v>
      </c>
      <c r="CK70">
        <v>28</v>
      </c>
      <c r="CL70">
        <v>153</v>
      </c>
      <c r="CM70">
        <v>2</v>
      </c>
      <c r="CW70">
        <v>-20</v>
      </c>
      <c r="DC70" s="9">
        <v>43912</v>
      </c>
      <c r="DD70">
        <v>33276</v>
      </c>
      <c r="DE70">
        <f>(DD70/DD69)-1</f>
        <v>0.30550433520342102</v>
      </c>
    </row>
    <row r="71" spans="1:206" ht="19.5">
      <c r="C71">
        <f>H70*D71</f>
        <v>604.09681487102478</v>
      </c>
      <c r="D71">
        <f>D70</f>
        <v>0.018182450285099998</v>
      </c>
      <c r="E71" t="s">
        <v>12</v>
      </c>
      <c r="F71" s="9">
        <v>43961</v>
      </c>
      <c r="G71" s="2">
        <f>H71*15</f>
        <v>507423.99857860105</v>
      </c>
      <c r="H71">
        <f>H70+C71</f>
        <v>33828.266571906737</v>
      </c>
      <c r="J71" t="inlineStr">
        <is>
          <t>*preliminary*</t>
        </is>
      </c>
      <c r="K71" s="1"/>
      <c r="L71" s="1"/>
      <c r="M71" t="inlineStr">
        <is>
          <t>total (entry):</t>
        </is>
      </c>
      <c r="N71">
        <v>1036</v>
      </c>
      <c r="P71">
        <v>22</v>
      </c>
      <c r="Q71" s="3"/>
      <c r="R71">
        <v>89</v>
      </c>
      <c r="S71" s="3"/>
      <c r="U71">
        <v>6112</v>
      </c>
      <c r="V71" s="3"/>
      <c r="W71">
        <v>400</v>
      </c>
      <c r="X71" s="3"/>
      <c r="Y71">
        <v>741</v>
      </c>
      <c r="Z71" s="3"/>
      <c r="AB71">
        <v>8024</v>
      </c>
      <c r="AC71" s="3"/>
      <c r="AD71">
        <v>523</v>
      </c>
      <c r="AE71" s="3"/>
      <c r="AF71">
        <v>565</v>
      </c>
      <c r="AG71" s="3"/>
      <c r="AI71">
        <v>11801</v>
      </c>
      <c r="AJ71" s="3"/>
      <c r="AK71">
        <v>525</v>
      </c>
      <c r="AL71" s="3"/>
      <c r="AM71">
        <v>865</v>
      </c>
      <c r="AN71" s="3"/>
      <c r="AP71">
        <v>707</v>
      </c>
      <c r="AQ71" s="3"/>
      <c r="AR71">
        <v>37</v>
      </c>
      <c r="AS71" s="3"/>
      <c r="AT71">
        <v>91</v>
      </c>
      <c r="AU71" s="3"/>
      <c r="AW71">
        <v>461</v>
      </c>
      <c r="AX71" s="3"/>
      <c r="AY71">
        <v>6</v>
      </c>
      <c r="AZ71" s="3"/>
      <c r="BA71">
        <v>39</v>
      </c>
      <c r="BB71" s="3"/>
      <c r="BD71">
        <v>211</v>
      </c>
      <c r="BE71" s="3"/>
      <c r="BF71">
        <v>5</v>
      </c>
      <c r="BG71" s="3"/>
      <c r="BH71">
        <v>2</v>
      </c>
      <c r="BI71" s="3"/>
      <c r="BK71">
        <v>623</v>
      </c>
      <c r="BL71" s="3"/>
      <c r="BM71">
        <v>33</v>
      </c>
      <c r="BN71" s="3"/>
      <c r="BO71">
        <v>43</v>
      </c>
      <c r="BP71" s="3"/>
      <c r="BR71">
        <v>312</v>
      </c>
      <c r="BS71" s="3"/>
      <c r="BU71" s="3"/>
      <c r="BV71">
        <v>1</v>
      </c>
      <c r="BW71" s="3"/>
      <c r="BY71">
        <v>29287</v>
      </c>
      <c r="BZ71" s="3"/>
      <c r="CA71">
        <v>1551</v>
      </c>
      <c r="CB71" s="3"/>
      <c r="CC71">
        <v>2436</v>
      </c>
      <c r="CD71" s="3"/>
      <c r="CH71">
        <v>4</v>
      </c>
      <c r="CI71" t="s">
        <v>24</v>
      </c>
      <c r="CJ71" s="8">
        <v>43939</v>
      </c>
      <c r="CK71">
        <v>29</v>
      </c>
      <c r="CL71">
        <v>158</v>
      </c>
      <c r="CM71">
        <v>2</v>
      </c>
      <c r="CW71">
        <v>100</v>
      </c>
      <c r="DC71" s="9">
        <v>43913</v>
      </c>
      <c r="DD71">
        <v>43847</v>
      </c>
      <c r="DE71">
        <f>(DD71/DD70)-1</f>
        <v>0.31767640341387193</v>
      </c>
    </row>
    <row r="72" spans="1:206" ht="19.5">
      <c r="C72">
        <f>H71*D72</f>
        <v>615.08077517480444</v>
      </c>
      <c r="D72">
        <f>D71</f>
        <v>0.018182450285099998</v>
      </c>
      <c r="E72" t="s">
        <v>14</v>
      </c>
      <c r="F72" s="9">
        <v>43962</v>
      </c>
      <c r="G72" s="2">
        <f>H72*15</f>
        <v>516650.21020622319</v>
      </c>
      <c r="H72">
        <f>H71+C72</f>
        <v>34443.347347081544</v>
      </c>
      <c r="J72" s="1"/>
      <c r="K72" s="1"/>
      <c r="L72" s="1"/>
      <c r="M72" t="inlineStr">
        <is>
          <t>ext. Difference:</t>
        </is>
      </c>
      <c r="N72">
        <f>N71-N62</f>
        <v>22</v>
      </c>
      <c r="P72">
        <f>P71-P62</f>
        <v>0</v>
      </c>
      <c r="Q72" s="3"/>
      <c r="R72">
        <f>R71-R62</f>
        <v>3</v>
      </c>
      <c r="S72" s="3"/>
      <c r="U72">
        <f>U71-U62</f>
        <v>181</v>
      </c>
      <c r="V72" s="3"/>
      <c r="W72">
        <f>W71-W62</f>
        <v>-13</v>
      </c>
      <c r="X72" s="3"/>
      <c r="Y72">
        <f>Y71-Y62</f>
        <v>26</v>
      </c>
      <c r="Z72" s="3"/>
      <c r="AB72">
        <f>AB71-AB62</f>
        <v>124</v>
      </c>
      <c r="AC72" s="3"/>
      <c r="AD72">
        <f>AD71-AD62</f>
        <v>-10</v>
      </c>
      <c r="AE72" s="3"/>
      <c r="AF72">
        <f>AF71-AF62</f>
        <v>32</v>
      </c>
      <c r="AG72" s="3"/>
      <c r="AI72">
        <f>AI71-AI62</f>
        <v>189</v>
      </c>
      <c r="AJ72" s="3"/>
      <c r="AK72">
        <f>AK71-AK62</f>
        <v>-12</v>
      </c>
      <c r="AL72" s="3"/>
      <c r="AM72">
        <f>AM71-AM62</f>
        <v>26</v>
      </c>
      <c r="AN72" s="3"/>
      <c r="AP72">
        <f>AP71-AP62</f>
        <v>20</v>
      </c>
      <c r="AQ72" s="3"/>
      <c r="AR72">
        <f>AR71-AR62</f>
        <v>-3</v>
      </c>
      <c r="AS72" s="3"/>
      <c r="AT72">
        <f>AT71-AT62</f>
        <v>9</v>
      </c>
      <c r="AU72" s="3"/>
      <c r="AW72">
        <f>AW71-AW62</f>
        <v>15</v>
      </c>
      <c r="AX72" s="3"/>
      <c r="AY72">
        <f>AY71-AY62</f>
        <v>0</v>
      </c>
      <c r="AZ72" s="3"/>
      <c r="BA72">
        <f>BA71-BA62</f>
        <v>1</v>
      </c>
      <c r="BB72" s="3"/>
      <c r="BD72">
        <f>BD71-BD62</f>
        <v>11</v>
      </c>
      <c r="BE72" s="3"/>
      <c r="BF72">
        <f>BF71-BF62</f>
        <v>2</v>
      </c>
      <c r="BG72" s="3"/>
      <c r="BH72">
        <f>BH71-BH62</f>
        <v>0</v>
      </c>
      <c r="BI72" s="3"/>
      <c r="BK72">
        <f>BK71-BK62</f>
        <v>20</v>
      </c>
      <c r="BL72" s="3"/>
      <c r="BM72">
        <f>BM71-BM62</f>
        <v>-5</v>
      </c>
      <c r="BN72" s="3"/>
      <c r="BO72">
        <f>BO71-BO62</f>
        <v>1</v>
      </c>
      <c r="BP72" s="3"/>
      <c r="BR72">
        <f>BR71-BR62</f>
        <v>-59</v>
      </c>
      <c r="BS72" s="3"/>
      <c r="BU72" s="3"/>
      <c r="BV72">
        <f>BV71-BV62</f>
        <v>-1</v>
      </c>
      <c r="BW72" s="3"/>
      <c r="BY72">
        <f>BY71-BY62</f>
        <v>523</v>
      </c>
      <c r="BZ72" s="3"/>
      <c r="CA72">
        <f>CA71-CA62</f>
        <v>-41</v>
      </c>
      <c r="CB72" s="3"/>
      <c r="CC72">
        <f>CC71-CC62</f>
        <v>97</v>
      </c>
      <c r="CD72" s="3"/>
      <c r="CH72">
        <v>4</v>
      </c>
      <c r="CI72" t="s">
        <v>24</v>
      </c>
      <c r="CJ72" s="8">
        <v>43940</v>
      </c>
      <c r="CK72">
        <v>30</v>
      </c>
      <c r="CL72">
        <v>164</v>
      </c>
      <c r="CM72">
        <v>2</v>
      </c>
      <c r="CW72">
        <v>-20</v>
      </c>
      <c r="DC72" s="9">
        <v>43914</v>
      </c>
      <c r="DD72">
        <v>53740</v>
      </c>
      <c r="DE72">
        <f>(DD72/DD71)-1</f>
        <v>0.22562547038565928</v>
      </c>
    </row>
    <row r="73" spans="1:206" ht="19.5">
      <c r="C73">
        <f>H72*D73</f>
        <v>626.26445079074108</v>
      </c>
      <c r="D73">
        <f>D72</f>
        <v>0.018182450285099998</v>
      </c>
      <c r="E73" t="s">
        <v>15</v>
      </c>
      <c r="F73" s="9">
        <v>43963</v>
      </c>
      <c r="G73" s="2">
        <f>H73*15</f>
        <v>526044.1769680843</v>
      </c>
      <c r="H73">
        <f>H72+C73</f>
        <v>35069.611797872283</v>
      </c>
      <c r="K73" s="1"/>
      <c r="L73" s="1"/>
      <c r="M73" t="inlineStr">
        <is>
          <t>int. Difference:</t>
        </is>
      </c>
      <c r="N73">
        <f>N63-N62</f>
        <v>22</v>
      </c>
      <c r="P73">
        <f>P63-P62</f>
        <v>0</v>
      </c>
      <c r="Q73" s="3"/>
      <c r="R73">
        <f>R63-R62</f>
        <v>3</v>
      </c>
      <c r="S73" s="3"/>
      <c r="U73">
        <f>U63-U62</f>
        <v>181</v>
      </c>
      <c r="V73" s="3"/>
      <c r="W73">
        <f>W63-W62</f>
        <v>-13</v>
      </c>
      <c r="X73" s="3"/>
      <c r="Y73">
        <f>Y63-Y62</f>
        <v>26</v>
      </c>
      <c r="Z73" s="3"/>
      <c r="AB73">
        <f>AB63-AB62</f>
        <v>124</v>
      </c>
      <c r="AC73" s="3"/>
      <c r="AD73">
        <f>AD63-AD62</f>
        <v>-10</v>
      </c>
      <c r="AE73" s="3"/>
      <c r="AF73">
        <f>AF63-AF62</f>
        <v>32</v>
      </c>
      <c r="AG73" s="3"/>
      <c r="AI73">
        <f>AI63-AI62</f>
        <v>189</v>
      </c>
      <c r="AJ73" s="3"/>
      <c r="AK73">
        <f>AK63-AK62</f>
        <v>-12</v>
      </c>
      <c r="AL73" s="3"/>
      <c r="AM73">
        <f>AM63-AM62</f>
        <v>26</v>
      </c>
      <c r="AN73" s="3"/>
      <c r="AP73">
        <f>AP63-AP62</f>
        <v>20</v>
      </c>
      <c r="AQ73" s="3"/>
      <c r="AR73">
        <f>AR63-AR62</f>
        <v>-3</v>
      </c>
      <c r="AS73" s="3"/>
      <c r="AT73">
        <f>AT63-AT62</f>
        <v>9</v>
      </c>
      <c r="AU73" s="3"/>
      <c r="AW73">
        <f>AW63-AW62</f>
        <v>15</v>
      </c>
      <c r="AX73" s="3"/>
      <c r="AY73">
        <f>AY63-AY62</f>
        <v>0</v>
      </c>
      <c r="AZ73" s="3"/>
      <c r="BA73">
        <f>BA63-BA62</f>
        <v>1</v>
      </c>
      <c r="BB73" s="3"/>
      <c r="BD73">
        <f>BD63-BD62</f>
        <v>11</v>
      </c>
      <c r="BE73" s="3"/>
      <c r="BF73">
        <f>BF63-BF62</f>
        <v>2</v>
      </c>
      <c r="BG73" s="3"/>
      <c r="BH73">
        <f>BH63-BH62</f>
        <v>0</v>
      </c>
      <c r="BI73" s="3"/>
      <c r="BK73">
        <f>BK63-BK62</f>
        <v>20</v>
      </c>
      <c r="BL73" s="3"/>
      <c r="BM73">
        <f>BM63-BM62</f>
        <v>-5</v>
      </c>
      <c r="BN73" s="3"/>
      <c r="BO73">
        <f>BO63-BO62</f>
        <v>1</v>
      </c>
      <c r="BP73" s="3"/>
      <c r="BR73">
        <f>BR63-BR62</f>
        <v>-59</v>
      </c>
      <c r="BS73" s="3"/>
      <c r="BU73" s="3"/>
      <c r="BV73">
        <f>BV63-BV62</f>
        <v>-1</v>
      </c>
      <c r="BW73" s="3"/>
      <c r="BY73">
        <f>BY63-BY62</f>
        <v>523</v>
      </c>
      <c r="BZ73" s="3"/>
      <c r="CA73">
        <f>CA63-CA62</f>
        <v>-41</v>
      </c>
      <c r="CB73" s="3"/>
      <c r="CC73">
        <f>CC63-CC62</f>
        <v>97</v>
      </c>
      <c r="CD73" s="3"/>
      <c r="CH73">
        <v>4</v>
      </c>
      <c r="CI73" t="s">
        <v>24</v>
      </c>
      <c r="CJ73" s="8">
        <v>43941</v>
      </c>
      <c r="CK73">
        <v>35</v>
      </c>
      <c r="CL73">
        <v>191</v>
      </c>
      <c r="CM73">
        <v>2</v>
      </c>
      <c r="CW73">
        <v>200</v>
      </c>
      <c r="DC73" s="9">
        <v>43915</v>
      </c>
      <c r="DD73">
        <v>65778</v>
      </c>
      <c r="DE73">
        <f>(DD73/DD72)-1</f>
        <v>0.22400446594715295</v>
      </c>
    </row>
    <row r="74" spans="1:206" ht="19.5">
      <c r="C74">
        <f>H73*D74</f>
        <v>637.65147303256913</v>
      </c>
      <c r="D74">
        <f>D73</f>
        <v>0.018182450285099998</v>
      </c>
      <c r="E74" t="s">
        <v>16</v>
      </c>
      <c r="F74" s="9">
        <v>43964</v>
      </c>
      <c r="G74" s="2">
        <f>H74*15</f>
        <v>535608.9490635728</v>
      </c>
      <c r="H74">
        <f>H73+C74</f>
        <v>35707.263270904856</v>
      </c>
      <c r="K74" s="1"/>
      <c r="L74" s="1"/>
      <c r="Q74" s="3"/>
      <c r="S74" s="3"/>
      <c r="V74" s="3"/>
      <c r="X74" s="3"/>
      <c r="Z74" s="3"/>
      <c r="AC74" s="3"/>
      <c r="AE74" s="3"/>
      <c r="AG74" s="3"/>
      <c r="AJ74" s="3"/>
      <c r="AL74" s="3"/>
      <c r="AN74" s="3"/>
      <c r="AQ74" s="3"/>
      <c r="AS74" s="3"/>
      <c r="AU74" s="3"/>
      <c r="AX74" s="3"/>
      <c r="AZ74" s="3"/>
      <c r="BB74" s="3"/>
      <c r="BE74" s="3"/>
      <c r="BG74" s="3"/>
      <c r="BI74" s="3"/>
      <c r="BL74" s="3"/>
      <c r="BN74" s="3"/>
      <c r="BP74" s="3"/>
      <c r="BS74" s="3"/>
      <c r="BU74" s="3"/>
      <c r="BW74" s="3"/>
      <c r="BZ74" s="3"/>
      <c r="CB74" s="3"/>
      <c r="CD74" s="3"/>
      <c r="CH74">
        <v>4</v>
      </c>
      <c r="CI74" t="s">
        <v>24</v>
      </c>
      <c r="CJ74" s="8">
        <v>43942</v>
      </c>
      <c r="CK74">
        <v>36</v>
      </c>
      <c r="CL74">
        <v>197</v>
      </c>
      <c r="CM74">
        <v>3</v>
      </c>
      <c r="CW74">
        <v>-20</v>
      </c>
      <c r="DC74" s="9">
        <v>43916</v>
      </c>
      <c r="DD74">
        <v>83836</v>
      </c>
      <c r="DE74">
        <f>(DD74/DD73)-1</f>
        <v>0.27452947794095284</v>
      </c>
    </row>
    <row r="75" spans="1:206" ht="19.5">
      <c r="C75">
        <f>H74*D75</f>
        <v>649.24553924020472</v>
      </c>
      <c r="D75">
        <f>D74</f>
        <v>0.018182450285099998</v>
      </c>
      <c r="E75" t="s">
        <v>17</v>
      </c>
      <c r="F75" s="9">
        <v>43965</v>
      </c>
      <c r="G75" s="2"/>
      <c r="H75">
        <f>H74+C75</f>
        <v>36356.50881014506</v>
      </c>
      <c r="J75" s="1"/>
      <c r="Q75" s="3"/>
      <c r="S75" s="3"/>
      <c r="V75" s="3"/>
      <c r="X75" s="3"/>
      <c r="Z75" s="3"/>
      <c r="AC75" s="3"/>
      <c r="AE75" s="3"/>
      <c r="AG75" s="3"/>
      <c r="AJ75" s="3"/>
      <c r="AL75" s="3"/>
      <c r="AN75" s="3"/>
      <c r="AQ75" s="3"/>
      <c r="AS75" s="3"/>
      <c r="AU75" s="3"/>
      <c r="AX75" s="3"/>
      <c r="AZ75" s="3"/>
      <c r="BB75" s="3"/>
      <c r="BE75" s="3"/>
      <c r="BG75" s="3"/>
      <c r="BI75" s="3"/>
      <c r="BL75" s="3"/>
      <c r="BN75" s="3"/>
      <c r="BP75" s="3"/>
      <c r="BS75" s="3"/>
      <c r="BU75" s="3"/>
      <c r="BW75" s="3"/>
      <c r="BZ75" s="3"/>
      <c r="CB75" s="3"/>
      <c r="CD75" s="3"/>
      <c r="CH75">
        <v>4</v>
      </c>
      <c r="CI75" t="s">
        <v>24</v>
      </c>
      <c r="CJ75" s="8">
        <v>43943</v>
      </c>
      <c r="CK75">
        <v>37</v>
      </c>
      <c r="CL75">
        <v>202</v>
      </c>
      <c r="CM75">
        <v>3</v>
      </c>
      <c r="CW75">
        <v>100</v>
      </c>
      <c r="DC75" s="9">
        <v>43917</v>
      </c>
      <c r="DD75">
        <v>101657</v>
      </c>
      <c r="DE75">
        <f>(DD75/DD74)-1</f>
        <v>0.21256977909251407</v>
      </c>
    </row>
    <row r="76" spans="1:206" ht="19.5">
      <c r="C76">
        <f>H75*D76</f>
        <v>661.05041398026265</v>
      </c>
      <c r="D76">
        <f>D75</f>
        <v>0.018182450285099998</v>
      </c>
      <c r="E76" t="s">
        <v>18</v>
      </c>
      <c r="F76" s="9">
        <v>43966</v>
      </c>
      <c r="G76" s="2"/>
      <c r="H76">
        <f>H75+C76</f>
        <v>37017.559224125325</v>
      </c>
      <c r="J76" s="1"/>
      <c r="K76" t="inlineStr">
        <is>
          <t>TODAY:</t>
        </is>
      </c>
      <c r="N76" s="3">
        <f>(N63/N62)-1</f>
        <v>0.021696252465483346</v>
      </c>
      <c r="P76" s="3">
        <f>(P63/P62)-1</f>
        <v>0</v>
      </c>
      <c r="Q76" s="3"/>
      <c r="R76" s="3">
        <f>(R63/R62)-1</f>
        <v>0.03488372093023262</v>
      </c>
      <c r="S76" s="3"/>
      <c r="T76" s="3"/>
      <c r="U76" s="3">
        <f>(U63/U62)-1</f>
        <v>0.030517619288484177</v>
      </c>
      <c r="V76" s="3"/>
      <c r="W76" s="3">
        <f>(W63/W62)-1</f>
        <v>-0.031476997578692489</v>
      </c>
      <c r="X76" s="3"/>
      <c r="Y76" s="3">
        <f>(Y63/Y62)-1</f>
        <v>0.036363636363636376</v>
      </c>
      <c r="Z76" s="3"/>
      <c r="AA76" s="3"/>
      <c r="AB76" s="3">
        <f>(AB63/AB62)-1</f>
        <v>0.015696202531645609</v>
      </c>
      <c r="AC76" s="3"/>
      <c r="AD76" s="3">
        <f>(AD63/AD62)-1</f>
        <v>-0.018761726078799223</v>
      </c>
      <c r="AE76" s="3"/>
      <c r="AF76" s="3">
        <f>(AF63/AF62)-1</f>
        <v>0.060037523452157515</v>
      </c>
      <c r="AG76" s="3"/>
      <c r="AH76" s="3"/>
      <c r="AI76" s="3">
        <f>(AI63/AI62)-1</f>
        <v>0.016276265931794764</v>
      </c>
      <c r="AJ76" s="3"/>
      <c r="AK76" s="3">
        <f>(AK63/AK62)-1</f>
        <v>-0.022346368715083775</v>
      </c>
      <c r="AL76" s="3"/>
      <c r="AM76" s="3">
        <f>(AM63/AM62)-1</f>
        <v>0.030989272943980906</v>
      </c>
      <c r="AN76" s="3"/>
      <c r="AO76" s="3"/>
      <c r="AP76" s="3">
        <f>(AP63/AP62)-1</f>
        <v>0.029112081513828159</v>
      </c>
      <c r="AQ76" s="3"/>
      <c r="AR76" s="3">
        <f>(AR63/AR62)-1</f>
        <v>-0.074999999999999956</v>
      </c>
      <c r="AS76" s="3"/>
      <c r="AT76" s="3">
        <f>(AT63/AT62)-1</f>
        <v>0.10975609756097571</v>
      </c>
      <c r="AU76" s="3"/>
      <c r="AV76" s="3"/>
      <c r="AW76" s="3">
        <f>(AW63/AW62)-1</f>
        <v>0.033632286995515681</v>
      </c>
      <c r="AX76" s="3"/>
      <c r="AY76" s="3">
        <f>(AY63/AY62)-1</f>
        <v>0</v>
      </c>
      <c r="AZ76" s="3"/>
      <c r="BA76" s="3">
        <f>(BA63/BA62)-1</f>
        <v>0.026315789473684292</v>
      </c>
      <c r="BB76" s="3"/>
      <c r="BC76" s="3"/>
      <c r="BD76" s="3">
        <f>(BD63/BD62)-1</f>
        <v>0.054999999999999938</v>
      </c>
      <c r="BE76" s="3"/>
      <c r="BF76" s="3">
        <f>(BF63/BF62)-1</f>
        <v>0.66666666666666674</v>
      </c>
      <c r="BG76" s="3"/>
      <c r="BH76" s="3">
        <f>(BH63/BH62)-1</f>
        <v>0</v>
      </c>
      <c r="BI76" s="3"/>
      <c r="BJ76" s="3"/>
      <c r="BK76" s="3">
        <f>(BK63/BK62)-1</f>
        <v>0.033167495854063089</v>
      </c>
      <c r="BL76" s="3"/>
      <c r="BM76" s="3">
        <f>(BM63/BM62)-1</f>
        <v>-0.13157894736842102</v>
      </c>
      <c r="BN76" s="3"/>
      <c r="BO76" s="3">
        <f>(BO63/BO62)-1</f>
        <v>0.023809523809523725</v>
      </c>
      <c r="BP76" s="3"/>
      <c r="BQ76" s="3"/>
      <c r="BR76" s="3">
        <f>(BR63/BR62)-1</f>
        <v>-0.15902964959568733</v>
      </c>
      <c r="BS76" s="3"/>
      <c r="BT76" s="3"/>
      <c r="BU76" s="3"/>
      <c r="BV76" s="3">
        <f>(BV63/BV62)-1</f>
        <v>-0.5</v>
      </c>
      <c r="BW76" s="3"/>
      <c r="BX76" s="3"/>
      <c r="BY76" s="3">
        <f>(BY63/BY62)-1</f>
        <v>0.018182450285078477</v>
      </c>
      <c r="BZ76" s="3"/>
      <c r="CA76" s="3">
        <f>(CA63/CA62)-1</f>
        <v>-0.025753768844221092</v>
      </c>
      <c r="CB76" s="3"/>
      <c r="CC76" s="3">
        <f>(CC63/CC62)-1</f>
        <v>0.041470713980333418</v>
      </c>
      <c r="CD76" s="3"/>
      <c r="CE76" s="3"/>
      <c r="CF76" s="3"/>
      <c r="CH76">
        <v>4</v>
      </c>
      <c r="CI76" t="s">
        <v>24</v>
      </c>
      <c r="CJ76" s="8">
        <v>43944</v>
      </c>
      <c r="CK76">
        <v>37</v>
      </c>
      <c r="CL76">
        <v>202</v>
      </c>
      <c r="CM76">
        <v>3</v>
      </c>
      <c r="CW76">
        <v>-20</v>
      </c>
      <c r="DC76" s="9">
        <v>43918</v>
      </c>
      <c r="DD76">
        <v>121478</v>
      </c>
      <c r="DE76">
        <f>(DD76/DD75)-1</f>
        <v>0.19497919474310677</v>
      </c>
    </row>
    <row r="77" spans="1:206" ht="19.5">
      <c r="C77">
        <f>H76*D77</f>
        <v>673.0699302684036</v>
      </c>
      <c r="D77">
        <f>D76</f>
        <v>0.018182450285099998</v>
      </c>
      <c r="E77" t="s">
        <v>19</v>
      </c>
      <c r="F77" s="9">
        <v>43966</v>
      </c>
      <c r="G77" s="2"/>
      <c r="H77">
        <f>H76+C77</f>
        <v>37690.629154393726</v>
      </c>
      <c r="J77" s="1"/>
      <c r="AJ77" s="5"/>
      <c r="CH77">
        <v>4</v>
      </c>
      <c r="CI77" t="s">
        <v>24</v>
      </c>
      <c r="CJ77" s="8">
        <v>43945</v>
      </c>
      <c r="CK77">
        <v>40</v>
      </c>
      <c r="CL77">
        <v>219</v>
      </c>
      <c r="CM77">
        <v>4</v>
      </c>
      <c r="DC77" s="9">
        <v>43919</v>
      </c>
      <c r="DD77">
        <v>140886</v>
      </c>
      <c r="DE77">
        <f>(DD77/DD76)-1</f>
        <v>0.15976555425673777</v>
      </c>
    </row>
    <row r="78" spans="1:206" ht="19.5">
      <c r="C78">
        <f>H77*D78</f>
        <v>685.30799081390455</v>
      </c>
      <c r="D78">
        <f>D77</f>
        <v>0.018182450285099998</v>
      </c>
      <c r="E78" t="s">
        <v>12</v>
      </c>
      <c r="F78" s="9">
        <v>43968</v>
      </c>
      <c r="G78" s="2"/>
      <c r="H78">
        <f>H77+C78</f>
        <v>38375.93714520763</v>
      </c>
      <c r="J78" s="1"/>
      <c r="AJ78" s="1"/>
      <c r="CH78">
        <v>4</v>
      </c>
      <c r="CI78" t="s">
        <v>24</v>
      </c>
      <c r="CJ78" s="8">
        <v>43946</v>
      </c>
      <c r="CK78">
        <v>43</v>
      </c>
      <c r="CL78">
        <v>235</v>
      </c>
      <c r="CM78">
        <v>5</v>
      </c>
      <c r="DC78" s="9">
        <v>43920</v>
      </c>
      <c r="DD78">
        <v>161807</v>
      </c>
      <c r="DE78">
        <f>(DD78/DD77)-1</f>
        <v>0.14849594707777913</v>
      </c>
    </row>
    <row r="79" spans="1:206" ht="19.5">
      <c r="C79">
        <f>H78*D79</f>
        <v>697.76856928686004</v>
      </c>
      <c r="D79">
        <f>D78</f>
        <v>0.018182450285099998</v>
      </c>
      <c r="E79" t="s">
        <v>14</v>
      </c>
      <c r="F79" s="9">
        <v>43969</v>
      </c>
      <c r="G79" s="2"/>
      <c r="H79">
        <f>H78+C79</f>
        <v>39073.705714494492</v>
      </c>
      <c r="J79" s="1"/>
      <c r="K79" t="inlineStr">
        <is>
          <t>Yesterday:</t>
        </is>
      </c>
      <c r="N79" s="3">
        <f>0.052999999999999999</f>
        <v>0.052999999999999999</v>
      </c>
      <c r="P79" s="3">
        <f>0.048000000000000001</f>
        <v>0.048000000000000001</v>
      </c>
      <c r="Q79" s="3"/>
      <c r="R79" s="3">
        <f>0.074999999999999997</f>
        <v>0.074999999999999997</v>
      </c>
      <c r="S79" s="3"/>
      <c r="T79" s="3"/>
      <c r="U79" s="3">
        <f>0.058999999999999997</f>
        <v>0.058999999999999997</v>
      </c>
      <c r="V79" s="3"/>
      <c r="W79" s="3">
        <f>-0.0070000000000000001</f>
        <v>-0.0070000000000000001</v>
      </c>
      <c r="X79" s="3"/>
      <c r="Y79" s="3">
        <f>0.024</f>
        <v>0.024</v>
      </c>
      <c r="Z79" s="3"/>
      <c r="AA79" s="3"/>
      <c r="AB79" s="3">
        <f>0.048000000000000001</f>
        <v>0.048000000000000001</v>
      </c>
      <c r="AC79" s="3"/>
      <c r="AD79" s="3">
        <f>-0.042999999999999997</f>
        <v>-0.042999999999999997</v>
      </c>
      <c r="AE79" s="3"/>
      <c r="AF79" s="3">
        <f>0.041000000000000002</f>
        <v>0.041000000000000002</v>
      </c>
      <c r="AG79" s="3"/>
      <c r="AH79" s="3"/>
      <c r="AI79" s="3">
        <f>0.028000000000000001</f>
        <v>0.028000000000000001</v>
      </c>
      <c r="AJ79" s="5"/>
      <c r="AK79" s="3">
        <f>-0.050000000000000003</f>
        <v>-0.050000000000000003</v>
      </c>
      <c r="AL79" s="3"/>
      <c r="AM79" s="3">
        <f>0.035999999999999997</f>
        <v>0.035999999999999997</v>
      </c>
      <c r="AN79" s="3"/>
      <c r="AO79" s="3"/>
      <c r="AP79" s="3">
        <f>0.045999999999999999</f>
        <v>0.045999999999999999</v>
      </c>
      <c r="AQ79" s="3"/>
      <c r="AR79" s="3">
        <f>-0.048000000000000001</f>
        <v>-0.048000000000000001</v>
      </c>
      <c r="AS79" s="3"/>
      <c r="AT79" s="3">
        <f>0.037999999999999999</f>
        <v>0.037999999999999999</v>
      </c>
      <c r="AU79" s="3"/>
      <c r="AV79" s="3"/>
      <c r="AW79" s="3">
        <f>0.021000000000000001</f>
        <v>0.021000000000000001</v>
      </c>
      <c r="AX79" s="3"/>
      <c r="AY79" s="3">
        <f>0.5</f>
        <v>0.5</v>
      </c>
      <c r="AZ79" s="3"/>
      <c r="BA79" s="3">
        <f>0.056000000000000001</f>
        <v>0.056000000000000001</v>
      </c>
      <c r="BB79" s="3"/>
      <c r="BC79" s="3"/>
      <c r="BD79" s="3">
        <f>0.074999999999999997</f>
        <v>0.074999999999999997</v>
      </c>
      <c r="BE79" s="3"/>
      <c r="BF79" s="3">
        <f>-0.25</f>
        <v>-0.25</v>
      </c>
      <c r="BG79" s="3"/>
      <c r="BH79" s="3">
        <f>0</f>
        <v>0</v>
      </c>
      <c r="BI79" s="3"/>
      <c r="BJ79" s="3"/>
      <c r="BK79" s="3">
        <f>0.069000000000000006</f>
        <v>0.069000000000000006</v>
      </c>
      <c r="BL79" s="3"/>
      <c r="BM79" s="3">
        <f>-0.072999999999999995</f>
        <v>-0.072999999999999995</v>
      </c>
      <c r="BN79" s="3"/>
      <c r="BO79" s="3">
        <f>0.16700000000000001</f>
        <v>0.16700000000000001</v>
      </c>
      <c r="BP79" s="3"/>
      <c r="BQ79" s="3"/>
      <c r="BR79" s="3">
        <f>-0.19700000000000001</f>
        <v>-0.19700000000000001</v>
      </c>
      <c r="BS79" s="3"/>
      <c r="BT79" s="3"/>
      <c r="BU79" s="3"/>
      <c r="BV79" s="3">
        <f>-0.5</f>
        <v>-0.5</v>
      </c>
      <c r="BW79" s="3"/>
      <c r="BX79" s="3"/>
      <c r="BY79" s="3">
        <f>0.037999999999999999</f>
        <v>0.037999999999999999</v>
      </c>
      <c r="BZ79" s="3"/>
      <c r="CA79" s="3">
        <f>-0.035000000000000003</f>
        <v>-0.035000000000000003</v>
      </c>
      <c r="CB79" s="3"/>
      <c r="CC79" s="3">
        <f>0.035999999999999997</f>
        <v>0.035999999999999997</v>
      </c>
      <c r="CD79" s="3"/>
      <c r="CE79" s="3"/>
      <c r="CF79" s="3"/>
      <c r="CH79">
        <v>4</v>
      </c>
      <c r="CI79" t="s">
        <v>24</v>
      </c>
      <c r="CJ79" s="8">
        <v>43947</v>
      </c>
      <c r="CK79">
        <v>44</v>
      </c>
      <c r="CL79">
        <v>240</v>
      </c>
      <c r="CM79">
        <v>5</v>
      </c>
      <c r="DC79" s="9">
        <v>43921</v>
      </c>
      <c r="DD79">
        <v>188172</v>
      </c>
      <c r="DE79">
        <f>(DD79/DD78)-1</f>
        <v>0.16294103468947574</v>
      </c>
    </row>
    <row r="80" spans="1:206" ht="19.5">
      <c r="C80">
        <f>H79*D80</f>
        <v>710.45571160842383</v>
      </c>
      <c r="D80">
        <f>D79</f>
        <v>0.018182450285099998</v>
      </c>
      <c r="E80" t="s">
        <v>15</v>
      </c>
      <c r="F80" s="9">
        <v>43970</v>
      </c>
      <c r="G80" s="2"/>
      <c r="H80">
        <f>H79+C80</f>
        <v>39784.161426102917</v>
      </c>
      <c r="J80" s="1"/>
      <c r="R80" s="1"/>
      <c r="S80" s="1"/>
      <c r="U80" s="1"/>
      <c r="V80" s="1"/>
      <c r="W80" s="1"/>
      <c r="X80" s="1"/>
      <c r="Y80" s="1"/>
      <c r="Z80" s="1"/>
      <c r="AB80" s="1"/>
      <c r="AC80" s="1"/>
      <c r="AD80" s="1"/>
      <c r="AE80" s="1"/>
      <c r="AF80" s="1"/>
      <c r="AG80" s="1"/>
      <c r="AI80" s="1"/>
      <c r="AJ80" s="1"/>
      <c r="AK80" s="1"/>
      <c r="AL80" s="1"/>
      <c r="AM80" s="1"/>
      <c r="AN80" s="1"/>
      <c r="AP80" s="1"/>
      <c r="AQ80" s="1"/>
      <c r="AR80" s="1"/>
      <c r="AS80" s="1"/>
      <c r="AT80" s="1"/>
      <c r="AU80" s="1"/>
      <c r="AW80" s="1"/>
      <c r="AX80" s="1"/>
      <c r="AY80" s="1"/>
      <c r="AZ80" s="1"/>
      <c r="BA80" s="1"/>
      <c r="BB80" s="1"/>
      <c r="CH80">
        <v>4</v>
      </c>
      <c r="CI80" t="s">
        <v>24</v>
      </c>
      <c r="CJ80" s="8">
        <v>43948</v>
      </c>
      <c r="CK80">
        <v>45</v>
      </c>
      <c r="CL80">
        <v>246</v>
      </c>
      <c r="CM80">
        <v>5</v>
      </c>
      <c r="DC80" s="9">
        <v>43922</v>
      </c>
      <c r="DD80">
        <v>213372</v>
      </c>
      <c r="DE80">
        <f>(DD80/DD79)-1</f>
        <v>0.13392003061029278</v>
      </c>
    </row>
    <row r="81" spans="1:206" ht="19.5">
      <c r="C81">
        <f>H80*D81</f>
        <v>723.37353726450931</v>
      </c>
      <c r="D81">
        <f>D80</f>
        <v>0.018182450285099998</v>
      </c>
      <c r="E81" t="s">
        <v>16</v>
      </c>
      <c r="F81" s="9">
        <v>43971</v>
      </c>
      <c r="G81" s="2"/>
      <c r="H81">
        <f>H80+C81</f>
        <v>40507.534963367427</v>
      </c>
      <c r="J81" s="1"/>
      <c r="N81" s="1"/>
      <c r="R81" s="1"/>
      <c r="S81" s="1"/>
      <c r="U81" s="1"/>
      <c r="V81" s="1"/>
      <c r="W81" s="1"/>
      <c r="X81" s="1"/>
      <c r="Y81" s="1"/>
      <c r="Z81" s="1"/>
      <c r="AB81" s="1"/>
      <c r="AC81" s="1"/>
      <c r="AD81" s="1"/>
      <c r="AE81" s="1"/>
      <c r="AF81" s="1"/>
      <c r="AG81" s="1"/>
      <c r="AI81" s="1"/>
      <c r="AJ81" s="5"/>
      <c r="AK81" s="1"/>
      <c r="AL81" s="1"/>
      <c r="AM81" s="1"/>
      <c r="AN81" s="1"/>
      <c r="AP81" s="1"/>
      <c r="AQ81" s="1"/>
      <c r="AR81" s="1"/>
      <c r="AS81" s="1"/>
      <c r="AT81" s="1"/>
      <c r="AU81" s="1"/>
      <c r="AW81" s="1"/>
      <c r="AX81" s="1"/>
      <c r="AY81" s="1"/>
      <c r="AZ81" s="1"/>
      <c r="BA81" s="1"/>
      <c r="BB81" s="1"/>
      <c r="BV81" t="inlineStr">
        <is>
          <t>r: +3</t>
        </is>
      </c>
      <c r="CH81">
        <v>4</v>
      </c>
      <c r="CI81" t="s">
        <v>24</v>
      </c>
      <c r="CJ81" s="8">
        <v>43949</v>
      </c>
      <c r="CK81">
        <v>44</v>
      </c>
      <c r="CL81">
        <v>240</v>
      </c>
      <c r="CM81">
        <v>7</v>
      </c>
      <c r="DC81" s="9">
        <v>43923</v>
      </c>
      <c r="DD81">
        <v>243453</v>
      </c>
      <c r="DE81">
        <f>(DD81/DD80)-1</f>
        <v>0.1409791350317755</v>
      </c>
    </row>
    <row r="82" spans="1:206" ht="19.5">
      <c r="C82">
        <f>H81*D82</f>
        <v>736.52624064337817</v>
      </c>
      <c r="D82">
        <f>D81</f>
        <v>0.018182450285099998</v>
      </c>
      <c r="E82" t="s">
        <v>17</v>
      </c>
      <c r="F82" s="9">
        <v>43972</v>
      </c>
      <c r="G82" s="2"/>
      <c r="H82">
        <f>H81+C82</f>
        <v>41244.061204010803</v>
      </c>
      <c r="O82" s="1"/>
      <c r="S82" s="1"/>
      <c r="U82" s="1"/>
      <c r="V82" s="1"/>
      <c r="W82" s="1"/>
      <c r="X82" s="1"/>
      <c r="Y82" s="1"/>
      <c r="Z82" s="1"/>
      <c r="AB82" s="1"/>
      <c r="AC82" s="1"/>
      <c r="AD82" s="1"/>
      <c r="AE82" s="1"/>
      <c r="AF82" s="1"/>
      <c r="AG82" s="1"/>
      <c r="AI82" s="1"/>
      <c r="AJ82" s="1"/>
      <c r="AP82" s="1"/>
      <c r="AW82" s="1"/>
      <c r="BF82" t="inlineStr">
        <is>
          <t>any zero-to-positive int gets the 'r: +n' entry.</t>
        </is>
      </c>
      <c r="BR82" s="1"/>
      <c r="CH82">
        <v>4</v>
      </c>
      <c r="CI82" t="s">
        <v>24</v>
      </c>
      <c r="CJ82" s="8">
        <v>43950</v>
      </c>
      <c r="CK82">
        <v>46</v>
      </c>
      <c r="CL82">
        <v>251</v>
      </c>
      <c r="CM82">
        <v>8</v>
      </c>
      <c r="DC82" s="9">
        <v>43924</v>
      </c>
      <c r="DD82">
        <v>275586</v>
      </c>
      <c r="DE82">
        <f>(DD82/DD81)-1</f>
        <v>0.13198851523702726</v>
      </c>
    </row>
    <row r="83" spans="1:206" ht="19.5">
      <c r="C83">
        <f>H82*D83</f>
        <v>749.91809239754798</v>
      </c>
      <c r="D83">
        <f>D82</f>
        <v>0.018182450285099998</v>
      </c>
      <c r="E83" t="s">
        <v>18</v>
      </c>
      <c r="F83" s="9">
        <v>43973</v>
      </c>
      <c r="G83" s="2"/>
      <c r="H83">
        <f>H82+C83</f>
        <v>41993.979296408354</v>
      </c>
      <c r="S83" s="1"/>
      <c r="U83" s="1"/>
      <c r="V83" s="1"/>
      <c r="W83" s="1"/>
      <c r="X83" s="1"/>
      <c r="Y83" s="1"/>
      <c r="Z83" s="1"/>
      <c r="AB83" s="1"/>
      <c r="AC83" s="1"/>
      <c r="AD83" s="1"/>
      <c r="AE83" s="1"/>
      <c r="AF83" s="1"/>
      <c r="AG83" s="1"/>
      <c r="AI83" s="1"/>
      <c r="AJ83" s="5"/>
      <c r="CH83">
        <v>4</v>
      </c>
      <c r="CI83" t="s">
        <v>24</v>
      </c>
      <c r="CJ83" s="8">
        <v>43951</v>
      </c>
      <c r="CK83">
        <v>47</v>
      </c>
      <c r="CL83">
        <v>257</v>
      </c>
      <c r="CM83">
        <v>8</v>
      </c>
      <c r="DC83" s="9">
        <v>43925</v>
      </c>
      <c r="DD83">
        <v>308850</v>
      </c>
      <c r="DE83">
        <f>(DD83/DD82)-1</f>
        <v>0.12070279332041545</v>
      </c>
    </row>
    <row r="84" spans="1:206" ht="19.5">
      <c r="C84">
        <f>H83*D84</f>
        <v>763.5534408304635</v>
      </c>
      <c r="D84">
        <f>D83</f>
        <v>0.018182450285099998</v>
      </c>
      <c r="E84" t="s">
        <v>19</v>
      </c>
      <c r="F84" s="9">
        <v>43974</v>
      </c>
      <c r="G84" s="2"/>
      <c r="H84">
        <f>H83+C84</f>
        <v>42757.53273723882</v>
      </c>
      <c r="J84" s="1"/>
      <c r="N84" s="1"/>
      <c r="S84" s="1"/>
      <c r="U84" s="1"/>
      <c r="V84" s="1"/>
      <c r="W84" s="1"/>
      <c r="X84" s="1"/>
      <c r="Y84" s="1"/>
      <c r="Z84" s="1"/>
      <c r="AB84" s="1"/>
      <c r="AC84" s="1"/>
      <c r="AD84" s="1"/>
      <c r="AE84" s="1"/>
      <c r="AF84" s="1"/>
      <c r="AG84" s="1"/>
      <c r="AI84" s="1"/>
      <c r="AJ84" s="1"/>
      <c r="BD84" s="1"/>
      <c r="BK84" s="1"/>
      <c r="CH84">
        <v>5</v>
      </c>
      <c r="CI84" t="s">
        <v>32</v>
      </c>
      <c r="CJ84" s="8">
        <v>43914</v>
      </c>
      <c r="CK84">
        <v>0</v>
      </c>
      <c r="CM84">
        <v>0</v>
      </c>
      <c r="DC84" s="9">
        <v>43926</v>
      </c>
      <c r="DD84">
        <v>337072</v>
      </c>
      <c r="DE84" s="10">
        <f>(DD84/DD83)-1</f>
        <v>0.091377691435972075</v>
      </c>
      <c r="DG84" t="inlineStr">
        <is>
          <t>Under ten percent - add one more digit of precision for context</t>
        </is>
      </c>
    </row>
    <row r="85" spans="1:206" ht="19.5">
      <c r="C85">
        <f>H84*D85</f>
        <v>777.43671330838049</v>
      </c>
      <c r="D85">
        <f>D84</f>
        <v>0.018182450285099998</v>
      </c>
      <c r="E85" t="s">
        <v>12</v>
      </c>
      <c r="F85" s="9">
        <v>43975</v>
      </c>
      <c r="G85" s="2"/>
      <c r="H85">
        <f>H84+C85</f>
        <v>43534.9694505472</v>
      </c>
      <c r="J85" s="4"/>
      <c r="S85" s="1"/>
      <c r="U85" s="1"/>
      <c r="V85" s="1"/>
      <c r="W85" s="1"/>
      <c r="X85" s="1"/>
      <c r="Y85" s="1"/>
      <c r="Z85" s="1"/>
      <c r="AB85" s="1"/>
      <c r="AC85" s="1"/>
      <c r="AD85" s="1"/>
      <c r="AE85" s="1"/>
      <c r="AF85" s="1"/>
      <c r="AG85" s="1"/>
      <c r="AI85" s="1"/>
      <c r="AT85" s="1"/>
      <c r="BD85" s="1"/>
      <c r="BK85" s="1"/>
      <c r="CH85">
        <v>5</v>
      </c>
      <c r="CI85" t="s">
        <v>32</v>
      </c>
      <c r="CJ85" s="8">
        <v>43915</v>
      </c>
      <c r="CK85">
        <v>0</v>
      </c>
      <c r="CM85">
        <v>0</v>
      </c>
      <c r="DC85" s="9">
        <v>43927</v>
      </c>
      <c r="DD85">
        <v>366667</v>
      </c>
      <c r="DE85" s="10">
        <f>(DD85/DD84)-1</f>
        <v>0.087800232591256577</v>
      </c>
    </row>
    <row r="86" spans="1:206" ht="19.5">
      <c r="C86">
        <f>H85*D86</f>
        <v>791.57241769792165</v>
      </c>
      <c r="D86">
        <f>D85</f>
        <v>0.018182450285099998</v>
      </c>
      <c r="E86" t="s">
        <v>14</v>
      </c>
      <c r="F86" s="9">
        <v>43976</v>
      </c>
      <c r="G86" s="2"/>
      <c r="H86">
        <f>H85+C86</f>
        <v>44326.54186824512</v>
      </c>
      <c r="J86" s="1"/>
      <c r="S86" s="1"/>
      <c r="U86" s="1"/>
      <c r="V86" s="1"/>
      <c r="W86" s="1"/>
      <c r="X86" s="1"/>
      <c r="Y86" s="1"/>
      <c r="Z86" s="1"/>
      <c r="AB86" s="1"/>
      <c r="AC86" s="1"/>
      <c r="AD86" s="1"/>
      <c r="AE86" s="1"/>
      <c r="AF86" s="1"/>
      <c r="AG86" s="1"/>
      <c r="AI86" s="1"/>
      <c r="CH86">
        <v>5</v>
      </c>
      <c r="CI86" t="s">
        <v>32</v>
      </c>
      <c r="CJ86" s="8">
        <v>43916</v>
      </c>
      <c r="CK86">
        <v>0</v>
      </c>
      <c r="CM86">
        <v>0</v>
      </c>
      <c r="DC86" s="9">
        <v>43928</v>
      </c>
      <c r="DD86">
        <v>396223</v>
      </c>
      <c r="DE86" s="10">
        <f>(DD86/DD85)-1</f>
        <v>0.080607199448000433</v>
      </c>
    </row>
    <row r="87" spans="1:206" ht="19.5">
      <c r="C87">
        <f>H86*D87</f>
        <v>805.96514382977045</v>
      </c>
      <c r="D87">
        <f>D86</f>
        <v>0.018182450285099998</v>
      </c>
      <c r="E87" t="s">
        <v>15</v>
      </c>
      <c r="F87" s="9">
        <v>43977</v>
      </c>
      <c r="G87" s="2"/>
      <c r="H87">
        <f>H86+C87</f>
        <v>45132.507012074893</v>
      </c>
      <c r="J87" s="1"/>
      <c r="R87" s="1"/>
      <c r="S87" s="1"/>
      <c r="U87" s="1"/>
      <c r="V87" s="1"/>
      <c r="X87" s="1"/>
      <c r="Y87" s="1"/>
      <c r="Z87" s="1"/>
      <c r="AB87" s="1"/>
      <c r="AC87" s="1"/>
      <c r="AD87" s="1"/>
      <c r="AE87" s="1"/>
      <c r="AF87" s="1"/>
      <c r="AG87" s="1"/>
      <c r="AI87" s="1"/>
      <c r="AJ87" s="1"/>
      <c r="AK87" s="1"/>
      <c r="AL87" s="1"/>
      <c r="AM87" s="1"/>
      <c r="AN87" s="1"/>
      <c r="AP87" s="1"/>
      <c r="AQ87" s="1"/>
      <c r="CH87">
        <v>5</v>
      </c>
      <c r="CI87" t="s">
        <v>32</v>
      </c>
      <c r="CJ87" s="8">
        <v>43917</v>
      </c>
      <c r="CK87">
        <v>0</v>
      </c>
      <c r="CM87">
        <v>0</v>
      </c>
      <c r="DC87" s="9">
        <v>43929</v>
      </c>
      <c r="DD87">
        <v>429052</v>
      </c>
      <c r="DE87" s="10">
        <f>(DD87/DD86)-1</f>
        <v>0.0828548569871006</v>
      </c>
    </row>
    <row r="88" spans="1:206" ht="19.5">
      <c r="C88">
        <f>H87*D88</f>
        <v>820.61956498897882</v>
      </c>
      <c r="D88">
        <f>D87</f>
        <v>0.018182450285099998</v>
      </c>
      <c r="E88" t="s">
        <v>16</v>
      </c>
      <c r="F88" s="9">
        <v>43978</v>
      </c>
      <c r="G88" s="2"/>
      <c r="H88">
        <f>H87+C88</f>
        <v>45953.126577063871</v>
      </c>
      <c r="Q88" s="1"/>
      <c r="R88" s="1"/>
      <c r="S88" s="1"/>
      <c r="U88" s="1"/>
      <c r="V88" s="1"/>
      <c r="W88" s="1"/>
      <c r="X88" s="1"/>
      <c r="Y88" s="1"/>
      <c r="Z88" s="1"/>
      <c r="AB88" s="1"/>
      <c r="AC88" s="1"/>
      <c r="AD88" s="1"/>
      <c r="AE88" s="1"/>
      <c r="AF88" s="1"/>
      <c r="AG88" s="1"/>
      <c r="AI88" s="1"/>
      <c r="CH88">
        <v>5</v>
      </c>
      <c r="CI88" t="s">
        <v>32</v>
      </c>
      <c r="CJ88" s="8">
        <v>43918</v>
      </c>
      <c r="CK88">
        <v>0</v>
      </c>
      <c r="CM88">
        <v>0</v>
      </c>
      <c r="DC88" s="9">
        <v>43930</v>
      </c>
      <c r="DD88">
        <v>461437</v>
      </c>
      <c r="DE88" s="10">
        <f>(DD88/DD87)-1</f>
        <v>0.07548036135480074</v>
      </c>
    </row>
    <row r="89" spans="1:206" ht="19.5">
      <c r="C89">
        <f>H88*D89</f>
        <v>835.54043943237127</v>
      </c>
      <c r="D89">
        <f>D88</f>
        <v>0.018182450285099998</v>
      </c>
      <c r="E89" t="s">
        <v>17</v>
      </c>
      <c r="F89" s="9">
        <v>43979</v>
      </c>
      <c r="G89" s="2"/>
      <c r="H89">
        <f>H88+C89</f>
        <v>46788.667016496242</v>
      </c>
      <c r="Q89" s="1"/>
      <c r="R89" s="1"/>
      <c r="S89" s="1"/>
      <c r="U89" s="1"/>
      <c r="V89" s="1"/>
      <c r="W89" s="1"/>
      <c r="X89" s="1"/>
      <c r="Y89" s="1"/>
      <c r="Z89" s="1"/>
      <c r="AB89" s="1"/>
      <c r="AC89" s="1"/>
      <c r="AD89" s="1"/>
      <c r="AE89" s="1"/>
      <c r="AF89" s="1"/>
      <c r="AG89" s="1"/>
      <c r="AI89" s="1"/>
      <c r="CH89">
        <v>5</v>
      </c>
      <c r="CI89" t="s">
        <v>32</v>
      </c>
      <c r="CJ89" s="8">
        <v>43919</v>
      </c>
      <c r="CK89">
        <v>0</v>
      </c>
      <c r="CM89">
        <v>0</v>
      </c>
      <c r="DC89" s="9">
        <v>43931</v>
      </c>
      <c r="DD89">
        <v>496535</v>
      </c>
      <c r="DE89" s="10">
        <f>(DD89/DD88)-1</f>
        <v>0.076062387714899371</v>
      </c>
    </row>
    <row r="90" spans="1:206" ht="19.5">
      <c r="C90">
        <f>H89*D90</f>
        <v>850.73261193354097</v>
      </c>
      <c r="D90">
        <f>D89</f>
        <v>0.018182450285099998</v>
      </c>
      <c r="E90" t="s">
        <v>18</v>
      </c>
      <c r="F90" s="9">
        <v>43980</v>
      </c>
      <c r="G90" s="2"/>
      <c r="H90">
        <f>H89+C90</f>
        <v>47639.399628429783</v>
      </c>
      <c r="R90" s="1"/>
      <c r="S90" s="1"/>
      <c r="U90" s="1"/>
      <c r="V90" s="1"/>
      <c r="W90" s="1"/>
      <c r="X90" s="1"/>
      <c r="Y90" s="1"/>
      <c r="Z90" s="1"/>
      <c r="AB90" s="1"/>
      <c r="AC90" s="1"/>
      <c r="AD90" s="1"/>
      <c r="AE90" s="1"/>
      <c r="AF90" s="1"/>
      <c r="AG90" s="1"/>
      <c r="AI90" s="1"/>
      <c r="CH90">
        <v>5</v>
      </c>
      <c r="CI90" t="s">
        <v>32</v>
      </c>
      <c r="CJ90" s="8">
        <v>43920</v>
      </c>
      <c r="CK90">
        <v>0</v>
      </c>
      <c r="CM90">
        <v>0</v>
      </c>
      <c r="DC90" s="9">
        <v>43932</v>
      </c>
      <c r="DD90">
        <v>526396</v>
      </c>
      <c r="DE90" s="10">
        <f>(DD90/DD89)-1</f>
        <v>0.060138761618012904</v>
      </c>
    </row>
    <row r="91" spans="1:206" ht="19.5">
      <c r="C91">
        <f>H90*D91</f>
        <v>866.20101535593585</v>
      </c>
      <c r="D91">
        <f>D90</f>
        <v>0.018182450285099998</v>
      </c>
      <c r="E91" t="s">
        <v>19</v>
      </c>
      <c r="F91" s="9">
        <v>43981</v>
      </c>
      <c r="G91" s="2"/>
      <c r="H91">
        <f>H90+C91</f>
        <v>48505.600643785721</v>
      </c>
      <c r="J91" s="1"/>
      <c r="R91" s="1"/>
      <c r="S91" s="1"/>
      <c r="U91" s="1"/>
      <c r="V91" s="1"/>
      <c r="W91" s="1"/>
      <c r="X91" s="1"/>
      <c r="Y91" s="1"/>
      <c r="Z91" s="1"/>
      <c r="AB91" s="1"/>
      <c r="AC91" s="1"/>
      <c r="AD91" s="1"/>
      <c r="AE91" s="1"/>
      <c r="AF91" s="1"/>
      <c r="AG91" s="1"/>
      <c r="AI91" s="1"/>
      <c r="CH91">
        <v>5</v>
      </c>
      <c r="CI91" t="s">
        <v>32</v>
      </c>
      <c r="CJ91" s="8">
        <v>43921</v>
      </c>
      <c r="CK91">
        <v>0</v>
      </c>
      <c r="CM91">
        <v>0</v>
      </c>
      <c r="DC91" s="9">
        <v>43933</v>
      </c>
      <c r="DD91">
        <v>555313</v>
      </c>
      <c r="DE91" s="10">
        <f>(DD91/DD90)-1</f>
        <v>0.054933928069362148</v>
      </c>
    </row>
    <row r="92" spans="1:206" ht="19.5">
      <c r="C92">
        <f>H91*D92</f>
        <v>881.95067225454841</v>
      </c>
      <c r="D92">
        <f>D91</f>
        <v>0.018182450285099998</v>
      </c>
      <c r="E92" t="s">
        <v>12</v>
      </c>
      <c r="F92" s="9">
        <v>43982</v>
      </c>
      <c r="G92" s="2"/>
      <c r="H92">
        <f>H91+C92</f>
        <v>49387.55131604027</v>
      </c>
      <c r="J92" s="1"/>
      <c r="R92" s="1"/>
      <c r="S92" s="1"/>
      <c r="U92" s="1"/>
      <c r="V92" s="1"/>
      <c r="W92" s="1"/>
      <c r="X92" s="1"/>
      <c r="Y92" s="1"/>
      <c r="Z92" s="1"/>
      <c r="AB92" s="1"/>
      <c r="AC92" s="1"/>
      <c r="AD92" s="1"/>
      <c r="AE92" s="1"/>
      <c r="AF92" s="1"/>
      <c r="AG92" s="1"/>
      <c r="AI92" s="1"/>
      <c r="CH92">
        <v>5</v>
      </c>
      <c r="CI92" t="s">
        <v>32</v>
      </c>
      <c r="CJ92" s="8">
        <v>43922</v>
      </c>
      <c r="CK92">
        <v>1</v>
      </c>
      <c r="CM92">
        <v>0</v>
      </c>
      <c r="DC92" s="9">
        <v>43934</v>
      </c>
      <c r="DD92">
        <v>580619</v>
      </c>
      <c r="DE92" s="10">
        <f>(DD92/DD91)-1</f>
        <v>0.045570696165946112</v>
      </c>
    </row>
    <row r="93" spans="1:206" ht="19.5">
      <c r="C93">
        <f>H92*D93</f>
        <v>897.98669650672718</v>
      </c>
      <c r="D93">
        <f>D92</f>
        <v>0.018182450285099998</v>
      </c>
      <c r="E93" t="s">
        <v>14</v>
      </c>
      <c r="F93" s="9">
        <v>43983</v>
      </c>
      <c r="G93" s="2"/>
      <c r="H93">
        <f>H92+C93</f>
        <v>50285.538012546996</v>
      </c>
      <c r="P93" s="1"/>
      <c r="Q93" s="1"/>
      <c r="R93" s="1"/>
      <c r="S93" s="1"/>
      <c r="U93" s="1"/>
      <c r="V93" s="1"/>
      <c r="W93" s="1"/>
      <c r="X93" s="1"/>
      <c r="Y93" s="1"/>
      <c r="Z93" s="1"/>
      <c r="AB93" s="1"/>
      <c r="AC93" s="1"/>
      <c r="AD93" s="1"/>
      <c r="AE93" s="1"/>
      <c r="AF93" s="1"/>
      <c r="AG93" s="1"/>
      <c r="AI93" s="1"/>
      <c r="CH93">
        <v>5</v>
      </c>
      <c r="CI93" t="s">
        <v>32</v>
      </c>
      <c r="CJ93" s="8">
        <v>43923</v>
      </c>
      <c r="CK93">
        <v>1</v>
      </c>
      <c r="CM93">
        <v>0</v>
      </c>
      <c r="DC93" s="9">
        <v>43935</v>
      </c>
      <c r="DD93">
        <v>607670</v>
      </c>
      <c r="DE93" s="10">
        <f>(DD93/DD92)-1</f>
        <v>0.046589932468624085</v>
      </c>
    </row>
    <row r="94" spans="1:206" ht="19.5">
      <c r="C94">
        <f>H93*D94</f>
        <v>914.31429497264196</v>
      </c>
      <c r="D94">
        <f>D93</f>
        <v>0.018182450285099998</v>
      </c>
      <c r="E94" t="s">
        <v>15</v>
      </c>
      <c r="F94" s="9">
        <v>43984</v>
      </c>
      <c r="G94" s="2"/>
      <c r="H94">
        <f>H93+C94</f>
        <v>51199.852307519635</v>
      </c>
      <c r="S94" s="1"/>
      <c r="U94" s="1"/>
      <c r="V94" s="1"/>
      <c r="W94" s="1"/>
      <c r="X94" s="1"/>
      <c r="Y94" s="1"/>
      <c r="Z94" s="1"/>
      <c r="AB94" s="1"/>
      <c r="AC94" s="1"/>
      <c r="AD94" s="1"/>
      <c r="AE94" s="1"/>
      <c r="AF94" s="1"/>
      <c r="AG94" s="1"/>
      <c r="AI94" s="1"/>
      <c r="CH94">
        <v>5</v>
      </c>
      <c r="CI94" t="s">
        <v>32</v>
      </c>
      <c r="CJ94" s="8">
        <v>43924</v>
      </c>
      <c r="CK94">
        <v>1</v>
      </c>
      <c r="CM94">
        <v>0</v>
      </c>
      <c r="DC94" s="9">
        <v>43936</v>
      </c>
      <c r="DD94">
        <v>636350</v>
      </c>
      <c r="DE94" s="10">
        <f>(DD94/DD93)-1</f>
        <v>0.047196669244820466</v>
      </c>
    </row>
    <row r="95" spans="1:206" ht="19.5">
      <c r="C95">
        <f>H94*D95</f>
        <v>930.93876918593821</v>
      </c>
      <c r="D95">
        <f>D94</f>
        <v>0.018182450285099998</v>
      </c>
      <c r="E95" t="s">
        <v>16</v>
      </c>
      <c r="F95" s="9">
        <v>43985</v>
      </c>
      <c r="G95" s="2"/>
      <c r="H95">
        <f>H94+C95</f>
        <v>52130.791076705573</v>
      </c>
      <c r="J95" s="1"/>
      <c r="S95" s="1"/>
      <c r="U95" s="1"/>
      <c r="V95" s="1"/>
      <c r="W95" s="1"/>
      <c r="X95" s="1"/>
      <c r="Y95" s="1"/>
      <c r="Z95" s="1"/>
      <c r="AB95" s="1"/>
      <c r="AC95" s="1"/>
      <c r="AD95" s="1"/>
      <c r="AE95" s="1"/>
      <c r="AF95" s="1"/>
      <c r="AG95" s="1"/>
      <c r="AI95" s="1"/>
      <c r="CH95">
        <v>5</v>
      </c>
      <c r="CI95" t="s">
        <v>32</v>
      </c>
      <c r="CJ95" s="8">
        <v>43925</v>
      </c>
      <c r="CK95">
        <v>1</v>
      </c>
      <c r="CM95">
        <v>0</v>
      </c>
      <c r="DC95" s="9">
        <v>43937</v>
      </c>
      <c r="DD95">
        <v>667801</v>
      </c>
      <c r="DE95" s="10">
        <f>(DD95/DD94)-1</f>
        <v>0.049424059086980332</v>
      </c>
    </row>
    <row r="96" spans="1:206" ht="19.5">
      <c r="C96">
        <f>H95*D96</f>
        <v>947.86551707513365</v>
      </c>
      <c r="D96">
        <f>D95</f>
        <v>0.018182450285099998</v>
      </c>
      <c r="E96" t="s">
        <v>17</v>
      </c>
      <c r="F96" s="9">
        <v>43986</v>
      </c>
      <c r="G96" s="2"/>
      <c r="H96">
        <f>H95+C96</f>
        <v>53078.65659378071</v>
      </c>
      <c r="J96" s="1"/>
      <c r="S96" s="1"/>
      <c r="U96" s="1"/>
      <c r="V96" s="1"/>
      <c r="W96" s="1"/>
      <c r="X96" s="1"/>
      <c r="Y96" s="1"/>
      <c r="Z96" s="1"/>
      <c r="AB96" s="1"/>
      <c r="AC96" s="1"/>
      <c r="AD96" s="1"/>
      <c r="AE96" s="1"/>
      <c r="AF96" s="1"/>
      <c r="AG96" s="1"/>
      <c r="AI96" s="1"/>
      <c r="CH96">
        <v>5</v>
      </c>
      <c r="CI96" t="s">
        <v>32</v>
      </c>
      <c r="CJ96" s="8">
        <v>43926</v>
      </c>
      <c r="CK96">
        <v>1</v>
      </c>
      <c r="CM96">
        <v>0</v>
      </c>
      <c r="DC96" s="9">
        <v>43938</v>
      </c>
      <c r="DD96">
        <v>699706</v>
      </c>
      <c r="DE96" s="10">
        <f>(DD96/DD95)-1</f>
        <v>0.04777620878075961</v>
      </c>
    </row>
    <row r="97" spans="1:206" ht="19.5">
      <c r="C97">
        <f>H96*D97</f>
        <v>965.10003471631296</v>
      </c>
      <c r="D97">
        <f>D96</f>
        <v>0.018182450285099998</v>
      </c>
      <c r="E97" t="s">
        <v>18</v>
      </c>
      <c r="F97" s="9">
        <v>43987</v>
      </c>
      <c r="G97" s="2"/>
      <c r="H97">
        <f>H96+C97</f>
        <v>54043.756628497023</v>
      </c>
      <c r="J97" s="1"/>
      <c r="S97" s="1"/>
      <c r="U97" s="1"/>
      <c r="V97" s="1"/>
      <c r="W97" s="1"/>
      <c r="X97" s="1"/>
      <c r="Y97" s="1"/>
      <c r="Z97" s="1"/>
      <c r="AB97" s="1"/>
      <c r="AC97" s="1"/>
      <c r="AD97" s="1"/>
      <c r="AE97" s="1"/>
      <c r="AF97" s="1"/>
      <c r="AG97" s="1"/>
      <c r="AI97" s="1"/>
      <c r="CH97">
        <v>5</v>
      </c>
      <c r="CI97" t="s">
        <v>32</v>
      </c>
      <c r="CJ97" s="8">
        <v>43927</v>
      </c>
      <c r="CK97">
        <v>2</v>
      </c>
      <c r="CM97">
        <v>0</v>
      </c>
      <c r="DC97" s="9">
        <v>43939</v>
      </c>
      <c r="DD97">
        <v>732197</v>
      </c>
      <c r="DE97" s="10">
        <f>(DD97/DD96)-1</f>
        <v>0.04643521707688647</v>
      </c>
    </row>
    <row r="98" spans="1:206" ht="19.5">
      <c r="C98">
        <f>H97*D98</f>
        <v>982.64791811769066</v>
      </c>
      <c r="D98">
        <f>D97</f>
        <v>0.018182450285099998</v>
      </c>
      <c r="E98" t="s">
        <v>19</v>
      </c>
      <c r="F98" s="9">
        <v>43988</v>
      </c>
      <c r="G98" s="2"/>
      <c r="H98">
        <f>H97+C98</f>
        <v>55026.404546614714</v>
      </c>
      <c r="S98" s="1"/>
      <c r="U98" s="1"/>
      <c r="V98" s="1"/>
      <c r="W98" s="1"/>
      <c r="X98" s="1"/>
      <c r="Y98" s="1"/>
      <c r="Z98" s="1"/>
      <c r="AB98" s="1"/>
      <c r="AC98" s="1"/>
      <c r="AD98" s="1"/>
      <c r="AE98" s="1"/>
      <c r="AF98" s="1"/>
      <c r="AG98" s="1"/>
      <c r="AI98" s="1"/>
      <c r="CH98">
        <v>5</v>
      </c>
      <c r="CI98" t="s">
        <v>32</v>
      </c>
      <c r="CJ98" s="8">
        <v>43928</v>
      </c>
      <c r="CK98">
        <v>2</v>
      </c>
      <c r="CM98">
        <v>0</v>
      </c>
      <c r="DC98" s="9">
        <v>43940</v>
      </c>
      <c r="DD98">
        <v>758809</v>
      </c>
      <c r="DE98" s="10">
        <f>(DD98/DD97)-1</f>
        <v>0.036345409773599124</v>
      </c>
    </row>
    <row r="99" spans="1:206" ht="19.5">
      <c r="C99">
        <f>H98*D99</f>
        <v>1000.5148650366226</v>
      </c>
      <c r="D99">
        <f>D98</f>
        <v>0.018182450285099998</v>
      </c>
      <c r="E99" t="s">
        <v>12</v>
      </c>
      <c r="F99" s="9">
        <v>43989</v>
      </c>
      <c r="G99" s="2"/>
      <c r="H99">
        <f>H98+C99</f>
        <v>56026.919411651339</v>
      </c>
      <c r="J99" s="1"/>
      <c r="S99" s="1"/>
      <c r="U99" s="1"/>
      <c r="V99" s="1"/>
      <c r="W99" s="1"/>
      <c r="X99" s="1"/>
      <c r="Y99" s="1"/>
      <c r="Z99" s="1"/>
      <c r="AB99" s="1"/>
      <c r="AC99" s="1"/>
      <c r="AD99" s="1"/>
      <c r="AE99" s="1"/>
      <c r="AF99" s="1"/>
      <c r="AG99" s="1"/>
      <c r="AI99" s="1"/>
      <c r="CD99" s="1"/>
      <c r="CE99" s="1"/>
      <c r="CH99">
        <v>5</v>
      </c>
      <c r="CI99" t="s">
        <v>32</v>
      </c>
      <c r="CJ99" s="8">
        <v>43929</v>
      </c>
      <c r="CK99">
        <v>3</v>
      </c>
      <c r="CM99">
        <v>0</v>
      </c>
      <c r="DC99" s="9">
        <v>43941</v>
      </c>
      <c r="DD99">
        <v>784326</v>
      </c>
      <c r="DE99" s="10">
        <f>(DD99/DD98)-1</f>
        <v>0.033627698142747464</v>
      </c>
    </row>
    <row r="100" spans="1:206" ht="19.5">
      <c r="C100">
        <f>H99*D100</f>
        <v>1018.7066768296545</v>
      </c>
      <c r="D100">
        <f>D99</f>
        <v>0.018182450285099998</v>
      </c>
      <c r="E100" t="s">
        <v>14</v>
      </c>
      <c r="F100" s="9">
        <v>43990</v>
      </c>
      <c r="G100" s="2"/>
      <c r="H100">
        <f>H99+C100</f>
        <v>57045.626088480996</v>
      </c>
      <c r="S100" s="1"/>
      <c r="U100" s="1"/>
      <c r="V100" s="1"/>
      <c r="W100" s="1"/>
      <c r="X100" s="1"/>
      <c r="Y100" s="1"/>
      <c r="Z100" s="1"/>
      <c r="AB100" s="1"/>
      <c r="AC100" s="1"/>
      <c r="AD100" s="1"/>
      <c r="AE100" s="1"/>
      <c r="AF100" s="1"/>
      <c r="AG100" s="1"/>
      <c r="AI100" s="1"/>
      <c r="CD100" s="1"/>
      <c r="CE100" s="1"/>
      <c r="CH100">
        <v>5</v>
      </c>
      <c r="CI100" t="s">
        <v>32</v>
      </c>
      <c r="CJ100" s="8">
        <v>43930</v>
      </c>
      <c r="CK100">
        <v>4</v>
      </c>
      <c r="CM100">
        <v>0</v>
      </c>
      <c r="DC100" s="9">
        <v>43942</v>
      </c>
      <c r="DD100">
        <v>811865</v>
      </c>
      <c r="DE100" s="10">
        <f>(DD100/DD99)-1</f>
        <v>0.03511167550227845</v>
      </c>
    </row>
    <row r="101" spans="1:206" ht="19.5">
      <c r="C101">
        <f>H100*D101</f>
        <v>1037.2292603362091</v>
      </c>
      <c r="D101">
        <f>D100</f>
        <v>0.018182450285099998</v>
      </c>
      <c r="E101" t="s">
        <v>15</v>
      </c>
      <c r="F101" s="9">
        <v>43991</v>
      </c>
      <c r="G101" s="2"/>
      <c r="H101">
        <f>H100+C101</f>
        <v>58082.855348817204</v>
      </c>
      <c r="S101" s="1"/>
      <c r="U101" s="1"/>
      <c r="V101" s="1"/>
      <c r="W101" s="1"/>
      <c r="X101" s="1"/>
      <c r="Y101" s="1"/>
      <c r="Z101" s="1"/>
      <c r="AB101" s="1"/>
      <c r="AC101" s="1"/>
      <c r="AD101" s="1"/>
      <c r="AE101" s="1"/>
      <c r="AF101" s="1"/>
      <c r="AG101" s="1"/>
      <c r="AI101" s="1"/>
      <c r="CD101" s="1"/>
      <c r="CE101" s="1"/>
      <c r="CH101">
        <v>5</v>
      </c>
      <c r="CI101" t="s">
        <v>32</v>
      </c>
      <c r="CJ101" s="8">
        <v>43931</v>
      </c>
      <c r="CK101">
        <v>5</v>
      </c>
      <c r="CM101">
        <v>0</v>
      </c>
      <c r="DC101" s="9">
        <v>43943</v>
      </c>
      <c r="DD101">
        <v>840351</v>
      </c>
      <c r="DE101" s="10">
        <f>(DD101/DD100)-1</f>
        <v>0.035087114236972861</v>
      </c>
    </row>
    <row r="102" spans="1:206" ht="19.5">
      <c r="C102">
        <f>H101*D102</f>
        <v>1056.0886297965233</v>
      </c>
      <c r="D102">
        <f>D101</f>
        <v>0.018182450285099998</v>
      </c>
      <c r="E102" t="s">
        <v>16</v>
      </c>
      <c r="F102" s="9">
        <v>43992</v>
      </c>
      <c r="G102" s="2"/>
      <c r="H102">
        <f>H101+C102</f>
        <v>59138.94397861373</v>
      </c>
      <c r="S102" s="1"/>
      <c r="U102" s="1"/>
      <c r="V102" s="1"/>
      <c r="W102" s="1"/>
      <c r="X102" s="1"/>
      <c r="Y102" s="1"/>
      <c r="Z102" s="1"/>
      <c r="AB102" s="1"/>
      <c r="AC102" s="1"/>
      <c r="AD102" s="1"/>
      <c r="AE102" s="1"/>
      <c r="AF102" s="1"/>
      <c r="AG102" s="1"/>
      <c r="AI102" s="1"/>
      <c r="CD102" s="1"/>
      <c r="CE102" s="1"/>
      <c r="CH102">
        <v>5</v>
      </c>
      <c r="CI102" t="s">
        <v>32</v>
      </c>
      <c r="CJ102" s="8">
        <v>43932</v>
      </c>
      <c r="CK102">
        <v>6</v>
      </c>
      <c r="CM102">
        <v>0</v>
      </c>
      <c r="DC102" s="9">
        <v>43944</v>
      </c>
      <c r="DD102">
        <v>869170</v>
      </c>
      <c r="DE102" s="10">
        <f>(DD102/DD101)-1</f>
        <v>0.034294003339080836</v>
      </c>
    </row>
    <row r="103" spans="1:206" ht="19.5">
      <c r="C103">
        <f>H102*D103</f>
        <v>1075.290908804458</v>
      </c>
      <c r="D103">
        <f>D102</f>
        <v>0.018182450285099998</v>
      </c>
      <c r="E103" t="s">
        <v>17</v>
      </c>
      <c r="F103" s="9">
        <v>43993</v>
      </c>
      <c r="G103" s="2"/>
      <c r="H103">
        <f>H102+C103</f>
        <v>60214.234887418192</v>
      </c>
      <c r="S103" s="1"/>
      <c r="U103" s="1"/>
      <c r="V103" s="1"/>
      <c r="W103" s="1"/>
      <c r="X103" s="1"/>
      <c r="Y103" s="1"/>
      <c r="Z103" s="1"/>
      <c r="AB103" s="1"/>
      <c r="AC103" s="1"/>
      <c r="AD103" s="1"/>
      <c r="AE103" s="1"/>
      <c r="AF103" s="1"/>
      <c r="AG103" s="1"/>
      <c r="AI103" s="1"/>
      <c r="CD103" s="1"/>
      <c r="CE103" s="1"/>
      <c r="CH103">
        <v>5</v>
      </c>
      <c r="CI103" t="s">
        <v>32</v>
      </c>
      <c r="CJ103" s="8">
        <v>43933</v>
      </c>
      <c r="CK103">
        <v>7</v>
      </c>
      <c r="CM103">
        <v>0</v>
      </c>
      <c r="DC103" s="9">
        <v>43945</v>
      </c>
      <c r="DD103">
        <v>905358</v>
      </c>
      <c r="DE103" s="10">
        <f>(DD103/DD102)-1</f>
        <v>0.041635123163477727</v>
      </c>
    </row>
    <row r="104" spans="1:206" ht="19.5">
      <c r="C104">
        <f>H103*D104</f>
        <v>1094.8423322958151</v>
      </c>
      <c r="D104">
        <f>D103</f>
        <v>0.018182450285099998</v>
      </c>
      <c r="E104" t="s">
        <v>18</v>
      </c>
      <c r="F104" s="9">
        <v>43994</v>
      </c>
      <c r="G104" s="2"/>
      <c r="H104">
        <f>H103+C104</f>
        <v>61309.077219714003</v>
      </c>
      <c r="S104" s="1"/>
      <c r="U104" s="1"/>
      <c r="V104" s="1"/>
      <c r="W104" s="1"/>
      <c r="X104" s="1"/>
      <c r="Y104" s="1"/>
      <c r="Z104" s="1"/>
      <c r="AB104" s="1"/>
      <c r="AC104" s="1"/>
      <c r="AD104" s="1"/>
      <c r="AE104" s="1"/>
      <c r="AF104" s="1"/>
      <c r="AG104" s="1"/>
      <c r="AI104" s="1"/>
      <c r="CD104" s="1"/>
      <c r="CE104" s="1"/>
      <c r="CH104">
        <v>5</v>
      </c>
      <c r="CI104" t="s">
        <v>32</v>
      </c>
      <c r="CJ104" s="8">
        <v>43934</v>
      </c>
      <c r="CK104">
        <v>7</v>
      </c>
      <c r="CM104">
        <v>0</v>
      </c>
      <c r="DC104" s="9">
        <v>43946</v>
      </c>
      <c r="DD104">
        <v>938154</v>
      </c>
      <c r="DE104" s="10">
        <f>(DD104/DD103)-1</f>
        <v>0.036224344402987496</v>
      </c>
    </row>
    <row r="105" spans="1:206" ht="19.5">
      <c r="C105">
        <f>H104*D105</f>
        <v>1114.7492485728067</v>
      </c>
      <c r="D105">
        <f>D104</f>
        <v>0.018182450285099998</v>
      </c>
      <c r="E105" t="s">
        <v>19</v>
      </c>
      <c r="F105" s="9">
        <v>43995</v>
      </c>
      <c r="G105" s="2"/>
      <c r="H105">
        <f>H104+C105</f>
        <v>62423.82646828681</v>
      </c>
      <c r="J105" s="1"/>
      <c r="S105" s="1"/>
      <c r="U105" s="1"/>
      <c r="V105" s="1"/>
      <c r="W105" s="1"/>
      <c r="X105" s="1"/>
      <c r="Y105" s="1"/>
      <c r="Z105" s="1"/>
      <c r="AB105" s="1"/>
      <c r="AC105" s="1"/>
      <c r="AD105" s="1"/>
      <c r="AE105" s="1"/>
      <c r="AF105" s="1"/>
      <c r="AG105" s="1"/>
      <c r="AI105" s="1"/>
      <c r="CD105" s="1"/>
      <c r="CE105" s="1"/>
      <c r="CH105">
        <v>5</v>
      </c>
      <c r="CI105" t="s">
        <v>32</v>
      </c>
      <c r="CJ105" s="8">
        <v>43935</v>
      </c>
      <c r="CK105">
        <v>7</v>
      </c>
      <c r="CM105">
        <v>0</v>
      </c>
      <c r="DC105" s="9">
        <v>43947</v>
      </c>
      <c r="DD105">
        <v>965785</v>
      </c>
      <c r="DE105" s="10">
        <f>(DD105/DD104)-1</f>
        <v>0.029452520588304276</v>
      </c>
    </row>
    <row r="106" spans="1:206" ht="19.5">
      <c r="C106">
        <f>H105*D106</f>
        <v>1135.0181213653343</v>
      </c>
      <c r="D106">
        <f>D105</f>
        <v>0.018182450285099998</v>
      </c>
      <c r="E106" t="s">
        <v>12</v>
      </c>
      <c r="F106" s="9">
        <v>43996</v>
      </c>
      <c r="G106" s="2"/>
      <c r="H106">
        <f>H105+C106</f>
        <v>63558.844589652144</v>
      </c>
      <c r="J106" s="1"/>
      <c r="S106" s="1"/>
      <c r="U106" s="1"/>
      <c r="V106" s="1"/>
      <c r="W106" s="1"/>
      <c r="X106" s="1"/>
      <c r="Y106" s="1"/>
      <c r="Z106" s="1"/>
      <c r="AB106" s="1"/>
      <c r="AC106" s="1"/>
      <c r="AD106" s="1"/>
      <c r="AE106" s="1"/>
      <c r="AF106" s="1"/>
      <c r="AG106" s="1"/>
      <c r="AI106" s="1"/>
      <c r="CD106" s="1"/>
      <c r="CE106" s="1"/>
      <c r="CH106">
        <v>5</v>
      </c>
      <c r="CI106" t="s">
        <v>32</v>
      </c>
      <c r="CJ106" s="8">
        <v>43936</v>
      </c>
      <c r="CK106">
        <v>8</v>
      </c>
      <c r="CM106">
        <v>0</v>
      </c>
      <c r="DC106" s="9">
        <v>43948</v>
      </c>
      <c r="DD106">
        <v>988197</v>
      </c>
      <c r="DE106" s="10">
        <f>(DD106/DD105)-1</f>
        <v>0.02320599305228388</v>
      </c>
    </row>
    <row r="107" spans="1:206" ht="18.41">
      <c r="C107">
        <f>H106*D107</f>
        <v>1155.6555319297472</v>
      </c>
      <c r="D107">
        <f>D106</f>
        <v>0.018182450285099998</v>
      </c>
      <c r="E107" t="s">
        <v>14</v>
      </c>
      <c r="F107" s="9">
        <v>43997</v>
      </c>
      <c r="G107" s="2"/>
      <c r="H107">
        <f>H106+C107</f>
        <v>64714.500121581892</v>
      </c>
      <c r="J107" s="1"/>
      <c r="S107" s="1"/>
      <c r="U107" s="1"/>
      <c r="V107" s="1"/>
      <c r="W107" s="1"/>
      <c r="X107" s="1"/>
      <c r="Y107" s="1"/>
      <c r="Z107" s="1"/>
      <c r="AB107" s="1"/>
      <c r="AC107" s="1"/>
      <c r="AD107" s="1"/>
      <c r="AE107" s="1"/>
      <c r="AF107" s="1"/>
      <c r="AG107" s="1"/>
      <c r="AI107" s="1"/>
      <c r="CD107" s="1"/>
      <c r="CE107" s="1"/>
      <c r="CH107">
        <v>5</v>
      </c>
      <c r="CI107" t="s">
        <v>32</v>
      </c>
      <c r="CJ107" s="8">
        <v>43937</v>
      </c>
      <c r="CK107">
        <v>9</v>
      </c>
      <c r="CL107">
        <v>248</v>
      </c>
      <c r="CM107">
        <v>0</v>
      </c>
      <c r="DC107" s="9">
        <v>43949</v>
      </c>
      <c r="DD107">
        <v>1012582</v>
      </c>
      <c r="DE107" s="10">
        <f>(DD107/DD106)-1</f>
        <v>0.024676253823883387</v>
      </c>
    </row>
    <row r="108" spans="1:206" ht="18.41">
      <c r="C108">
        <f>H107*D108</f>
        <v>1176.6681811857607</v>
      </c>
      <c r="D108">
        <f>D107</f>
        <v>0.018182450285099998</v>
      </c>
      <c r="E108" t="s">
        <v>15</v>
      </c>
      <c r="F108" s="9">
        <v>43998</v>
      </c>
      <c r="G108" s="2"/>
      <c r="H108">
        <f>H107+C108</f>
        <v>65891.168302767648</v>
      </c>
      <c r="S108" s="1"/>
      <c r="U108" s="1"/>
      <c r="V108" s="1"/>
      <c r="W108" s="1"/>
      <c r="X108" s="1"/>
      <c r="Y108" s="1"/>
      <c r="Z108" s="1"/>
      <c r="AB108" s="1"/>
      <c r="AC108" s="1"/>
      <c r="AD108" s="1"/>
      <c r="AE108" s="1"/>
      <c r="AF108" s="1"/>
      <c r="AG108" s="1"/>
      <c r="AI108" s="1"/>
      <c r="CH108">
        <v>5</v>
      </c>
      <c r="CI108" t="s">
        <v>32</v>
      </c>
      <c r="CJ108" s="8">
        <v>43938</v>
      </c>
      <c r="CK108">
        <v>10</v>
      </c>
      <c r="CL108">
        <v>276</v>
      </c>
      <c r="CM108">
        <v>0</v>
      </c>
      <c r="DC108" s="9">
        <v>43950</v>
      </c>
      <c r="DD108">
        <v>1039909</v>
      </c>
      <c r="DE108" s="10">
        <f>(DD108/DD107)-1</f>
        <v>0.026987443979845649</v>
      </c>
    </row>
    <row r="109" spans="1:206" ht="18.41">
      <c r="C109">
        <f>H108*D109</f>
        <v>1198.0628918922296</v>
      </c>
      <c r="D109">
        <f>D108</f>
        <v>0.018182450285099998</v>
      </c>
      <c r="E109" t="s">
        <v>16</v>
      </c>
      <c r="F109" s="9">
        <v>43999</v>
      </c>
      <c r="G109" s="2"/>
      <c r="H109">
        <f>H108+C109</f>
        <v>67089.231194659878</v>
      </c>
      <c r="S109" s="1"/>
      <c r="U109" s="1"/>
      <c r="V109" s="1"/>
      <c r="W109" s="1"/>
      <c r="X109" s="1"/>
      <c r="Y109" s="1"/>
      <c r="Z109" s="1"/>
      <c r="AB109" s="1"/>
      <c r="AC109" s="1"/>
      <c r="AD109" s="1"/>
      <c r="AE109" s="1"/>
      <c r="AF109" s="1"/>
      <c r="AG109" s="1"/>
      <c r="AI109" s="1"/>
      <c r="CH109">
        <v>5</v>
      </c>
      <c r="CI109" t="s">
        <v>32</v>
      </c>
      <c r="CJ109" s="8">
        <v>43939</v>
      </c>
      <c r="CK109">
        <v>11</v>
      </c>
      <c r="CL109">
        <v>304</v>
      </c>
      <c r="CM109">
        <v>0</v>
      </c>
      <c r="DC109" s="9">
        <v>43951</v>
      </c>
      <c r="DD109">
        <v>1069424</v>
      </c>
      <c r="DE109" s="10">
        <f>(DD109/DD108)-1</f>
        <v>0.028382291142782679</v>
      </c>
      <c r="DG109" t="inlineStr">
        <is>
          <t>preliminary or provisional</t>
        </is>
      </c>
    </row>
    <row r="110" spans="1:206" ht="18.41">
      <c r="C110">
        <f>H109*D110</f>
        <v>1219.8466108624832</v>
      </c>
      <c r="D110">
        <f>D109</f>
        <v>0.018182450285099998</v>
      </c>
      <c r="E110" t="s">
        <v>17</v>
      </c>
      <c r="F110" s="9">
        <v>44000</v>
      </c>
      <c r="G110" s="2"/>
      <c r="H110">
        <f>H109+C110</f>
        <v>68309.077805522364</v>
      </c>
      <c r="S110" s="1"/>
      <c r="U110" s="1"/>
      <c r="V110" s="1"/>
      <c r="W110" s="1"/>
      <c r="X110" s="1"/>
      <c r="Y110" s="1"/>
      <c r="Z110" s="1"/>
      <c r="AB110" s="1"/>
      <c r="AC110" s="1"/>
      <c r="AD110" s="1"/>
      <c r="AE110" s="1"/>
      <c r="AF110" s="1"/>
      <c r="AG110" s="1"/>
      <c r="AI110" s="1"/>
      <c r="CH110">
        <v>5</v>
      </c>
      <c r="CI110" t="s">
        <v>32</v>
      </c>
      <c r="CJ110" s="8">
        <v>43940</v>
      </c>
      <c r="CK110">
        <v>11</v>
      </c>
      <c r="CL110">
        <v>304</v>
      </c>
      <c r="CM110">
        <v>0</v>
      </c>
      <c r="DB110" t="inlineStr">
        <is>
          <t>May be current (likely to be):</t>
        </is>
      </c>
      <c r="DC110" s="9">
        <v>43952</v>
      </c>
      <c r="DD110">
        <v>1103461</v>
      </c>
      <c r="DE110" s="10">
        <f>(DD110/DD109)-1</f>
        <v>0.031827413635751478</v>
      </c>
      <c r="DG110" t="inlineStr">
        <is>
          <t>(early return on this LINE 110)</t>
        </is>
      </c>
    </row>
    <row r="111" spans="1:206" ht="18.41">
      <c r="C111">
        <f>H110*D111</f>
        <v>1242.0264112199382</v>
      </c>
      <c r="D111">
        <f>D110</f>
        <v>0.018182450285099998</v>
      </c>
      <c r="E111" t="s">
        <v>18</v>
      </c>
      <c r="F111" s="9">
        <v>44001</v>
      </c>
      <c r="G111" s="2"/>
      <c r="H111">
        <f>H110+C111</f>
        <v>69551.1042167423</v>
      </c>
      <c r="S111" s="1"/>
      <c r="U111" s="1"/>
      <c r="V111" s="1"/>
      <c r="W111" s="1"/>
      <c r="X111" s="1"/>
      <c r="Y111" s="1"/>
      <c r="Z111" s="1"/>
      <c r="AB111" s="1"/>
      <c r="AC111" s="1"/>
      <c r="AD111" s="1"/>
      <c r="AE111" s="1"/>
      <c r="AF111" s="1"/>
      <c r="AG111" s="1"/>
      <c r="AI111" s="1"/>
      <c r="CH111">
        <v>5</v>
      </c>
      <c r="CI111" t="s">
        <v>32</v>
      </c>
      <c r="CJ111" s="8">
        <v>43941</v>
      </c>
      <c r="CK111">
        <v>10</v>
      </c>
      <c r="CL111">
        <v>276</v>
      </c>
      <c r="CM111">
        <v>0</v>
      </c>
      <c r="DB111" t="inlineStr">
        <is>
          <t>TENTATIVE</t>
        </is>
      </c>
      <c r="DC111" s="9">
        <v>43953</v>
      </c>
      <c r="DD111">
        <v>1132539</v>
      </c>
      <c r="DE111" s="10">
        <f>(DD111/DD110)-1</f>
        <v>0.026351633632724747</v>
      </c>
    </row>
    <row r="112" spans="1:206" ht="18.41">
      <c r="C112">
        <f>H111*D112</f>
        <v>1264.6094946947258</v>
      </c>
      <c r="D112">
        <f>D111</f>
        <v>0.018182450285099998</v>
      </c>
      <c r="E112" t="s">
        <v>19</v>
      </c>
      <c r="F112" s="9">
        <v>44002</v>
      </c>
      <c r="G112" s="2"/>
      <c r="H112">
        <f>H111+C112</f>
        <v>70815.713711437027</v>
      </c>
      <c r="S112" s="1"/>
      <c r="U112" s="1"/>
      <c r="V112" s="1"/>
      <c r="W112" s="1"/>
      <c r="X112" s="1"/>
      <c r="Y112" s="1"/>
      <c r="Z112" s="1"/>
      <c r="AB112" s="1"/>
      <c r="AC112" s="1"/>
      <c r="AD112" s="1"/>
      <c r="AE112" s="1"/>
      <c r="AF112" s="1"/>
      <c r="AG112" s="1"/>
      <c r="AI112" s="1"/>
      <c r="CH112">
        <v>5</v>
      </c>
      <c r="CI112" t="s">
        <v>32</v>
      </c>
      <c r="CJ112" s="8">
        <v>43942</v>
      </c>
      <c r="CK112">
        <v>9</v>
      </c>
      <c r="CL112">
        <v>248</v>
      </c>
      <c r="CM112">
        <v>0</v>
      </c>
      <c r="DD112" s="1"/>
      <c r="DG112" t="inlineStr">
        <is>
          <t>The 1,103,461 number is unique in</t>
        </is>
      </c>
    </row>
    <row r="113" spans="1:206" ht="18.41">
      <c r="C113">
        <f>H112*D113</f>
        <v>1287.603193962078</v>
      </c>
      <c r="D113">
        <f>D112</f>
        <v>0.018182450285099998</v>
      </c>
      <c r="E113" t="s">
        <v>12</v>
      </c>
      <c r="F113" s="9">
        <v>44003</v>
      </c>
      <c r="G113" s="2"/>
      <c r="H113">
        <f>H112+C113</f>
        <v>72103.316905399101</v>
      </c>
      <c r="S113" s="1"/>
      <c r="U113" s="1"/>
      <c r="V113" s="1"/>
      <c r="W113" s="1"/>
      <c r="X113" s="1"/>
      <c r="Y113" s="1"/>
      <c r="Z113" s="1"/>
      <c r="AB113" s="1"/>
      <c r="AC113" s="1"/>
      <c r="AD113" s="1"/>
      <c r="AE113" s="1"/>
      <c r="AF113" s="1"/>
      <c r="AG113" s="1"/>
      <c r="AI113" s="1"/>
      <c r="CE113" s="1"/>
      <c r="CH113">
        <v>5</v>
      </c>
      <c r="CI113" t="s">
        <v>32</v>
      </c>
      <c r="CJ113" s="8">
        <v>43943</v>
      </c>
      <c r="CK113">
        <v>10</v>
      </c>
      <c r="CL113">
        <v>276</v>
      </c>
      <c r="CM113">
        <v>0</v>
      </c>
      <c r="DD113" s="1"/>
      <c r="DG113" t="inlineStr">
        <is>
          <t>this series, as the first unreliable</t>
        </is>
      </c>
    </row>
    <row r="114" spans="1:206" ht="18.41">
      <c r="C114">
        <f>H113*D114</f>
        <v>1311.0149750232295</v>
      </c>
      <c r="D114">
        <f>D113</f>
        <v>0.018182450285099998</v>
      </c>
      <c r="E114" t="s">
        <v>14</v>
      </c>
      <c r="F114" s="9">
        <v>44004</v>
      </c>
      <c r="G114" s="2"/>
      <c r="H114">
        <f>H113+C114</f>
        <v>73414.331880422324</v>
      </c>
      <c r="S114" s="1"/>
      <c r="U114" s="1"/>
      <c r="V114" s="1"/>
      <c r="W114" s="1"/>
      <c r="X114" s="1"/>
      <c r="Y114" s="1"/>
      <c r="Z114" s="1"/>
      <c r="AB114" s="1"/>
      <c r="AC114" s="1"/>
      <c r="AD114" s="1"/>
      <c r="AE114" s="1"/>
      <c r="AF114" s="1"/>
      <c r="AG114" s="1"/>
      <c r="AI114" s="1"/>
      <c r="CH114">
        <v>5</v>
      </c>
      <c r="CI114" t="s">
        <v>32</v>
      </c>
      <c r="CJ114" s="8">
        <v>43944</v>
      </c>
      <c r="CK114">
        <v>12</v>
      </c>
      <c r="CL114">
        <v>331</v>
      </c>
      <c r="CM114">
        <v>0</v>
      </c>
      <c r="DD114" s="1"/>
      <c r="DG114" t="inlineStr">
        <is>
          <t>value in the series.</t>
        </is>
      </c>
    </row>
    <row r="115" spans="1:206" ht="18.41">
      <c r="C115">
        <f>H114*D115</f>
        <v>1334.8524396296107</v>
      </c>
      <c r="D115">
        <f>D114</f>
        <v>0.018182450285099998</v>
      </c>
      <c r="E115" t="s">
        <v>15</v>
      </c>
      <c r="F115" s="9">
        <v>44005</v>
      </c>
      <c r="G115" s="2"/>
      <c r="H115">
        <f>H114+C115</f>
        <v>74749.184320051936</v>
      </c>
      <c r="R115" s="1"/>
      <c r="S115" s="1"/>
      <c r="U115" s="1"/>
      <c r="V115" s="1"/>
      <c r="W115" s="1"/>
      <c r="X115" s="1"/>
      <c r="Y115" s="1"/>
      <c r="Z115" s="1"/>
      <c r="AB115" s="1"/>
      <c r="AC115" s="1"/>
      <c r="AD115" s="1"/>
      <c r="AE115" s="1"/>
      <c r="AF115" s="1"/>
      <c r="AG115" s="1"/>
      <c r="AI115" s="1"/>
      <c r="AJ115" s="1"/>
      <c r="AK115" s="1"/>
      <c r="AL115" s="1"/>
      <c r="AM115" s="1"/>
      <c r="AN115" s="1"/>
      <c r="AP115" s="1"/>
      <c r="AQ115" s="1"/>
      <c r="AR115" s="1"/>
      <c r="AS115" s="1"/>
      <c r="AT115" s="1"/>
      <c r="AU115" s="1"/>
      <c r="AW115" s="1"/>
      <c r="AX115" s="1"/>
      <c r="AY115" s="1"/>
      <c r="AZ115" s="1"/>
      <c r="BA115" s="1"/>
      <c r="BB115" s="1"/>
      <c r="CH115">
        <v>5</v>
      </c>
      <c r="CI115" t="s">
        <v>32</v>
      </c>
      <c r="CJ115" s="8">
        <v>43945</v>
      </c>
      <c r="CK115">
        <v>13</v>
      </c>
      <c r="CL115">
        <v>359</v>
      </c>
      <c r="CM115">
        <v>0</v>
      </c>
      <c r="DE115" s="1"/>
    </row>
    <row r="116" spans="1:206" ht="18.41">
      <c r="C116">
        <f>H115*D116</f>
        <v>1359.1233277511208</v>
      </c>
      <c r="D116">
        <f>D115</f>
        <v>0.018182450285099998</v>
      </c>
      <c r="E116" t="s">
        <v>16</v>
      </c>
      <c r="F116" s="9">
        <v>44006</v>
      </c>
      <c r="G116" s="2"/>
      <c r="H116">
        <f>H115+C116</f>
        <v>76108.307647803056</v>
      </c>
      <c r="R116" s="1"/>
      <c r="S116" s="1"/>
      <c r="U116" s="1"/>
      <c r="V116" s="1"/>
      <c r="W116" s="1"/>
      <c r="X116" s="1"/>
      <c r="Y116" s="1"/>
      <c r="Z116" s="1"/>
      <c r="AB116" s="1"/>
      <c r="AC116" s="1"/>
      <c r="AD116" s="1"/>
      <c r="AE116" s="1"/>
      <c r="AF116" s="1"/>
      <c r="AG116" s="1"/>
      <c r="AI116" s="1"/>
      <c r="AJ116" s="1"/>
      <c r="AK116" s="1"/>
      <c r="AL116" s="1"/>
      <c r="AM116" s="1"/>
      <c r="AN116" s="1"/>
      <c r="AP116" s="1"/>
      <c r="AQ116" s="1"/>
      <c r="AR116" s="1"/>
      <c r="AS116" s="1"/>
      <c r="AT116" s="1"/>
      <c r="AU116" s="1"/>
      <c r="AW116" s="1"/>
      <c r="AX116" s="1"/>
      <c r="AY116" s="1"/>
      <c r="AZ116" s="1"/>
      <c r="BA116" s="1"/>
      <c r="BB116" s="1"/>
      <c r="CH116">
        <v>5</v>
      </c>
      <c r="CI116" t="s">
        <v>32</v>
      </c>
      <c r="CJ116" s="8">
        <v>43946</v>
      </c>
      <c r="CK116">
        <v>13</v>
      </c>
      <c r="CL116">
        <v>359</v>
      </c>
      <c r="CM116">
        <v>0</v>
      </c>
      <c r="DD116" s="1"/>
      <c r="DG116" t="inlineStr">
        <is>
          <t>It may in fact become a reliable value,</t>
        </is>
      </c>
    </row>
    <row r="117" spans="1:206" ht="18.41">
      <c r="C117">
        <f>H116*D117</f>
        <v>1383.8355200892752</v>
      </c>
      <c r="D117">
        <f>D116</f>
        <v>0.018182450285099998</v>
      </c>
      <c r="E117" t="s">
        <v>17</v>
      </c>
      <c r="F117" s="9">
        <v>44007</v>
      </c>
      <c r="G117" s="2"/>
      <c r="H117">
        <f>H116+C117</f>
        <v>77492.143167892325</v>
      </c>
      <c r="R117" s="1"/>
      <c r="S117" s="1"/>
      <c r="U117" s="1"/>
      <c r="V117" s="1"/>
      <c r="W117" s="1"/>
      <c r="X117" s="1"/>
      <c r="Y117" s="1"/>
      <c r="Z117" s="1"/>
      <c r="AB117" s="1"/>
      <c r="AC117" s="1"/>
      <c r="AD117" s="1"/>
      <c r="AE117" s="1"/>
      <c r="AF117" s="1"/>
      <c r="AG117" s="1"/>
      <c r="AI117" s="1"/>
      <c r="AJ117" s="1"/>
      <c r="AK117" s="1"/>
      <c r="AL117" s="1"/>
      <c r="AM117" s="1"/>
      <c r="AN117" s="1"/>
      <c r="AP117" s="1"/>
      <c r="AQ117" s="1"/>
      <c r="AR117" s="1"/>
      <c r="AS117" s="1"/>
      <c r="AT117" s="1"/>
      <c r="AU117" s="1"/>
      <c r="AW117" s="1"/>
      <c r="AX117" s="1"/>
      <c r="AY117" s="1"/>
      <c r="AZ117" s="1"/>
      <c r="BA117" s="1"/>
      <c r="BB117" s="1"/>
      <c r="CH117">
        <v>5</v>
      </c>
      <c r="CI117" t="s">
        <v>32</v>
      </c>
      <c r="CJ117" s="8">
        <v>43947</v>
      </c>
      <c r="CK117">
        <v>14</v>
      </c>
      <c r="CL117">
        <v>386</v>
      </c>
      <c r="CM117">
        <v>0</v>
      </c>
      <c r="DD117" s="1"/>
      <c r="DE117" s="1"/>
      <c r="DG117" t="inlineStr">
        <is>
          <t>24 hours later - it is assumed that once</t>
        </is>
      </c>
    </row>
    <row r="118" spans="1:206" ht="18.41">
      <c r="C118">
        <f>H117*D118</f>
        <v>1408.9970406360537</v>
      </c>
      <c r="D118">
        <f>D117</f>
        <v>0.018182450285099998</v>
      </c>
      <c r="E118" t="s">
        <v>18</v>
      </c>
      <c r="F118" s="9">
        <v>44008</v>
      </c>
      <c r="G118" s="2"/>
      <c r="H118">
        <f>H117+C118</f>
        <v>78901.140208528377</v>
      </c>
      <c r="R118" s="1"/>
      <c r="S118" s="1"/>
      <c r="U118" s="1"/>
      <c r="V118" s="1"/>
      <c r="W118" s="1"/>
      <c r="X118" s="1"/>
      <c r="Y118" s="1"/>
      <c r="Z118" s="1"/>
      <c r="AB118" s="1"/>
      <c r="AC118" s="1"/>
      <c r="AD118" s="1"/>
      <c r="AE118" s="1"/>
      <c r="AF118" s="1"/>
      <c r="AG118" s="1"/>
      <c r="AI118" s="1"/>
      <c r="AJ118" s="1"/>
      <c r="AK118" s="1"/>
      <c r="AL118" s="1"/>
      <c r="AM118" s="1"/>
      <c r="AN118" s="1"/>
      <c r="AP118" s="1"/>
      <c r="AQ118" s="1"/>
      <c r="AR118" s="1"/>
      <c r="AS118" s="1"/>
      <c r="AT118" s="1"/>
      <c r="AU118" s="1"/>
      <c r="AW118" s="1"/>
      <c r="AX118" s="1"/>
      <c r="AY118" s="1"/>
      <c r="AZ118" s="1"/>
      <c r="BA118" s="1"/>
      <c r="BB118" s="1"/>
      <c r="CH118">
        <v>5</v>
      </c>
      <c r="CI118" t="s">
        <v>32</v>
      </c>
      <c r="CJ118" s="8">
        <v>43948</v>
      </c>
      <c r="CK118">
        <v>14</v>
      </c>
      <c r="CL118">
        <v>386</v>
      </c>
      <c r="CM118">
        <v>0</v>
      </c>
      <c r="DD118" s="1"/>
      <c r="DE118" s="1"/>
      <c r="DG118" t="inlineStr">
        <is>
          <t>the value that follows it has been issued,</t>
        </is>
      </c>
    </row>
    <row r="119" spans="1:206" ht="18.41">
      <c r="C119">
        <f>H118*D119</f>
        <v>1434.6160592792717</v>
      </c>
      <c r="D119">
        <f>D118</f>
        <v>0.018182450285099998</v>
      </c>
      <c r="E119" t="s">
        <v>19</v>
      </c>
      <c r="F119" s="9">
        <v>44009</v>
      </c>
      <c r="G119" s="2"/>
      <c r="H119">
        <f>H118+C119</f>
        <v>80335.75626780765</v>
      </c>
      <c r="S119" s="1"/>
      <c r="U119" s="1"/>
      <c r="V119" s="1"/>
      <c r="W119" s="1"/>
      <c r="X119" s="1"/>
      <c r="Y119" s="1"/>
      <c r="Z119" s="1"/>
      <c r="AB119" s="1"/>
      <c r="AC119" s="1"/>
      <c r="AD119" s="1"/>
      <c r="AE119" s="1"/>
      <c r="AF119" s="1"/>
      <c r="AG119" s="1"/>
      <c r="AI119" s="1"/>
      <c r="CH119">
        <v>5</v>
      </c>
      <c r="CI119" t="s">
        <v>32</v>
      </c>
      <c r="CJ119" s="8">
        <v>43949</v>
      </c>
      <c r="CK119">
        <v>14</v>
      </c>
      <c r="CL119">
        <v>386</v>
      </c>
      <c r="CM119">
        <v>0</v>
      </c>
      <c r="DD119" s="1"/>
      <c r="DE119" s="1"/>
      <c r="DG119" t="inlineStr">
        <is>
          <t>its value will not change again (and, at</t>
        </is>
      </c>
    </row>
    <row r="120" spans="1:206" ht="18.41">
      <c r="C120">
        <f>H119*D120</f>
        <v>1460.7008944553231</v>
      </c>
      <c r="D120">
        <f>D119</f>
        <v>0.018182450285099998</v>
      </c>
      <c r="E120" t="s">
        <v>12</v>
      </c>
      <c r="F120" s="9">
        <v>44010</v>
      </c>
      <c r="G120" s="2"/>
      <c r="H120">
        <f>H119+C120</f>
        <v>81796.457162262974</v>
      </c>
      <c r="S120" s="1"/>
      <c r="U120" s="1"/>
      <c r="V120" s="1"/>
      <c r="W120" s="1"/>
      <c r="X120" s="1"/>
      <c r="Y120" s="1"/>
      <c r="Z120" s="1"/>
      <c r="AB120" s="1"/>
      <c r="AC120" s="1"/>
      <c r="AD120" s="1"/>
      <c r="AE120" s="1"/>
      <c r="AF120" s="1"/>
      <c r="AG120" s="1"/>
      <c r="AI120" s="1"/>
      <c r="CH120">
        <v>5</v>
      </c>
      <c r="CI120" t="s">
        <v>32</v>
      </c>
      <c r="CJ120" s="8">
        <v>43950</v>
      </c>
      <c r="CK120">
        <v>14</v>
      </c>
      <c r="CL120">
        <v>386</v>
      </c>
      <c r="CM120">
        <v>0</v>
      </c>
      <c r="DD120" s="1"/>
      <c r="DE120" s="1"/>
      <c r="DG120" t="inlineStr">
        <is>
          <t>that time, it will become a reliable</t>
        </is>
      </c>
    </row>
    <row r="121" spans="1:206" ht="18.41">
      <c r="C121">
        <f>H120*D121</f>
        <v>1487.2600158501582</v>
      </c>
      <c r="D121">
        <f>D120</f>
        <v>0.018182450285099998</v>
      </c>
      <c r="E121" t="s">
        <v>14</v>
      </c>
      <c r="F121" s="9">
        <v>44011</v>
      </c>
      <c r="G121" s="2"/>
      <c r="H121">
        <f>H120+C121</f>
        <v>83283.717178113133</v>
      </c>
      <c r="S121" s="1"/>
      <c r="U121" s="1"/>
      <c r="V121" s="1"/>
      <c r="W121" s="1"/>
      <c r="X121" s="1"/>
      <c r="Y121" s="1"/>
      <c r="Z121" s="1"/>
      <c r="AB121" s="1"/>
      <c r="AC121" s="1"/>
      <c r="AD121" s="1"/>
      <c r="AE121" s="1"/>
      <c r="AF121" s="1"/>
      <c r="AG121" s="1"/>
      <c r="AI121" s="1"/>
      <c r="CH121">
        <v>5</v>
      </c>
      <c r="CI121" t="s">
        <v>32</v>
      </c>
      <c r="CJ121" s="8">
        <v>43951</v>
      </c>
      <c r="CK121">
        <v>16</v>
      </c>
      <c r="CL121">
        <v>442</v>
      </c>
      <c r="CM121">
        <v>0</v>
      </c>
      <c r="DD121" s="1"/>
      <c r="DE121" s="1"/>
      <c r="DG121" t="inlineStr">
        <is>
          <t>value in this series).</t>
        </is>
      </c>
    </row>
    <row r="122" spans="1:206" ht="19.5">
      <c r="C122">
        <f>H121*D122</f>
        <v>1514.3020471493708</v>
      </c>
      <c r="D122">
        <f>D121</f>
        <v>0.018182450285099998</v>
      </c>
      <c r="E122" t="s">
        <v>15</v>
      </c>
      <c r="F122" s="9">
        <v>44012</v>
      </c>
      <c r="G122" s="2"/>
      <c r="H122">
        <f>H121+C122</f>
        <v>84798.019225262498</v>
      </c>
      <c r="S122" s="1"/>
      <c r="U122" s="1"/>
      <c r="V122" s="1"/>
      <c r="W122" s="1"/>
      <c r="X122" s="1"/>
      <c r="Y122" s="1"/>
      <c r="Z122" s="1"/>
      <c r="AB122" s="1"/>
      <c r="AC122" s="1"/>
      <c r="AD122" s="1"/>
      <c r="AE122" s="1"/>
      <c r="AF122" s="1"/>
      <c r="AG122" s="1"/>
      <c r="AI122" s="1"/>
      <c r="CH122">
        <v>11</v>
      </c>
      <c r="CI122" t="s">
        <v>33</v>
      </c>
      <c r="CJ122" s="8">
        <v>43914</v>
      </c>
      <c r="CK122">
        <v>1</v>
      </c>
      <c r="CM122">
        <v>0</v>
      </c>
      <c r="DD122" s="1"/>
      <c r="DE122" s="2"/>
    </row>
    <row r="123" spans="1:206" ht="19.5">
      <c r="C123">
        <f>H122*D123</f>
        <v>1541.8357688382894</v>
      </c>
      <c r="D123">
        <f>D122</f>
        <v>0.018182450285099998</v>
      </c>
      <c r="E123" t="s">
        <v>16</v>
      </c>
      <c r="F123" s="9">
        <v>44013</v>
      </c>
      <c r="G123" s="2"/>
      <c r="H123">
        <f>H122+C123</f>
        <v>86339.85499410078</v>
      </c>
      <c r="S123" s="1"/>
      <c r="U123" s="1"/>
      <c r="V123" s="1"/>
      <c r="W123" s="1"/>
      <c r="X123" s="1"/>
      <c r="Y123" s="1"/>
      <c r="Z123" s="1"/>
      <c r="AB123" s="1"/>
      <c r="AC123" s="1"/>
      <c r="AD123" s="1"/>
      <c r="AE123" s="1"/>
      <c r="AF123" s="1"/>
      <c r="AG123" s="1"/>
      <c r="AI123" s="1"/>
      <c r="CH123">
        <v>11</v>
      </c>
      <c r="CI123" t="s">
        <v>33</v>
      </c>
      <c r="CJ123" s="8">
        <v>43915</v>
      </c>
      <c r="CK123">
        <v>1</v>
      </c>
      <c r="CM123">
        <v>0</v>
      </c>
      <c r="DD123" s="1"/>
      <c r="DE123" s="2"/>
    </row>
    <row r="124" spans="1:206" ht="19.5">
      <c r="C124">
        <f>H123*D124</f>
        <v>1569.8701210529803</v>
      </c>
      <c r="D124">
        <f>D123</f>
        <v>0.018182450285099998</v>
      </c>
      <c r="E124" t="s">
        <v>17</v>
      </c>
      <c r="F124" s="9">
        <v>44014</v>
      </c>
      <c r="G124" s="2"/>
      <c r="H124">
        <f>H123+C124</f>
        <v>87909.725115153764</v>
      </c>
      <c r="S124" s="1"/>
      <c r="U124" s="1"/>
      <c r="V124" s="1"/>
      <c r="W124" s="1"/>
      <c r="X124" s="1"/>
      <c r="Y124" s="1"/>
      <c r="Z124" s="1"/>
      <c r="AB124" s="1"/>
      <c r="AC124" s="1"/>
      <c r="AD124" s="1"/>
      <c r="AE124" s="1"/>
      <c r="AF124" s="1"/>
      <c r="AG124" s="1"/>
      <c r="AI124" s="1"/>
      <c r="CH124">
        <v>11</v>
      </c>
      <c r="CI124" t="s">
        <v>33</v>
      </c>
      <c r="CJ124" s="8">
        <v>43916</v>
      </c>
      <c r="CK124">
        <v>2</v>
      </c>
      <c r="CM124">
        <v>0</v>
      </c>
      <c r="DD124" s="1"/>
      <c r="DE124" s="2"/>
    </row>
    <row r="125" spans="1:206" ht="19.5">
      <c r="C125">
        <f>H124*D125</f>
        <v>1598.4142064830901</v>
      </c>
      <c r="D125">
        <f>D124</f>
        <v>0.018182450285099998</v>
      </c>
      <c r="E125" t="s">
        <v>18</v>
      </c>
      <c r="F125" s="9">
        <v>44015</v>
      </c>
      <c r="G125" s="2"/>
      <c r="H125">
        <f>H124+C125</f>
        <v>89508.13932163686</v>
      </c>
      <c r="S125" s="1"/>
      <c r="U125" s="1"/>
      <c r="V125" s="1"/>
      <c r="W125" s="1"/>
      <c r="X125" s="1"/>
      <c r="Y125" s="1"/>
      <c r="Z125" s="1"/>
      <c r="AB125" s="1"/>
      <c r="AC125" s="1"/>
      <c r="AD125" s="1"/>
      <c r="AE125" s="1"/>
      <c r="AF125" s="1"/>
      <c r="AG125" s="1"/>
      <c r="AI125" s="1"/>
      <c r="CH125">
        <v>11</v>
      </c>
      <c r="CI125" t="s">
        <v>33</v>
      </c>
      <c r="CJ125" s="8">
        <v>43917</v>
      </c>
      <c r="CK125">
        <v>3</v>
      </c>
      <c r="CM125">
        <v>0</v>
      </c>
      <c r="DD125" s="1"/>
      <c r="DE125" s="2"/>
    </row>
    <row r="126" spans="1:206" ht="19.5">
      <c r="C126">
        <f>H125*D126</f>
        <v>1627.4772933274664</v>
      </c>
      <c r="D126">
        <f>D125</f>
        <v>0.018182450285099998</v>
      </c>
      <c r="E126" t="s">
        <v>19</v>
      </c>
      <c r="F126" s="9">
        <v>44016</v>
      </c>
      <c r="G126" s="2"/>
      <c r="H126">
        <f>H125+C126</f>
        <v>91135.616614964325</v>
      </c>
      <c r="S126" s="1"/>
      <c r="U126" s="1"/>
      <c r="V126" s="1"/>
      <c r="W126" s="1"/>
      <c r="X126" s="1"/>
      <c r="Y126" s="1"/>
      <c r="Z126" s="1"/>
      <c r="AB126" s="1"/>
      <c r="AC126" s="1"/>
      <c r="AD126" s="1"/>
      <c r="AE126" s="1"/>
      <c r="AF126" s="1"/>
      <c r="AG126" s="1"/>
      <c r="AI126" s="1"/>
      <c r="CH126">
        <v>11</v>
      </c>
      <c r="CI126" t="s">
        <v>33</v>
      </c>
      <c r="CJ126" s="8">
        <v>43918</v>
      </c>
      <c r="CK126">
        <v>6</v>
      </c>
      <c r="CM126">
        <v>0</v>
      </c>
      <c r="DD126" s="1"/>
      <c r="DE126" s="2"/>
    </row>
    <row r="127" spans="1:206" ht="19.5">
      <c r="C127">
        <f>H126*D127</f>
        <v>1657.0688183035222</v>
      </c>
      <c r="D127">
        <f>D126</f>
        <v>0.018182450285099998</v>
      </c>
      <c r="E127" t="s">
        <v>12</v>
      </c>
      <c r="F127" s="9">
        <v>44017</v>
      </c>
      <c r="G127" s="2"/>
      <c r="H127">
        <f>H126+C127</f>
        <v>92792.685433267849</v>
      </c>
      <c r="J127" s="1"/>
      <c r="S127" s="1"/>
      <c r="U127" s="1"/>
      <c r="V127" s="1"/>
      <c r="W127" s="1"/>
      <c r="X127" s="1"/>
      <c r="Y127" s="1"/>
      <c r="Z127" s="1"/>
      <c r="AB127" s="1"/>
      <c r="AC127" s="1"/>
      <c r="AD127" s="1"/>
      <c r="AE127" s="1"/>
      <c r="AF127" s="1"/>
      <c r="AG127" s="1"/>
      <c r="AI127" s="1"/>
      <c r="CH127">
        <v>11</v>
      </c>
      <c r="CI127" t="s">
        <v>33</v>
      </c>
      <c r="CJ127" s="8">
        <v>43919</v>
      </c>
      <c r="CK127">
        <v>6</v>
      </c>
      <c r="CM127">
        <v>0</v>
      </c>
    </row>
    <row r="128" spans="1:206" ht="19.5">
      <c r="C128">
        <f>H127*D128</f>
        <v>1687.1983897113155</v>
      </c>
      <c r="D128">
        <f>D127</f>
        <v>0.018182450285099998</v>
      </c>
      <c r="E128" t="s">
        <v>14</v>
      </c>
      <c r="F128" s="9">
        <v>44018</v>
      </c>
      <c r="G128" s="2"/>
      <c r="H128">
        <f>H127+C128</f>
        <v>94479.883822979158</v>
      </c>
      <c r="S128" s="1"/>
      <c r="U128" s="1"/>
      <c r="V128" s="1"/>
      <c r="W128" s="1"/>
      <c r="X128" s="1"/>
      <c r="Y128" s="1"/>
      <c r="Z128" s="1"/>
      <c r="AB128" s="1"/>
      <c r="AC128" s="1"/>
      <c r="AD128" s="1"/>
      <c r="AE128" s="1"/>
      <c r="AF128" s="1"/>
      <c r="AG128" s="1"/>
      <c r="AI128" s="1"/>
      <c r="BT128" s="1"/>
      <c r="CH128">
        <v>11</v>
      </c>
      <c r="CI128" t="s">
        <v>33</v>
      </c>
      <c r="CJ128" s="8">
        <v>43920</v>
      </c>
      <c r="CK128">
        <v>8</v>
      </c>
      <c r="CM128">
        <v>0</v>
      </c>
    </row>
    <row r="129" spans="1:206" ht="19.5">
      <c r="C129">
        <f>H128*D129</f>
        <v>1717.8757905533421</v>
      </c>
      <c r="D129">
        <f>D128</f>
        <v>0.018182450285099998</v>
      </c>
      <c r="E129" t="s">
        <v>15</v>
      </c>
      <c r="F129" s="9">
        <v>44019</v>
      </c>
      <c r="G129" s="2"/>
      <c r="H129">
        <f>H128+C129</f>
        <v>96197.7596135325</v>
      </c>
      <c r="J129" s="1"/>
      <c r="K129" s="1"/>
      <c r="L129" s="1"/>
      <c r="S129" s="1"/>
      <c r="U129" s="1"/>
      <c r="V129" s="1"/>
      <c r="W129" s="1"/>
      <c r="X129" s="1"/>
      <c r="Y129" s="1"/>
      <c r="Z129" s="1"/>
      <c r="AB129" s="1"/>
      <c r="AC129" s="1"/>
      <c r="AD129" s="1"/>
      <c r="AE129" s="1"/>
      <c r="AF129" s="1"/>
      <c r="AG129" s="1"/>
      <c r="AI129" s="1"/>
      <c r="CH129">
        <v>11</v>
      </c>
      <c r="CI129" t="s">
        <v>33</v>
      </c>
      <c r="CJ129" s="8">
        <v>43921</v>
      </c>
      <c r="CK129">
        <v>11</v>
      </c>
      <c r="CM129">
        <v>0</v>
      </c>
    </row>
    <row r="130" spans="1:206" ht="19.5">
      <c r="C130">
        <f>H129*D130</f>
        <v>1749.110981711055</v>
      </c>
      <c r="D130">
        <f>D129</f>
        <v>0.018182450285099998</v>
      </c>
      <c r="E130" t="s">
        <v>16</v>
      </c>
      <c r="F130" s="9">
        <v>44020</v>
      </c>
      <c r="G130" s="2"/>
      <c r="H130">
        <f>H129+C130</f>
        <v>97946.870595243556</v>
      </c>
      <c r="J130" s="1"/>
      <c r="K130" s="1"/>
      <c r="L130" s="1"/>
      <c r="S130" s="1"/>
      <c r="U130" s="1"/>
      <c r="V130" s="1"/>
      <c r="W130" s="1"/>
      <c r="X130" s="1"/>
      <c r="Y130" s="1"/>
      <c r="Z130" s="1"/>
      <c r="AB130" s="1"/>
      <c r="AC130" s="1"/>
      <c r="AD130" s="1"/>
      <c r="AE130" s="1"/>
      <c r="AF130" s="1"/>
      <c r="AG130" s="1"/>
      <c r="AI130" s="1"/>
      <c r="CH130">
        <v>11</v>
      </c>
      <c r="CI130" t="s">
        <v>33</v>
      </c>
      <c r="CJ130" s="8">
        <v>43922</v>
      </c>
      <c r="CK130">
        <v>16</v>
      </c>
      <c r="CM130">
        <v>0</v>
      </c>
    </row>
    <row r="131" spans="1:206" ht="19.5">
      <c r="C131">
        <f>H130*D131</f>
        <v>1780.9141051791389</v>
      </c>
      <c r="D131">
        <f>D130</f>
        <v>0.018182450285099998</v>
      </c>
      <c r="E131" t="s">
        <v>17</v>
      </c>
      <c r="F131" s="9">
        <v>44021</v>
      </c>
      <c r="G131" s="2"/>
      <c r="H131">
        <f>H130+C131</f>
        <v>99727.784700422693</v>
      </c>
      <c r="J131" s="1"/>
      <c r="K131" s="1"/>
      <c r="L131" s="1"/>
      <c r="S131" s="1"/>
      <c r="U131" s="1"/>
      <c r="V131" s="1"/>
      <c r="W131" s="1"/>
      <c r="X131" s="1"/>
      <c r="Y131" s="1"/>
      <c r="Z131" s="1"/>
      <c r="AB131" s="1"/>
      <c r="AC131" s="1"/>
      <c r="AD131" s="1"/>
      <c r="AE131" s="1"/>
      <c r="AF131" s="1"/>
      <c r="AG131" s="1"/>
      <c r="AI131" s="1"/>
      <c r="CH131">
        <v>11</v>
      </c>
      <c r="CI131" t="s">
        <v>33</v>
      </c>
      <c r="CJ131" s="8">
        <v>43923</v>
      </c>
      <c r="CK131">
        <v>20</v>
      </c>
      <c r="CM131">
        <v>0</v>
      </c>
    </row>
    <row r="132" spans="1:206" ht="19.5">
      <c r="C132">
        <f>H131*D132</f>
        <v>1813.2954873585918</v>
      </c>
      <c r="D132">
        <f>D131</f>
        <v>0.018182450285099998</v>
      </c>
      <c r="E132" t="s">
        <v>18</v>
      </c>
      <c r="F132" s="9">
        <v>44022</v>
      </c>
      <c r="H132">
        <f>H131+C132</f>
        <v>101541.08018778129</v>
      </c>
      <c r="J132" s="1"/>
      <c r="K132" s="1"/>
      <c r="L132" s="1"/>
      <c r="S132" s="1"/>
      <c r="U132" s="1"/>
      <c r="V132" s="1"/>
      <c r="W132" s="1"/>
      <c r="X132" s="1"/>
      <c r="Y132" s="1"/>
      <c r="Z132" s="1"/>
      <c r="AB132" s="1"/>
      <c r="AC132" s="1"/>
      <c r="AD132" s="1"/>
      <c r="AE132" s="1"/>
      <c r="AF132" s="1"/>
      <c r="AG132" s="1"/>
      <c r="AI132" s="1"/>
      <c r="CH132">
        <v>11</v>
      </c>
      <c r="CI132" t="s">
        <v>33</v>
      </c>
      <c r="CJ132" s="8">
        <v>43924</v>
      </c>
      <c r="CK132">
        <v>25</v>
      </c>
      <c r="CM132">
        <v>3</v>
      </c>
    </row>
    <row r="133" spans="1:206" ht="19.5">
      <c r="C133">
        <f>H132*D133</f>
        <v>1846.2656424096858</v>
      </c>
      <c r="D133">
        <f>D132</f>
        <v>0.018182450285099998</v>
      </c>
      <c r="E133" t="s">
        <v>19</v>
      </c>
      <c r="F133" s="9">
        <v>44023</v>
      </c>
      <c r="H133">
        <f>H132+C133</f>
        <v>103387.34583019098</v>
      </c>
      <c r="J133" s="1"/>
      <c r="K133" s="1"/>
      <c r="L133" s="1"/>
      <c r="S133" s="1"/>
      <c r="U133" s="1"/>
      <c r="V133" s="1"/>
      <c r="W133" s="1"/>
      <c r="X133" s="1"/>
      <c r="Y133" s="1"/>
      <c r="Z133" s="1"/>
      <c r="AB133" s="1"/>
      <c r="AC133" s="1"/>
      <c r="AD133" s="1"/>
      <c r="AE133" s="1"/>
      <c r="AF133" s="1"/>
      <c r="AG133" s="1"/>
      <c r="AI133" s="1"/>
      <c r="CH133">
        <v>11</v>
      </c>
      <c r="CI133" t="s">
        <v>33</v>
      </c>
      <c r="CJ133" s="8">
        <v>43925</v>
      </c>
      <c r="CK133">
        <v>28</v>
      </c>
      <c r="CM133">
        <v>3</v>
      </c>
    </row>
    <row r="134" spans="1:206" ht="19.5">
      <c r="C134">
        <f>H133*D134</f>
        <v>1879.8352756658883</v>
      </c>
      <c r="D134">
        <f>D133</f>
        <v>0.018182450285099998</v>
      </c>
      <c r="E134" t="s">
        <v>12</v>
      </c>
      <c r="F134" s="9">
        <v>44024</v>
      </c>
      <c r="H134">
        <f>H133+C134</f>
        <v>105267.18110585687</v>
      </c>
      <c r="J134" s="1"/>
      <c r="K134" s="1"/>
      <c r="L134" s="1"/>
      <c r="S134" s="1"/>
      <c r="U134" s="1"/>
      <c r="V134" s="1"/>
      <c r="W134" s="1"/>
      <c r="X134" s="1"/>
      <c r="Y134" s="1"/>
      <c r="Z134" s="1"/>
      <c r="AB134" s="1"/>
      <c r="AC134" s="1"/>
      <c r="AD134" s="1"/>
      <c r="AE134" s="1"/>
      <c r="AF134" s="1"/>
      <c r="AG134" s="1"/>
      <c r="AI134" s="1"/>
      <c r="CH134">
        <v>11</v>
      </c>
      <c r="CI134" t="s">
        <v>33</v>
      </c>
      <c r="CJ134" s="8">
        <v>43926</v>
      </c>
      <c r="CK134">
        <v>33</v>
      </c>
      <c r="CM134">
        <v>3</v>
      </c>
    </row>
    <row r="135" spans="1:206" ht="19.5">
      <c r="C135">
        <f>H134*D135</f>
        <v>1914.0152871098605</v>
      </c>
      <c r="D135">
        <f>D134</f>
        <v>0.018182450285099998</v>
      </c>
      <c r="E135" t="s">
        <v>14</v>
      </c>
      <c r="F135" s="9">
        <v>44025</v>
      </c>
      <c r="H135">
        <f>H134+C135</f>
        <v>107181.19639296673</v>
      </c>
      <c r="S135" s="1"/>
      <c r="U135" s="1"/>
      <c r="V135" s="1"/>
      <c r="W135" s="1"/>
      <c r="X135" s="1"/>
      <c r="Y135" s="1"/>
      <c r="Z135" s="1"/>
      <c r="AB135" s="1"/>
      <c r="AC135" s="1"/>
      <c r="AD135" s="1"/>
      <c r="AE135" s="1"/>
      <c r="AF135" s="1"/>
      <c r="AG135" s="1"/>
      <c r="AI135" s="1"/>
      <c r="CH135">
        <v>11</v>
      </c>
      <c r="CI135" t="s">
        <v>33</v>
      </c>
      <c r="CJ135" s="8">
        <v>43927</v>
      </c>
      <c r="CK135">
        <v>41</v>
      </c>
      <c r="CM135">
        <v>3</v>
      </c>
    </row>
    <row r="136" spans="1:206" ht="19.5">
      <c r="C136">
        <f>H135*D136</f>
        <v>1948.8167749126567</v>
      </c>
      <c r="D136">
        <f>D135</f>
        <v>0.018182450285099998</v>
      </c>
      <c r="E136" t="s">
        <v>15</v>
      </c>
      <c r="F136" s="9">
        <v>44026</v>
      </c>
      <c r="H136">
        <f>H135+C136</f>
        <v>109130.01316787938</v>
      </c>
      <c r="S136" s="1"/>
      <c r="U136" s="1"/>
      <c r="V136" s="1"/>
      <c r="W136" s="1"/>
      <c r="X136" s="1"/>
      <c r="Y136" s="1"/>
      <c r="Z136" s="1"/>
      <c r="AB136" s="1"/>
      <c r="AC136" s="1"/>
      <c r="AD136" s="1"/>
      <c r="AE136" s="1"/>
      <c r="AF136" s="1"/>
      <c r="AG136" s="1"/>
      <c r="AI136" s="1"/>
      <c r="CH136">
        <v>11</v>
      </c>
      <c r="CI136" t="s">
        <v>33</v>
      </c>
      <c r="CJ136" s="8">
        <v>43928</v>
      </c>
      <c r="CK136">
        <v>47</v>
      </c>
      <c r="CM136">
        <v>5</v>
      </c>
    </row>
    <row r="137" spans="1:206" ht="19.5">
      <c r="C137">
        <f>H136*D137</f>
        <v>1984.2510390372752</v>
      </c>
      <c r="D137">
        <f>D136</f>
        <v>0.018182450285099998</v>
      </c>
      <c r="E137" t="s">
        <v>16</v>
      </c>
      <c r="F137" s="9">
        <v>44027</v>
      </c>
      <c r="H137">
        <f>H136+C137</f>
        <v>111114.26420691666</v>
      </c>
      <c r="S137" s="1"/>
      <c r="U137" s="1"/>
      <c r="V137" s="1"/>
      <c r="W137" s="1"/>
      <c r="X137" s="1"/>
      <c r="Y137" s="1"/>
      <c r="Z137" s="1"/>
      <c r="AB137" s="1"/>
      <c r="AC137" s="1"/>
      <c r="AD137" s="1"/>
      <c r="AE137" s="1"/>
      <c r="AF137" s="1"/>
      <c r="AG137" s="1"/>
      <c r="AI137" s="1"/>
      <c r="CH137">
        <v>11</v>
      </c>
      <c r="CI137" t="s">
        <v>33</v>
      </c>
      <c r="CJ137" s="8">
        <v>43929</v>
      </c>
      <c r="CK137">
        <v>60</v>
      </c>
      <c r="CM137">
        <v>6</v>
      </c>
    </row>
    <row r="138" spans="1:206" ht="19.5">
      <c r="C138">
        <f>H137*D138</f>
        <v>2020.3295849077283</v>
      </c>
      <c r="D138">
        <f>D137</f>
        <v>0.018182450285099998</v>
      </c>
      <c r="E138" t="s">
        <v>17</v>
      </c>
      <c r="F138" s="9">
        <v>44028</v>
      </c>
      <c r="H138">
        <f>H137+C138</f>
        <v>113134.59379182439</v>
      </c>
      <c r="S138" s="1"/>
      <c r="U138" s="1"/>
      <c r="V138" s="1"/>
      <c r="W138" s="1"/>
      <c r="X138" s="1"/>
      <c r="Y138" s="1"/>
      <c r="Z138" s="1"/>
      <c r="AB138" s="1"/>
      <c r="AC138" s="1"/>
      <c r="AD138" s="1"/>
      <c r="AE138" s="1"/>
      <c r="AF138" s="1"/>
      <c r="AG138" s="1"/>
      <c r="AI138" s="1"/>
      <c r="CH138">
        <v>11</v>
      </c>
      <c r="CI138" t="s">
        <v>33</v>
      </c>
      <c r="CJ138" s="8">
        <v>43930</v>
      </c>
      <c r="CK138">
        <v>67</v>
      </c>
      <c r="CM138">
        <v>9</v>
      </c>
    </row>
    <row r="139" spans="1:206" ht="19.5">
      <c r="C139">
        <f>H138*D139</f>
        <v>2057.0641271448299</v>
      </c>
      <c r="D139">
        <f>D138</f>
        <v>0.018182450285099998</v>
      </c>
      <c r="E139" t="s">
        <v>18</v>
      </c>
      <c r="F139" s="9">
        <v>44029</v>
      </c>
      <c r="H139">
        <f>H138+C139</f>
        <v>115191.65791896921</v>
      </c>
      <c r="S139" s="1"/>
      <c r="U139" s="1"/>
      <c r="V139" s="1"/>
      <c r="W139" s="1"/>
      <c r="X139" s="1"/>
      <c r="Y139" s="1"/>
      <c r="Z139" s="1"/>
      <c r="AB139" s="1"/>
      <c r="AC139" s="1"/>
      <c r="AD139" s="1"/>
      <c r="AE139" s="1"/>
      <c r="AF139" s="1"/>
      <c r="AG139" s="1"/>
      <c r="AI139" s="1"/>
      <c r="CH139">
        <v>11</v>
      </c>
      <c r="CI139" t="s">
        <v>33</v>
      </c>
      <c r="CJ139" s="8">
        <v>43931</v>
      </c>
      <c r="CK139">
        <v>75</v>
      </c>
      <c r="CM139">
        <v>9</v>
      </c>
    </row>
    <row r="140" spans="1:206" ht="19.5">
      <c r="C140">
        <f>H139*D140</f>
        <v>2094.4665933699034</v>
      </c>
      <c r="D140">
        <f>D139</f>
        <v>0.018182450285099998</v>
      </c>
      <c r="E140" t="s">
        <v>19</v>
      </c>
      <c r="F140" s="9">
        <v>44030</v>
      </c>
      <c r="H140">
        <f>H139+C140</f>
        <v>117286.12451233911</v>
      </c>
      <c r="S140" s="1"/>
      <c r="U140" s="1"/>
      <c r="V140" s="1"/>
      <c r="W140" s="1"/>
      <c r="X140" s="1"/>
      <c r="Y140" s="1"/>
      <c r="Z140" s="1"/>
      <c r="AB140" s="1"/>
      <c r="AC140" s="1"/>
      <c r="AD140" s="1"/>
      <c r="AE140" s="1"/>
      <c r="AF140" s="1"/>
      <c r="AG140" s="1"/>
      <c r="AI140" s="1"/>
      <c r="CH140">
        <v>11</v>
      </c>
      <c r="CI140" t="s">
        <v>33</v>
      </c>
      <c r="CJ140" s="8">
        <v>43932</v>
      </c>
      <c r="CK140">
        <v>77</v>
      </c>
      <c r="CM140">
        <v>9</v>
      </c>
    </row>
    <row r="141" spans="1:206" ht="19.5">
      <c r="C141">
        <f>H140*D141</f>
        <v>2132.5491280776541</v>
      </c>
      <c r="D141">
        <f>D140</f>
        <v>0.018182450285099998</v>
      </c>
      <c r="E141" t="s">
        <v>12</v>
      </c>
      <c r="F141" s="9">
        <v>44031</v>
      </c>
      <c r="H141">
        <f>H140+C141</f>
        <v>119418.67364041676</v>
      </c>
      <c r="S141" s="1"/>
      <c r="U141" s="1"/>
      <c r="V141" s="1"/>
      <c r="W141" s="1"/>
      <c r="X141" s="1"/>
      <c r="Y141" s="1"/>
      <c r="Z141" s="1"/>
      <c r="AB141" s="1"/>
      <c r="AC141" s="1"/>
      <c r="AD141" s="1"/>
      <c r="AE141" s="1"/>
      <c r="AF141" s="1"/>
      <c r="AG141" s="1"/>
      <c r="AI141" s="1"/>
      <c r="CH141">
        <v>11</v>
      </c>
      <c r="CI141" t="s">
        <v>33</v>
      </c>
      <c r="CJ141" s="8">
        <v>43933</v>
      </c>
      <c r="CK141">
        <v>79</v>
      </c>
      <c r="CM141">
        <v>10</v>
      </c>
    </row>
    <row r="142" spans="1:206" ht="19.5">
      <c r="C142">
        <f>H141*D142</f>
        <v>2171.3240965794594</v>
      </c>
      <c r="D142">
        <f>D141</f>
        <v>0.018182450285099998</v>
      </c>
      <c r="E142" t="s">
        <v>14</v>
      </c>
      <c r="F142" s="9">
        <v>44032</v>
      </c>
      <c r="H142">
        <f>H141+C142</f>
        <v>121589.99773699621</v>
      </c>
      <c r="S142" s="1"/>
      <c r="U142" s="1"/>
      <c r="V142" s="1"/>
      <c r="W142" s="1"/>
      <c r="X142" s="1"/>
      <c r="Y142" s="1"/>
      <c r="Z142" s="1"/>
      <c r="AB142" s="1"/>
      <c r="AC142" s="1"/>
      <c r="AD142" s="1"/>
      <c r="AE142" s="1"/>
      <c r="AF142" s="1"/>
      <c r="AG142" s="1"/>
      <c r="AI142" s="1"/>
      <c r="CH142">
        <v>11</v>
      </c>
      <c r="CI142" t="s">
        <v>33</v>
      </c>
      <c r="CJ142" s="8">
        <v>43934</v>
      </c>
      <c r="CK142">
        <v>88</v>
      </c>
      <c r="CM142">
        <v>12</v>
      </c>
    </row>
    <row r="143" spans="1:206" ht="19.5">
      <c r="C143">
        <f>H142*D143</f>
        <v>2210.8040890183552</v>
      </c>
      <c r="D143">
        <f>D142</f>
        <v>0.018182450285099998</v>
      </c>
      <c r="E143" t="s">
        <v>15</v>
      </c>
      <c r="F143" s="9">
        <v>44033</v>
      </c>
      <c r="H143">
        <f>H142+C143</f>
        <v>123800.80182601458</v>
      </c>
      <c r="S143" s="1"/>
      <c r="U143" s="1"/>
      <c r="V143" s="1"/>
      <c r="W143" s="1"/>
      <c r="X143" s="1"/>
      <c r="Y143" s="1"/>
      <c r="Z143" s="1"/>
      <c r="AB143" s="1"/>
      <c r="AC143" s="1"/>
      <c r="AD143" s="1"/>
      <c r="AE143" s="1"/>
      <c r="AF143" s="1"/>
      <c r="AG143" s="1"/>
      <c r="AI143" s="1"/>
      <c r="AW143" s="1"/>
      <c r="AX143" s="1"/>
      <c r="CH143">
        <v>11</v>
      </c>
      <c r="CI143" t="s">
        <v>33</v>
      </c>
      <c r="CJ143" s="8">
        <v>43935</v>
      </c>
      <c r="CK143">
        <v>99</v>
      </c>
      <c r="CM143">
        <v>14</v>
      </c>
    </row>
    <row r="144" spans="1:206" ht="19.5">
      <c r="C144">
        <f>H143*D144</f>
        <v>2251.0019244570271</v>
      </c>
      <c r="D144">
        <f>D143</f>
        <v>0.018182450285099998</v>
      </c>
      <c r="E144" t="s">
        <v>16</v>
      </c>
      <c r="F144" s="9">
        <v>44034</v>
      </c>
      <c r="H144">
        <f>H143+C144</f>
        <v>126051.8037504716</v>
      </c>
      <c r="S144" s="1"/>
      <c r="U144" s="1"/>
      <c r="V144" s="1"/>
      <c r="W144" s="1"/>
      <c r="X144" s="1"/>
      <c r="Y144" s="1"/>
      <c r="Z144" s="1"/>
      <c r="AB144" s="1"/>
      <c r="AC144" s="1"/>
      <c r="AD144" s="1"/>
      <c r="AE144" s="1"/>
      <c r="AF144" s="1"/>
      <c r="AG144" s="1"/>
      <c r="AI144" s="1"/>
      <c r="CH144">
        <v>11</v>
      </c>
      <c r="CI144" t="s">
        <v>33</v>
      </c>
      <c r="CJ144" s="8">
        <v>43936</v>
      </c>
      <c r="CK144">
        <v>108</v>
      </c>
      <c r="CM144">
        <v>16</v>
      </c>
    </row>
    <row r="145" spans="1:206" ht="19.5">
      <c r="C145">
        <f>H144*D145</f>
        <v>2291.9306550401316</v>
      </c>
      <c r="D145">
        <f>D144</f>
        <v>0.018182450285099998</v>
      </c>
      <c r="E145" t="s">
        <v>17</v>
      </c>
      <c r="F145" s="9">
        <v>44035</v>
      </c>
      <c r="H145">
        <f>H144+C145</f>
        <v>128343.73440551174</v>
      </c>
      <c r="S145" s="1"/>
      <c r="U145" s="1"/>
      <c r="V145" s="1"/>
      <c r="W145" s="1"/>
      <c r="X145" s="1"/>
      <c r="Y145" s="1"/>
      <c r="Z145" s="1"/>
      <c r="AB145" s="1"/>
      <c r="AC145" s="1"/>
      <c r="AD145" s="1"/>
      <c r="AE145" s="1"/>
      <c r="AF145" s="1"/>
      <c r="AG145" s="1"/>
      <c r="AI145" s="1"/>
      <c r="CH145">
        <v>11</v>
      </c>
      <c r="CI145" t="s">
        <v>33</v>
      </c>
      <c r="CJ145" s="8">
        <v>43937</v>
      </c>
      <c r="CK145">
        <v>127</v>
      </c>
      <c r="CL145">
        <v>596</v>
      </c>
      <c r="CM145">
        <v>19</v>
      </c>
    </row>
    <row r="146" spans="1:206" ht="19.5">
      <c r="C146">
        <f>H145*D146</f>
        <v>2333.6035702322956</v>
      </c>
      <c r="D146">
        <f>D145</f>
        <v>0.018182450285099998</v>
      </c>
      <c r="E146" t="s">
        <v>18</v>
      </c>
      <c r="F146" s="9">
        <v>44036</v>
      </c>
      <c r="H146">
        <f>H145+C146</f>
        <v>130677.33797574404</v>
      </c>
      <c r="S146" s="1"/>
      <c r="U146" s="1"/>
      <c r="V146" s="1"/>
      <c r="W146" s="1"/>
      <c r="X146" s="1"/>
      <c r="Y146" s="1"/>
      <c r="Z146" s="1"/>
      <c r="AB146" s="1"/>
      <c r="AC146" s="1"/>
      <c r="AD146" s="1"/>
      <c r="AE146" s="1"/>
      <c r="AF146" s="1"/>
      <c r="AG146" s="1"/>
      <c r="AI146" s="1"/>
      <c r="CH146">
        <v>11</v>
      </c>
      <c r="CI146" t="s">
        <v>33</v>
      </c>
      <c r="CJ146" s="8">
        <v>43938</v>
      </c>
      <c r="CK146">
        <v>136</v>
      </c>
      <c r="CL146">
        <v>638</v>
      </c>
      <c r="CM146">
        <v>19</v>
      </c>
    </row>
    <row r="147" spans="1:206" ht="21">
      <c r="C147">
        <f>H146*D147</f>
        <v>2376.0342011331759</v>
      </c>
      <c r="D147">
        <f>D146</f>
        <v>0.018182450285099998</v>
      </c>
      <c r="E147" t="s">
        <v>19</v>
      </c>
      <c r="F147" s="9">
        <v>44037</v>
      </c>
      <c r="H147">
        <f>H146+C147</f>
        <v>133053.37217687722</v>
      </c>
      <c r="S147" s="1"/>
      <c r="U147" s="1"/>
      <c r="V147" s="1"/>
      <c r="W147" s="1"/>
      <c r="X147" s="1"/>
      <c r="Y147" s="1"/>
      <c r="Z147" s="1"/>
      <c r="AB147" s="1"/>
      <c r="AC147" s="1"/>
      <c r="AD147" s="1"/>
      <c r="AE147" s="1"/>
      <c r="AF147" s="1"/>
      <c r="AG147" s="1"/>
      <c r="AI147" s="1"/>
      <c r="CH147">
        <v>11</v>
      </c>
      <c r="CI147" t="s">
        <v>33</v>
      </c>
      <c r="CJ147" s="8">
        <v>43939</v>
      </c>
      <c r="CK147">
        <v>153</v>
      </c>
      <c r="CL147">
        <v>718</v>
      </c>
      <c r="CM147">
        <v>19</v>
      </c>
    </row>
    <row r="148" spans="1:206" ht="19.5">
      <c r="C148">
        <f>H147*D148</f>
        <v>2419.2363248709776</v>
      </c>
      <c r="D148">
        <f>D147</f>
        <v>0.018182450285099998</v>
      </c>
      <c r="E148" t="s">
        <v>12</v>
      </c>
      <c r="F148" s="9">
        <v>44038</v>
      </c>
      <c r="H148">
        <f>H147+C148</f>
        <v>135472.60850174821</v>
      </c>
      <c r="CH148">
        <v>11</v>
      </c>
      <c r="CI148" t="s">
        <v>33</v>
      </c>
      <c r="CJ148" s="8">
        <v>43940</v>
      </c>
      <c r="CK148">
        <v>155</v>
      </c>
      <c r="CL148">
        <v>728</v>
      </c>
      <c r="CM148">
        <v>20</v>
      </c>
    </row>
    <row r="149" spans="1:206" ht="21">
      <c r="C149">
        <f>H148*D149</f>
        <v>2463.2239690758524</v>
      </c>
      <c r="D149">
        <f>D148</f>
        <v>0.018182450285099998</v>
      </c>
      <c r="E149" t="s">
        <v>14</v>
      </c>
      <c r="F149" s="9">
        <v>44039</v>
      </c>
      <c r="H149">
        <f>H148+C149</f>
        <v>137935.83247082407</v>
      </c>
      <c r="CH149">
        <v>11</v>
      </c>
      <c r="CI149" t="s">
        <v>33</v>
      </c>
      <c r="CJ149" s="8">
        <v>43941</v>
      </c>
      <c r="CK149">
        <v>189</v>
      </c>
      <c r="CL149">
        <v>887</v>
      </c>
      <c r="CM149">
        <v>29</v>
      </c>
    </row>
    <row r="150" spans="1:206" ht="21">
      <c r="C150">
        <f>H149*D150</f>
        <v>2508.0114164346405</v>
      </c>
      <c r="D150">
        <f>D149</f>
        <v>0.018182450285099998</v>
      </c>
      <c r="E150" t="s">
        <v>15</v>
      </c>
      <c r="F150" s="9">
        <v>44040</v>
      </c>
      <c r="H150">
        <f>H149+C150</f>
        <v>140443.8438872587</v>
      </c>
      <c r="CH150">
        <v>11</v>
      </c>
      <c r="CI150" t="s">
        <v>33</v>
      </c>
      <c r="CJ150" s="8">
        <v>43942</v>
      </c>
      <c r="CK150">
        <v>192</v>
      </c>
      <c r="CL150">
        <v>901</v>
      </c>
      <c r="CM150">
        <v>29</v>
      </c>
    </row>
    <row r="151" spans="1:206" ht="21">
      <c r="C151">
        <f>H150*D151</f>
        <v>2553.6132093284268</v>
      </c>
      <c r="D151">
        <f>D150</f>
        <v>0.018182450285099998</v>
      </c>
      <c r="E151" t="s">
        <v>16</v>
      </c>
      <c r="F151" s="9">
        <v>44041</v>
      </c>
      <c r="H151">
        <f>H150+C151</f>
        <v>142997.45709658714</v>
      </c>
      <c r="CH151">
        <v>11</v>
      </c>
      <c r="CI151" t="s">
        <v>33</v>
      </c>
      <c r="CJ151" s="8">
        <v>43943</v>
      </c>
      <c r="CK151">
        <v>201</v>
      </c>
      <c r="CL151">
        <v>944</v>
      </c>
      <c r="CM151">
        <v>30</v>
      </c>
    </row>
    <row r="152" spans="1:206" ht="20">
      <c r="C152">
        <f>H151*D152</f>
        <v>2600.0441545544154</v>
      </c>
      <c r="D152">
        <f>D151</f>
        <v>0.018182450285099998</v>
      </c>
      <c r="E152" t="s">
        <v>17</v>
      </c>
      <c r="F152" s="9">
        <v>44042</v>
      </c>
      <c r="H152">
        <f>H151+C152</f>
        <v>145597.50125114154</v>
      </c>
      <c r="S152" s="1"/>
      <c r="U152" s="1"/>
      <c r="V152" s="1"/>
      <c r="W152" s="1"/>
      <c r="X152" s="1"/>
      <c r="Y152" s="1"/>
      <c r="Z152" s="1"/>
      <c r="AB152" s="1"/>
      <c r="AC152" s="1"/>
      <c r="AD152" s="1"/>
      <c r="AE152" s="1"/>
      <c r="AF152" s="1"/>
      <c r="AG152" s="1"/>
      <c r="AI152" s="1"/>
      <c r="CH152">
        <v>11</v>
      </c>
      <c r="CI152" t="s">
        <v>33</v>
      </c>
      <c r="CJ152" s="8">
        <v>43944</v>
      </c>
      <c r="CK152">
        <v>205</v>
      </c>
      <c r="CL152">
        <v>962</v>
      </c>
      <c r="CM152">
        <v>31</v>
      </c>
    </row>
    <row r="153" spans="1:206" ht="20">
      <c r="C153">
        <f>H152*D153</f>
        <v>2647.3193281336657</v>
      </c>
      <c r="D153">
        <f>D152</f>
        <v>0.018182450285099998</v>
      </c>
      <c r="E153" t="s">
        <v>18</v>
      </c>
      <c r="F153" s="9">
        <v>44043</v>
      </c>
      <c r="H153">
        <f>H152+C153</f>
        <v>148244.8205792752</v>
      </c>
      <c r="S153" s="1"/>
      <c r="U153" s="1"/>
      <c r="V153" s="1"/>
      <c r="W153" s="1"/>
      <c r="X153" s="1"/>
      <c r="Y153" s="1"/>
      <c r="Z153" s="1"/>
      <c r="AB153" s="1"/>
      <c r="AC153" s="1"/>
      <c r="AD153" s="1"/>
      <c r="AE153" s="1"/>
      <c r="AF153" s="1"/>
      <c r="AG153" s="1"/>
      <c r="AI153" s="1"/>
      <c r="CH153">
        <v>11</v>
      </c>
      <c r="CI153" t="s">
        <v>33</v>
      </c>
      <c r="CJ153" s="8">
        <v>43945</v>
      </c>
      <c r="CK153">
        <v>215</v>
      </c>
      <c r="CL153">
        <v>1009</v>
      </c>
      <c r="CM153">
        <v>33</v>
      </c>
    </row>
    <row r="154" spans="1:206" ht="20">
      <c r="C154">
        <f>H153*D154</f>
        <v>2695.4540802062406</v>
      </c>
      <c r="D154">
        <f>D153</f>
        <v>0.018182450285099998</v>
      </c>
      <c r="E154" t="s">
        <v>19</v>
      </c>
      <c r="F154" s="9">
        <v>44044</v>
      </c>
      <c r="H154">
        <f>H153+C154</f>
        <v>150940.27465948145</v>
      </c>
      <c r="S154" s="1"/>
      <c r="U154" s="1"/>
      <c r="V154" s="1"/>
      <c r="W154" s="1"/>
      <c r="X154" s="1"/>
      <c r="Y154" s="1"/>
      <c r="Z154" s="1"/>
      <c r="AB154" s="1"/>
      <c r="AC154" s="1"/>
      <c r="AD154" s="1"/>
      <c r="AE154" s="1"/>
      <c r="AF154" s="1"/>
      <c r="AG154" s="1"/>
      <c r="AI154" s="1"/>
      <c r="CH154">
        <v>11</v>
      </c>
      <c r="CI154" t="s">
        <v>33</v>
      </c>
      <c r="CJ154" s="8">
        <v>43946</v>
      </c>
      <c r="CK154">
        <v>227</v>
      </c>
      <c r="CL154">
        <v>1066</v>
      </c>
      <c r="CM154">
        <v>38</v>
      </c>
    </row>
    <row r="155" spans="1:206" ht="20">
      <c r="C155">
        <f>H154*D155</f>
        <v>2744.4640400153608</v>
      </c>
      <c r="D155">
        <f>D154</f>
        <v>0.018182450285099998</v>
      </c>
      <c r="E155" t="s">
        <v>12</v>
      </c>
      <c r="F155" s="9">
        <v>44045</v>
      </c>
      <c r="H155">
        <f>H154+C155</f>
        <v>153684.73869949681</v>
      </c>
      <c r="S155" s="1"/>
      <c r="U155" s="1"/>
      <c r="V155" s="1"/>
      <c r="W155" s="1"/>
      <c r="X155" s="1"/>
      <c r="Y155" s="1"/>
      <c r="Z155" s="1"/>
      <c r="AB155" s="1"/>
      <c r="AC155" s="1"/>
      <c r="AD155" s="1"/>
      <c r="AE155" s="1"/>
      <c r="AF155" s="1"/>
      <c r="AG155" s="1"/>
      <c r="AI155" s="1"/>
      <c r="CH155">
        <v>11</v>
      </c>
      <c r="CI155" t="s">
        <v>33</v>
      </c>
      <c r="CJ155" s="8">
        <v>43947</v>
      </c>
      <c r="CK155">
        <v>233</v>
      </c>
      <c r="CL155">
        <v>1094</v>
      </c>
      <c r="CM155">
        <v>42</v>
      </c>
    </row>
    <row r="156" spans="1:206" ht="20">
      <c r="C156">
        <f>H155*D156</f>
        <v>2794.3651209821846</v>
      </c>
      <c r="D156">
        <f>D155</f>
        <v>0.018182450285099998</v>
      </c>
      <c r="E156" t="s">
        <v>14</v>
      </c>
      <c r="F156" s="9">
        <v>44046</v>
      </c>
      <c r="H156">
        <f>H155+C156</f>
        <v>156479.10382047901</v>
      </c>
      <c r="S156" s="1"/>
      <c r="U156" s="1"/>
      <c r="V156" s="1"/>
      <c r="W156" s="1"/>
      <c r="X156" s="1"/>
      <c r="Y156" s="1"/>
      <c r="Z156" s="1"/>
      <c r="AB156" s="1"/>
      <c r="AC156" s="1"/>
      <c r="AD156" s="1"/>
      <c r="AE156" s="1"/>
      <c r="AF156" s="1"/>
      <c r="AG156" s="1"/>
      <c r="AI156" s="1"/>
      <c r="CH156">
        <v>11</v>
      </c>
      <c r="CI156" t="s">
        <v>33</v>
      </c>
      <c r="CJ156" s="8">
        <v>43948</v>
      </c>
      <c r="CK156">
        <v>241</v>
      </c>
      <c r="CL156">
        <v>1131</v>
      </c>
      <c r="CM156">
        <v>42</v>
      </c>
    </row>
    <row r="157" spans="1:206" ht="20">
      <c r="C157">
        <f>H156*D157</f>
        <v>2845.1735258728609</v>
      </c>
      <c r="D157">
        <f>D156</f>
        <v>0.018182450285099998</v>
      </c>
      <c r="E157" t="s">
        <v>15</v>
      </c>
      <c r="F157" s="9">
        <v>44047</v>
      </c>
      <c r="H157">
        <f>H156+C157</f>
        <v>159324.27734635188</v>
      </c>
      <c r="S157" s="1"/>
      <c r="U157" s="1"/>
      <c r="V157" s="1"/>
      <c r="W157" s="1"/>
      <c r="X157" s="1"/>
      <c r="Y157" s="1"/>
      <c r="Z157" s="1"/>
      <c r="AB157" s="1"/>
      <c r="AC157" s="1"/>
      <c r="AD157" s="1"/>
      <c r="AE157" s="1"/>
      <c r="AF157" s="1"/>
      <c r="AG157" s="1"/>
      <c r="AI157" s="1"/>
      <c r="AX157" s="1"/>
      <c r="AY157" s="1"/>
      <c r="AZ157" s="1"/>
      <c r="BA157" s="1"/>
      <c r="CH157">
        <v>11</v>
      </c>
      <c r="CI157" t="s">
        <v>33</v>
      </c>
      <c r="CJ157" s="8">
        <v>43949</v>
      </c>
      <c r="CK157">
        <v>247</v>
      </c>
      <c r="CL157">
        <v>1160</v>
      </c>
      <c r="CM157">
        <v>46</v>
      </c>
    </row>
    <row r="158" spans="1:206" ht="20">
      <c r="C158">
        <f>H157*D158</f>
        <v>2896.905752059527</v>
      </c>
      <c r="D158">
        <f>D157</f>
        <v>0.018182450285099998</v>
      </c>
      <c r="E158" t="s">
        <v>16</v>
      </c>
      <c r="F158" s="9">
        <v>44048</v>
      </c>
      <c r="H158">
        <f>H157+C158</f>
        <v>162221.18309841142</v>
      </c>
      <c r="S158" s="1"/>
      <c r="U158" s="1"/>
      <c r="V158" s="1"/>
      <c r="W158" s="1"/>
      <c r="X158" s="1"/>
      <c r="Y158" s="1"/>
      <c r="Z158" s="1"/>
      <c r="AB158" s="1"/>
      <c r="AC158" s="1"/>
      <c r="AD158" s="1"/>
      <c r="AE158" s="1"/>
      <c r="AF158" s="1"/>
      <c r="AG158" s="1"/>
      <c r="AI158" s="1"/>
      <c r="AX158" s="1"/>
      <c r="AY158" s="1"/>
      <c r="AZ158" s="1"/>
      <c r="BA158" s="1"/>
      <c r="CH158">
        <v>11</v>
      </c>
      <c r="CI158" t="s">
        <v>33</v>
      </c>
      <c r="CJ158" s="8">
        <v>43950</v>
      </c>
      <c r="CK158">
        <v>252</v>
      </c>
      <c r="CL158">
        <v>1183</v>
      </c>
      <c r="CM158">
        <v>47</v>
      </c>
    </row>
    <row r="159" spans="1:206" ht="19.5">
      <c r="C159">
        <f>H158*D159</f>
        <v>2949.5785968769696</v>
      </c>
      <c r="D159">
        <f>D158</f>
        <v>0.018182450285099998</v>
      </c>
      <c r="E159" t="s">
        <v>17</v>
      </c>
      <c r="F159" s="9">
        <v>44049</v>
      </c>
      <c r="H159">
        <f>H158+C159</f>
        <v>165170.76169528838</v>
      </c>
      <c r="S159" s="1"/>
      <c r="U159" s="1"/>
      <c r="V159" s="1"/>
      <c r="W159" s="1"/>
      <c r="X159" s="1"/>
      <c r="Y159" s="1"/>
      <c r="Z159" s="1"/>
      <c r="AB159" s="1"/>
      <c r="AC159" s="1"/>
      <c r="AD159" s="1"/>
      <c r="AE159" s="1"/>
      <c r="AF159" s="1"/>
      <c r="AG159" s="1"/>
      <c r="AI159" s="1"/>
      <c r="AX159" s="1"/>
      <c r="AY159" s="1"/>
      <c r="AZ159" s="1"/>
      <c r="BA159" s="1"/>
      <c r="CH159">
        <v>11</v>
      </c>
      <c r="CI159" t="s">
        <v>33</v>
      </c>
      <c r="CJ159" s="8">
        <v>43951</v>
      </c>
      <c r="CK159">
        <v>265</v>
      </c>
      <c r="CL159">
        <v>1244</v>
      </c>
      <c r="CM159">
        <v>50</v>
      </c>
    </row>
    <row r="160" spans="1:206" ht="19.5">
      <c r="C160">
        <f>H159*D160</f>
        <v>3003.2091630766804</v>
      </c>
      <c r="D160">
        <f>D159</f>
        <v>0.018182450285099998</v>
      </c>
      <c r="E160" t="s">
        <v>18</v>
      </c>
      <c r="F160" s="9">
        <v>44050</v>
      </c>
      <c r="H160">
        <f>H159+C160</f>
        <v>168173.97085836506</v>
      </c>
      <c r="S160" s="1"/>
      <c r="U160" s="1"/>
      <c r="V160" s="1"/>
      <c r="W160" s="1"/>
      <c r="X160" s="1"/>
      <c r="Y160" s="1"/>
      <c r="Z160" s="1"/>
      <c r="AB160" s="1"/>
      <c r="AC160" s="1"/>
      <c r="AD160" s="1"/>
      <c r="AE160" s="1"/>
      <c r="AF160" s="1"/>
      <c r="AG160" s="1"/>
      <c r="AI160" s="1"/>
      <c r="AX160" s="1"/>
      <c r="AY160" s="1"/>
      <c r="AZ160" s="1"/>
      <c r="BA160" s="1"/>
      <c r="CH160">
        <v>12</v>
      </c>
      <c r="CI160" t="s">
        <v>34</v>
      </c>
      <c r="CJ160" s="8">
        <v>43914</v>
      </c>
      <c r="CK160">
        <v>1</v>
      </c>
      <c r="CM160">
        <v>0</v>
      </c>
    </row>
    <row r="161" spans="1:206" ht="19.5">
      <c r="C161">
        <f>H160*D161</f>
        <v>3057.8148643800787</v>
      </c>
      <c r="D161">
        <f>D160</f>
        <v>0.018182450285099998</v>
      </c>
      <c r="E161" t="s">
        <v>19</v>
      </c>
      <c r="F161" s="9">
        <v>44051</v>
      </c>
      <c r="H161">
        <f>H160+C161</f>
        <v>171231.78572274515</v>
      </c>
      <c r="S161" s="1"/>
      <c r="U161" s="1"/>
      <c r="V161" s="1"/>
      <c r="W161" s="1"/>
      <c r="X161" s="1"/>
      <c r="Y161" s="1"/>
      <c r="Z161" s="1"/>
      <c r="AB161" s="1"/>
      <c r="AC161" s="1"/>
      <c r="AD161" s="1"/>
      <c r="AE161" s="1"/>
      <c r="AF161" s="1"/>
      <c r="AG161" s="1"/>
      <c r="AI161" s="1"/>
      <c r="AX161" s="1"/>
      <c r="AY161" s="1"/>
      <c r="AZ161" s="1"/>
      <c r="BA161" s="1"/>
      <c r="CH161">
        <v>12</v>
      </c>
      <c r="CI161" t="s">
        <v>34</v>
      </c>
      <c r="CJ161" s="8">
        <v>43915</v>
      </c>
      <c r="CK161">
        <v>2</v>
      </c>
      <c r="CM161">
        <v>0</v>
      </c>
    </row>
    <row r="162" spans="1:206" ht="19.5">
      <c r="C162">
        <f>H161*D162</f>
        <v>3113.4134311327093</v>
      </c>
      <c r="D162">
        <f>D161</f>
        <v>0.018182450285099998</v>
      </c>
      <c r="E162" t="s">
        <v>12</v>
      </c>
      <c r="F162" s="9">
        <v>44052</v>
      </c>
      <c r="H162">
        <f>H161+C162</f>
        <v>174345.19915387785</v>
      </c>
      <c r="S162" s="1"/>
      <c r="U162" s="1"/>
      <c r="V162" s="1"/>
      <c r="W162" s="1"/>
      <c r="X162" s="1"/>
      <c r="Y162" s="1"/>
      <c r="Z162" s="1"/>
      <c r="AB162" s="1"/>
      <c r="AC162" s="1"/>
      <c r="AD162" s="1"/>
      <c r="AE162" s="1"/>
      <c r="AF162" s="1"/>
      <c r="AG162" s="1"/>
      <c r="AI162" s="1"/>
      <c r="AX162" s="1"/>
      <c r="AY162" s="1"/>
      <c r="AZ162" s="1"/>
      <c r="BA162" s="1"/>
      <c r="CH162">
        <v>12</v>
      </c>
      <c r="CI162" t="s">
        <v>34</v>
      </c>
      <c r="CJ162" s="8">
        <v>43916</v>
      </c>
      <c r="CK162">
        <v>2</v>
      </c>
      <c r="CM162">
        <v>0</v>
      </c>
    </row>
    <row r="163" spans="1:206" ht="19.5">
      <c r="C163">
        <f>H162*D163</f>
        <v>3170.0229160612425</v>
      </c>
      <c r="D163">
        <f>D162</f>
        <v>0.018182450285099998</v>
      </c>
      <c r="E163" t="s">
        <v>14</v>
      </c>
      <c r="F163" s="9">
        <v>44053</v>
      </c>
      <c r="H163">
        <f>H162+C163</f>
        <v>177515.2220699391</v>
      </c>
      <c r="S163" s="1"/>
      <c r="U163" s="1"/>
      <c r="V163" s="1"/>
      <c r="W163" s="1"/>
      <c r="X163" s="1"/>
      <c r="Y163" s="1"/>
      <c r="Z163" s="1"/>
      <c r="AB163" s="1"/>
      <c r="AC163" s="1"/>
      <c r="AD163" s="1"/>
      <c r="AE163" s="1"/>
      <c r="AF163" s="1"/>
      <c r="AG163" s="1"/>
      <c r="AI163" s="1"/>
      <c r="AM163" s="1"/>
      <c r="AW163" s="1"/>
      <c r="AX163" s="1"/>
      <c r="AY163" s="1"/>
      <c r="AZ163" s="1"/>
      <c r="BA163" s="1"/>
      <c r="BE163" s="1"/>
      <c r="CH163">
        <v>12</v>
      </c>
      <c r="CI163" t="s">
        <v>34</v>
      </c>
      <c r="CJ163" s="8">
        <v>43917</v>
      </c>
      <c r="CK163">
        <v>2</v>
      </c>
      <c r="CM163">
        <v>0</v>
      </c>
    </row>
    <row r="164" spans="1:206" ht="19.5">
      <c r="C164">
        <f>H163*D164</f>
        <v>3227.6617001351538</v>
      </c>
      <c r="D164">
        <f>D163</f>
        <v>0.018182450285099998</v>
      </c>
      <c r="E164" t="s">
        <v>15</v>
      </c>
      <c r="F164" s="9">
        <v>44054</v>
      </c>
      <c r="H164">
        <f>H163+C164</f>
        <v>180742.88377007426</v>
      </c>
      <c r="S164" s="1"/>
      <c r="U164" s="1"/>
      <c r="V164" s="1"/>
      <c r="W164" s="1"/>
      <c r="X164" s="1"/>
      <c r="Y164" s="1"/>
      <c r="Z164" s="1"/>
      <c r="AB164" s="1"/>
      <c r="AC164" s="1"/>
      <c r="AD164" s="1"/>
      <c r="AE164" s="1"/>
      <c r="AF164" s="1"/>
      <c r="AG164" s="1"/>
      <c r="AI164" s="1"/>
      <c r="AX164" s="1"/>
      <c r="AY164" s="1"/>
      <c r="AZ164" s="1"/>
      <c r="BA164" s="1"/>
      <c r="CH164">
        <v>12</v>
      </c>
      <c r="CI164" t="s">
        <v>34</v>
      </c>
      <c r="CJ164" s="8">
        <v>43918</v>
      </c>
      <c r="CK164">
        <v>2</v>
      </c>
      <c r="CM164">
        <v>0</v>
      </c>
    </row>
    <row r="165" spans="1:206" ht="19.5">
      <c r="C165">
        <f>H164*D165</f>
        <v>3286.3484985349828</v>
      </c>
      <c r="D165">
        <f>D164</f>
        <v>0.018182450285099998</v>
      </c>
      <c r="E165" t="s">
        <v>16</v>
      </c>
      <c r="F165" s="9">
        <v>44055</v>
      </c>
      <c r="H165">
        <f>H164+C165</f>
        <v>184029.23226860925</v>
      </c>
      <c r="S165" s="1"/>
      <c r="U165" s="1"/>
      <c r="V165" s="1"/>
      <c r="W165" s="1"/>
      <c r="X165" s="1"/>
      <c r="Y165" s="1"/>
      <c r="Z165" s="1"/>
      <c r="AB165" s="1"/>
      <c r="AC165" s="1"/>
      <c r="AD165" s="1"/>
      <c r="AE165" s="1"/>
      <c r="AF165" s="1"/>
      <c r="AG165" s="1"/>
      <c r="AI165" s="1"/>
      <c r="AX165" s="1"/>
      <c r="AY165" s="1"/>
      <c r="AZ165" s="1"/>
      <c r="BA165" s="1"/>
      <c r="CH165">
        <v>12</v>
      </c>
      <c r="CI165" t="s">
        <v>34</v>
      </c>
      <c r="CJ165" s="8">
        <v>43919</v>
      </c>
      <c r="CK165">
        <v>2</v>
      </c>
      <c r="CM165">
        <v>0</v>
      </c>
      <c r="DR165" s="4"/>
    </row>
    <row r="166" spans="1:206" ht="19.5">
      <c r="C166">
        <f>H165*D166</f>
        <v>3346.1023667291083</v>
      </c>
      <c r="D166">
        <f>D165</f>
        <v>0.018182450285099998</v>
      </c>
      <c r="E166" t="s">
        <v>17</v>
      </c>
      <c r="F166" s="9">
        <v>44056</v>
      </c>
      <c r="H166">
        <f>H165+C166</f>
        <v>187375.33463533837</v>
      </c>
      <c r="S166" s="1"/>
      <c r="U166" s="1"/>
      <c r="V166" s="1"/>
      <c r="W166" s="1"/>
      <c r="X166" s="1"/>
      <c r="Y166" s="1"/>
      <c r="Z166" s="1"/>
      <c r="AB166" s="1"/>
      <c r="AC166" s="1"/>
      <c r="AD166" s="1"/>
      <c r="AE166" s="1"/>
      <c r="AF166" s="1"/>
      <c r="AG166" s="1"/>
      <c r="AI166" s="1"/>
      <c r="AX166" s="1"/>
      <c r="AY166" s="1"/>
      <c r="AZ166" s="1"/>
      <c r="BA166" s="1"/>
      <c r="CH166">
        <v>12</v>
      </c>
      <c r="CI166" t="s">
        <v>34</v>
      </c>
      <c r="CJ166" s="8">
        <v>43920</v>
      </c>
      <c r="CK166">
        <v>2</v>
      </c>
      <c r="CM166">
        <v>0</v>
      </c>
    </row>
    <row r="167" spans="1:206" ht="19.5">
      <c r="C167">
        <f>H166*D167</f>
        <v>3406.9427066610156</v>
      </c>
      <c r="D167">
        <f>D166</f>
        <v>0.018182450285099998</v>
      </c>
      <c r="E167" t="s">
        <v>18</v>
      </c>
      <c r="F167" s="9">
        <v>44057</v>
      </c>
      <c r="H167">
        <f>H166+C167</f>
        <v>190782.27734199938</v>
      </c>
      <c r="S167" s="1"/>
      <c r="U167" s="1"/>
      <c r="V167" s="1"/>
      <c r="W167" s="1"/>
      <c r="X167" s="1"/>
      <c r="Y167" s="1"/>
      <c r="Z167" s="1"/>
      <c r="AB167" s="1"/>
      <c r="AC167" s="1"/>
      <c r="AD167" s="1"/>
      <c r="AE167" s="1"/>
      <c r="AF167" s="1"/>
      <c r="AG167" s="1"/>
      <c r="AI167" s="1"/>
      <c r="AX167" s="1"/>
      <c r="AY167" s="1"/>
      <c r="AZ167" s="1"/>
      <c r="BA167" s="1"/>
      <c r="CH167">
        <v>12</v>
      </c>
      <c r="CI167" t="s">
        <v>34</v>
      </c>
      <c r="CJ167" s="8">
        <v>43921</v>
      </c>
      <c r="CK167">
        <v>2</v>
      </c>
      <c r="CM167">
        <v>2</v>
      </c>
    </row>
    <row r="168" spans="1:206" ht="19.5">
      <c r="C168">
        <f>H167*D168</f>
        <v>3468.8892730490634</v>
      </c>
      <c r="D168">
        <f>D167</f>
        <v>0.018182450285099998</v>
      </c>
      <c r="E168" t="s">
        <v>19</v>
      </c>
      <c r="F168" s="9">
        <v>44058</v>
      </c>
      <c r="H168">
        <f>H167+C168</f>
        <v>194251.16661504845</v>
      </c>
      <c r="S168" s="1"/>
      <c r="U168" s="1"/>
      <c r="V168" s="1"/>
      <c r="W168" s="1"/>
      <c r="X168" s="1"/>
      <c r="Y168" s="1"/>
      <c r="Z168" s="1"/>
      <c r="AB168" s="1"/>
      <c r="AC168" s="1"/>
      <c r="AD168" s="1"/>
      <c r="AE168" s="1"/>
      <c r="AF168" s="1"/>
      <c r="AG168" s="1"/>
      <c r="AI168" s="1"/>
      <c r="AX168" s="1"/>
      <c r="AY168" s="1"/>
      <c r="AZ168" s="1"/>
      <c r="BA168" s="1"/>
      <c r="CH168">
        <v>12</v>
      </c>
      <c r="CI168" t="s">
        <v>34</v>
      </c>
      <c r="CJ168" s="8">
        <v>43922</v>
      </c>
      <c r="CK168">
        <v>2</v>
      </c>
      <c r="CM168">
        <v>2</v>
      </c>
    </row>
    <row r="169" spans="1:206" ht="19.5">
      <c r="C169">
        <f>H168*D169</f>
        <v>3531.9621798007952</v>
      </c>
      <c r="D169">
        <f>D168</f>
        <v>0.018182450285099998</v>
      </c>
      <c r="E169" t="s">
        <v>12</v>
      </c>
      <c r="F169" s="9">
        <v>44059</v>
      </c>
      <c r="H169">
        <f>H168+C169</f>
        <v>197783.12879484924</v>
      </c>
      <c r="S169" s="1"/>
      <c r="U169" s="1"/>
      <c r="V169" s="1"/>
      <c r="W169" s="1"/>
      <c r="X169" s="1"/>
      <c r="Y169" s="1"/>
      <c r="Z169" s="1"/>
      <c r="AB169" s="1"/>
      <c r="AC169" s="1"/>
      <c r="AD169" s="1"/>
      <c r="AE169" s="1"/>
      <c r="AF169" s="1"/>
      <c r="AG169" s="1"/>
      <c r="AI169" s="1"/>
      <c r="AX169" s="1"/>
      <c r="AY169" s="1"/>
      <c r="AZ169" s="1"/>
      <c r="BA169" s="1"/>
      <c r="CH169">
        <v>12</v>
      </c>
      <c r="CI169" t="s">
        <v>34</v>
      </c>
      <c r="CJ169" s="8">
        <v>43923</v>
      </c>
      <c r="CK169">
        <v>3</v>
      </c>
      <c r="CM169">
        <v>2</v>
      </c>
    </row>
    <row r="170" spans="1:206" ht="19.5">
      <c r="C170">
        <f>H169*D170</f>
        <v>3596.1819065438763</v>
      </c>
      <c r="D170">
        <f>D169</f>
        <v>0.018182450285099998</v>
      </c>
      <c r="E170" t="s">
        <v>14</v>
      </c>
      <c r="F170" s="9">
        <v>44060</v>
      </c>
      <c r="H170">
        <f>H169+C170</f>
        <v>201379.31070139311</v>
      </c>
      <c r="S170" s="1"/>
      <c r="U170" s="1"/>
      <c r="V170" s="1"/>
      <c r="W170" s="1"/>
      <c r="X170" s="1"/>
      <c r="Y170" s="1"/>
      <c r="Z170" s="1"/>
      <c r="AB170" s="1"/>
      <c r="AC170" s="1"/>
      <c r="AD170" s="1"/>
      <c r="AE170" s="1"/>
      <c r="AF170" s="1"/>
      <c r="AG170" s="1"/>
      <c r="AI170" s="1"/>
      <c r="AX170" s="1"/>
      <c r="AY170" s="1"/>
      <c r="AZ170" s="1"/>
      <c r="BA170" s="1"/>
      <c r="CH170">
        <v>12</v>
      </c>
      <c r="CI170" t="s">
        <v>34</v>
      </c>
      <c r="CJ170" s="8">
        <v>43924</v>
      </c>
      <c r="CK170">
        <v>4</v>
      </c>
      <c r="CM170">
        <v>2</v>
      </c>
    </row>
    <row r="171" spans="1:206" ht="19.5">
      <c r="C171">
        <f>H170*D171</f>
        <v>3661.5693052757865</v>
      </c>
      <c r="D171">
        <f>D170</f>
        <v>0.018182450285099998</v>
      </c>
      <c r="E171" t="s">
        <v>15</v>
      </c>
      <c r="F171" s="9">
        <v>44061</v>
      </c>
      <c r="H171">
        <f>H170+C171</f>
        <v>205040.88000666891</v>
      </c>
      <c r="S171" s="1"/>
      <c r="U171" s="1"/>
      <c r="V171" s="1"/>
      <c r="W171" s="1"/>
      <c r="X171" s="1"/>
      <c r="Y171" s="1"/>
      <c r="Z171" s="1"/>
      <c r="AB171" s="1"/>
      <c r="AC171" s="1"/>
      <c r="AD171" s="1"/>
      <c r="AE171" s="1"/>
      <c r="AF171" s="1"/>
      <c r="AG171" s="1"/>
      <c r="AI171" s="1"/>
      <c r="AY171" s="1"/>
      <c r="CH171">
        <v>12</v>
      </c>
      <c r="CI171" t="s">
        <v>34</v>
      </c>
      <c r="CJ171" s="8">
        <v>43925</v>
      </c>
      <c r="CK171">
        <v>4</v>
      </c>
      <c r="CM171">
        <v>2</v>
      </c>
    </row>
    <row r="172" spans="1:206" ht="19.5">
      <c r="C172">
        <f>H171*D172</f>
        <v>3728.1456071344119</v>
      </c>
      <c r="D172">
        <f>D171</f>
        <v>0.018182450285099998</v>
      </c>
      <c r="E172" t="s">
        <v>16</v>
      </c>
      <c r="F172" s="9">
        <v>44062</v>
      </c>
      <c r="H172">
        <f>H171+C172</f>
        <v>208769.02561380333</v>
      </c>
      <c r="S172" s="1"/>
      <c r="U172" s="1"/>
      <c r="V172" s="1"/>
      <c r="W172" s="1"/>
      <c r="X172" s="1"/>
      <c r="Y172" s="1"/>
      <c r="Z172" s="1"/>
      <c r="AB172" s="1"/>
      <c r="AC172" s="1"/>
      <c r="AD172" s="1"/>
      <c r="AE172" s="1"/>
      <c r="AF172" s="1"/>
      <c r="AG172" s="1"/>
      <c r="AI172" s="1"/>
      <c r="CH172">
        <v>12</v>
      </c>
      <c r="CI172" t="s">
        <v>34</v>
      </c>
      <c r="CJ172" s="8">
        <v>43926</v>
      </c>
      <c r="CK172">
        <v>4</v>
      </c>
      <c r="CM172">
        <v>2</v>
      </c>
    </row>
    <row r="173" spans="1:206" ht="19.5">
      <c r="C173">
        <f>H172*D173</f>
        <v>3795.9324292917472</v>
      </c>
      <c r="D173">
        <f>D172</f>
        <v>0.018182450285099998</v>
      </c>
      <c r="E173" t="s">
        <v>17</v>
      </c>
      <c r="F173" s="9">
        <v>44063</v>
      </c>
      <c r="H173">
        <f>H172+C173</f>
        <v>212564.95804309507</v>
      </c>
      <c r="S173" s="1"/>
      <c r="U173" s="1"/>
      <c r="V173" s="1"/>
      <c r="W173" s="1"/>
      <c r="X173" s="1"/>
      <c r="Y173" s="1"/>
      <c r="Z173" s="1"/>
      <c r="AB173" s="1"/>
      <c r="AC173" s="1"/>
      <c r="AD173" s="1"/>
      <c r="AE173" s="1"/>
      <c r="AF173" s="1"/>
      <c r="AG173" s="1"/>
      <c r="AI173" s="1"/>
      <c r="CH173">
        <v>12</v>
      </c>
      <c r="CI173" t="s">
        <v>34</v>
      </c>
      <c r="CJ173" s="8">
        <v>43927</v>
      </c>
      <c r="CK173">
        <v>5</v>
      </c>
      <c r="CM173">
        <v>2</v>
      </c>
    </row>
    <row r="174" spans="1:206" ht="19.5">
      <c r="C174">
        <f>H173*D174</f>
        <v>3864.9517819729431</v>
      </c>
      <c r="D174">
        <f>D173</f>
        <v>0.018182450285099998</v>
      </c>
      <c r="E174" t="s">
        <v>18</v>
      </c>
      <c r="F174" s="9">
        <v>44064</v>
      </c>
      <c r="H174">
        <f>H173+C174</f>
        <v>216429.90982506803</v>
      </c>
      <c r="S174" s="1"/>
      <c r="U174" s="1"/>
      <c r="V174" s="1"/>
      <c r="W174" s="1"/>
      <c r="X174" s="1"/>
      <c r="Y174" s="1"/>
      <c r="Z174" s="1"/>
      <c r="AB174" s="1"/>
      <c r="AC174" s="1"/>
      <c r="AD174" s="1"/>
      <c r="AE174" s="1"/>
      <c r="AF174" s="1"/>
      <c r="AG174" s="1"/>
      <c r="AI174" s="1"/>
      <c r="AJ174" s="1"/>
      <c r="CH174">
        <v>12</v>
      </c>
      <c r="CI174" t="s">
        <v>34</v>
      </c>
      <c r="CJ174" s="8">
        <v>43928</v>
      </c>
      <c r="CK174">
        <v>5</v>
      </c>
      <c r="CM174">
        <v>2</v>
      </c>
    </row>
    <row r="175" spans="1:206" ht="19.5">
      <c r="C175">
        <f>H174*D175</f>
        <v>3935.226075602975</v>
      </c>
      <c r="D175">
        <f>D174</f>
        <v>0.018182450285099998</v>
      </c>
      <c r="E175" t="s">
        <v>19</v>
      </c>
      <c r="F175" s="9">
        <v>44065</v>
      </c>
      <c r="H175">
        <f>H174+C175</f>
        <v>220365.13590067101</v>
      </c>
      <c r="S175" s="1"/>
      <c r="U175" s="1"/>
      <c r="V175" s="1"/>
      <c r="W175" s="1"/>
      <c r="X175" s="1"/>
      <c r="Y175" s="1"/>
      <c r="Z175" s="1"/>
      <c r="AB175" s="1"/>
      <c r="AC175" s="1"/>
      <c r="AD175" s="1"/>
      <c r="AE175" s="1"/>
      <c r="AF175" s="1"/>
      <c r="AG175" s="1"/>
      <c r="AI175" s="1"/>
      <c r="AJ175" s="1"/>
      <c r="CH175">
        <v>12</v>
      </c>
      <c r="CI175" t="s">
        <v>34</v>
      </c>
      <c r="CJ175" s="8">
        <v>43929</v>
      </c>
      <c r="CK175">
        <v>5</v>
      </c>
      <c r="CM175">
        <v>2</v>
      </c>
    </row>
    <row r="176" spans="1:206" ht="19.5">
      <c r="C176">
        <f>H175*D176</f>
        <v>4006.7781280832555</v>
      </c>
      <c r="D176">
        <f>D175</f>
        <v>0.018182450285099998</v>
      </c>
      <c r="E176" t="s">
        <v>12</v>
      </c>
      <c r="F176" s="9">
        <v>44066</v>
      </c>
      <c r="H176">
        <f>H175+C176</f>
        <v>224371.91402875425</v>
      </c>
      <c r="S176" s="1"/>
      <c r="U176" s="1"/>
      <c r="V176" s="1"/>
      <c r="W176" s="1"/>
      <c r="X176" s="1"/>
      <c r="Y176" s="1"/>
      <c r="Z176" s="1"/>
      <c r="AB176" s="1"/>
      <c r="AC176" s="1"/>
      <c r="AD176" s="1"/>
      <c r="AE176" s="1"/>
      <c r="AF176" s="1"/>
      <c r="AG176" s="1"/>
      <c r="AI176" s="1"/>
      <c r="AJ176" s="1"/>
      <c r="CH176">
        <v>12</v>
      </c>
      <c r="CI176" t="s">
        <v>34</v>
      </c>
      <c r="CJ176" s="8">
        <v>43930</v>
      </c>
      <c r="CK176">
        <v>6</v>
      </c>
      <c r="CM176">
        <v>2</v>
      </c>
    </row>
    <row r="177" spans="1:206" ht="19.5">
      <c r="C177">
        <f>H176*D177</f>
        <v>4079.6311722005553</v>
      </c>
      <c r="D177">
        <f>D176</f>
        <v>0.018182450285099998</v>
      </c>
      <c r="E177" t="s">
        <v>14</v>
      </c>
      <c r="F177" s="9">
        <v>44067</v>
      </c>
      <c r="H177">
        <f>H176+C177</f>
        <v>228451.5452009548</v>
      </c>
      <c r="S177" s="1"/>
      <c r="U177" s="1"/>
      <c r="V177" s="1"/>
      <c r="W177" s="1"/>
      <c r="X177" s="1"/>
      <c r="Y177" s="1"/>
      <c r="Z177" s="1"/>
      <c r="AB177" s="1"/>
      <c r="AC177" s="1"/>
      <c r="AD177" s="1"/>
      <c r="AE177" s="1"/>
      <c r="AF177" s="1"/>
      <c r="AG177" s="1"/>
      <c r="AI177" s="1"/>
      <c r="AJ177" s="1"/>
      <c r="CH177">
        <v>12</v>
      </c>
      <c r="CI177" t="s">
        <v>34</v>
      </c>
      <c r="CJ177" s="8">
        <v>43931</v>
      </c>
      <c r="CK177">
        <v>6</v>
      </c>
      <c r="CM177">
        <v>2</v>
      </c>
    </row>
    <row r="178" spans="1:206" ht="19.5">
      <c r="C178">
        <f>H177*D178</f>
        <v>4153.808863170636</v>
      </c>
      <c r="D178">
        <f>D177</f>
        <v>0.018182450285099998</v>
      </c>
      <c r="E178" t="s">
        <v>15</v>
      </c>
      <c r="F178" s="9">
        <v>44068</v>
      </c>
      <c r="H178">
        <f>H177+C178</f>
        <v>232605.35406412545</v>
      </c>
      <c r="S178" s="1"/>
      <c r="U178" s="1"/>
      <c r="V178" s="1"/>
      <c r="W178" s="1"/>
      <c r="X178" s="1"/>
      <c r="Y178" s="1"/>
      <c r="Z178" s="1"/>
      <c r="AB178" s="1"/>
      <c r="AC178" s="1"/>
      <c r="AD178" s="1"/>
      <c r="AE178" s="1"/>
      <c r="AF178" s="1"/>
      <c r="AG178" s="1"/>
      <c r="AI178" s="1"/>
      <c r="AJ178" s="1"/>
      <c r="CH178">
        <v>12</v>
      </c>
      <c r="CI178" t="s">
        <v>34</v>
      </c>
      <c r="CJ178" s="8">
        <v>43932</v>
      </c>
      <c r="CK178">
        <v>6</v>
      </c>
      <c r="CM178">
        <v>2</v>
      </c>
    </row>
    <row r="179" spans="1:206" ht="19.5">
      <c r="C179">
        <f>H178*D179</f>
        <v>4229.3352863190439</v>
      </c>
      <c r="D179">
        <f>D178</f>
        <v>0.018182450285099998</v>
      </c>
      <c r="E179" t="s">
        <v>16</v>
      </c>
      <c r="F179" s="9">
        <v>44069</v>
      </c>
      <c r="H179">
        <f>H178+C179</f>
        <v>236834.6893504445</v>
      </c>
      <c r="S179" s="1"/>
      <c r="U179" s="1"/>
      <c r="V179" s="1"/>
      <c r="W179" s="1"/>
      <c r="X179" s="1"/>
      <c r="Y179" s="1"/>
      <c r="Z179" s="1"/>
      <c r="AB179" s="1"/>
      <c r="AC179" s="1"/>
      <c r="AD179" s="1"/>
      <c r="AE179" s="1"/>
      <c r="AF179" s="1"/>
      <c r="AG179" s="1"/>
      <c r="AI179" s="1"/>
      <c r="AJ179" s="1"/>
      <c r="CH179">
        <v>12</v>
      </c>
      <c r="CI179" t="s">
        <v>34</v>
      </c>
      <c r="CJ179" s="8">
        <v>43933</v>
      </c>
      <c r="CK179">
        <v>8</v>
      </c>
      <c r="CM179">
        <v>2</v>
      </c>
    </row>
    <row r="180" spans="1:206" ht="19.5">
      <c r="C180">
        <f>H179*D180</f>
        <v>4306.2349649015596</v>
      </c>
      <c r="D180">
        <f>D179</f>
        <v>0.018182450285099998</v>
      </c>
      <c r="E180" t="s">
        <v>17</v>
      </c>
      <c r="F180" s="9">
        <v>44070</v>
      </c>
      <c r="H180">
        <f>H179+C180</f>
        <v>241140.92431534606</v>
      </c>
      <c r="S180" s="1"/>
      <c r="U180" s="1"/>
      <c r="V180" s="1"/>
      <c r="W180" s="1"/>
      <c r="X180" s="1"/>
      <c r="Y180" s="1"/>
      <c r="Z180" s="1"/>
      <c r="AB180" s="1"/>
      <c r="AC180" s="1"/>
      <c r="AD180" s="1"/>
      <c r="AE180" s="1"/>
      <c r="AF180" s="1"/>
      <c r="AG180" s="1"/>
      <c r="AI180" s="1"/>
      <c r="AJ180" s="1"/>
      <c r="CH180">
        <v>12</v>
      </c>
      <c r="CI180" t="s">
        <v>34</v>
      </c>
      <c r="CJ180" s="8">
        <v>43934</v>
      </c>
      <c r="CK180">
        <v>8</v>
      </c>
      <c r="CM180">
        <v>2</v>
      </c>
    </row>
    <row r="181" spans="1:206" ht="19.5">
      <c r="C181">
        <f>H180*D181</f>
        <v>4384.5328680668408</v>
      </c>
      <c r="D181">
        <f>D180</f>
        <v>0.018182450285099998</v>
      </c>
      <c r="E181" t="s">
        <v>18</v>
      </c>
      <c r="F181" s="9">
        <v>44071</v>
      </c>
      <c r="H181">
        <f>H180+C181</f>
        <v>245525.45718341289</v>
      </c>
      <c r="S181" s="1"/>
      <c r="U181" s="1"/>
      <c r="V181" s="1"/>
      <c r="W181" s="1"/>
      <c r="X181" s="1"/>
      <c r="Y181" s="1"/>
      <c r="Z181" s="1"/>
      <c r="AB181" s="1"/>
      <c r="AC181" s="1"/>
      <c r="AD181" s="1"/>
      <c r="AE181" s="1"/>
      <c r="AF181" s="1"/>
      <c r="AG181" s="1"/>
      <c r="AI181" s="1"/>
      <c r="AJ181" s="1"/>
      <c r="CH181">
        <v>12</v>
      </c>
      <c r="CI181" t="s">
        <v>34</v>
      </c>
      <c r="CJ181" s="8">
        <v>43935</v>
      </c>
      <c r="CK181">
        <v>8</v>
      </c>
      <c r="CM181">
        <v>2</v>
      </c>
    </row>
    <row r="182" spans="1:206" ht="19.5">
      <c r="C182">
        <f>H181*D182</f>
        <v>4464.2544189638529</v>
      </c>
      <c r="D182">
        <f>D181</f>
        <v>0.018182450285099998</v>
      </c>
      <c r="E182" t="s">
        <v>19</v>
      </c>
      <c r="F182" s="9">
        <v>44072</v>
      </c>
      <c r="H182">
        <f>H181+C182</f>
        <v>249989.71160237674</v>
      </c>
      <c r="S182" s="1"/>
      <c r="U182" s="1"/>
      <c r="V182" s="1"/>
      <c r="W182" s="1"/>
      <c r="X182" s="1"/>
      <c r="Y182" s="1"/>
      <c r="Z182" s="1"/>
      <c r="AB182" s="1"/>
      <c r="AC182" s="1"/>
      <c r="AD182" s="1"/>
      <c r="AE182" s="1"/>
      <c r="AF182" s="1"/>
      <c r="AG182" s="1"/>
      <c r="AI182" s="1"/>
      <c r="AJ182" s="1"/>
      <c r="CH182">
        <v>12</v>
      </c>
      <c r="CI182" t="s">
        <v>34</v>
      </c>
      <c r="CJ182" s="8">
        <v>43936</v>
      </c>
      <c r="CK182">
        <v>8</v>
      </c>
      <c r="CM182">
        <v>2</v>
      </c>
    </row>
    <row r="183" spans="1:206" ht="19.5">
      <c r="C183">
        <f>H182*D183</f>
        <v>4545.4255029967017</v>
      </c>
      <c r="D183">
        <f>D182</f>
        <v>0.018182450285099998</v>
      </c>
      <c r="E183" t="s">
        <v>12</v>
      </c>
      <c r="F183" s="9">
        <v>44073</v>
      </c>
      <c r="H183">
        <f>H182+C183</f>
        <v>254535.13710537343</v>
      </c>
      <c r="S183" s="1"/>
      <c r="U183" s="1"/>
      <c r="V183" s="1"/>
      <c r="W183" s="1"/>
      <c r="X183" s="1"/>
      <c r="Y183" s="1"/>
      <c r="Z183" s="1"/>
      <c r="AB183" s="1"/>
      <c r="AC183" s="1"/>
      <c r="AD183" s="1"/>
      <c r="AE183" s="1"/>
      <c r="AF183" s="1"/>
      <c r="AG183" s="1"/>
      <c r="AI183" s="1"/>
      <c r="AJ183" s="1"/>
      <c r="CH183">
        <v>12</v>
      </c>
      <c r="CI183" t="s">
        <v>34</v>
      </c>
      <c r="CJ183" s="8">
        <v>43937</v>
      </c>
      <c r="CK183">
        <v>8</v>
      </c>
      <c r="CL183">
        <v>164</v>
      </c>
      <c r="CM183">
        <v>2</v>
      </c>
    </row>
    <row r="184" spans="1:206" ht="19.5">
      <c r="C184">
        <f>H183*D184</f>
        <v>4628.072476229564</v>
      </c>
      <c r="D184">
        <f>D183</f>
        <v>0.018182450285099998</v>
      </c>
      <c r="E184" t="s">
        <v>14</v>
      </c>
      <c r="F184" s="9">
        <v>44074</v>
      </c>
      <c r="H184">
        <f>H183+C184</f>
        <v>259163.20958160301</v>
      </c>
      <c r="S184" s="1"/>
      <c r="U184" s="1"/>
      <c r="V184" s="1"/>
      <c r="W184" s="1"/>
      <c r="X184" s="1"/>
      <c r="Y184" s="1"/>
      <c r="Z184" s="1"/>
      <c r="AB184" s="1"/>
      <c r="AC184" s="1"/>
      <c r="AD184" s="1"/>
      <c r="AE184" s="1"/>
      <c r="AF184" s="1"/>
      <c r="AG184" s="1"/>
      <c r="AI184" s="1"/>
      <c r="AJ184" s="1"/>
      <c r="CH184">
        <v>12</v>
      </c>
      <c r="CI184" t="s">
        <v>34</v>
      </c>
      <c r="CJ184" s="8">
        <v>43938</v>
      </c>
      <c r="CK184">
        <v>9</v>
      </c>
      <c r="CL184">
        <v>184</v>
      </c>
      <c r="CM184">
        <v>2</v>
      </c>
    </row>
    <row r="185" spans="1:206" ht="19.5">
      <c r="C185">
        <f>H184*D185</f>
        <v>4712.2221739444485</v>
      </c>
      <c r="D185">
        <f>D184</f>
        <v>0.018182450285099998</v>
      </c>
      <c r="E185" t="s">
        <v>15</v>
      </c>
      <c r="F185" s="9">
        <v>44075</v>
      </c>
      <c r="H185">
        <f>H184+C185</f>
        <v>263875.43175554747</v>
      </c>
      <c r="S185" s="1"/>
      <c r="U185" s="1"/>
      <c r="V185" s="1"/>
      <c r="W185" s="1"/>
      <c r="X185" s="1"/>
      <c r="Y185" s="1"/>
      <c r="Z185" s="1"/>
      <c r="AB185" s="1"/>
      <c r="AC185" s="1"/>
      <c r="AD185" s="1"/>
      <c r="AE185" s="1"/>
      <c r="AF185" s="1"/>
      <c r="AG185" s="1"/>
      <c r="AI185" s="1"/>
      <c r="AJ185" s="1"/>
      <c r="CH185">
        <v>12</v>
      </c>
      <c r="CI185" t="s">
        <v>34</v>
      </c>
      <c r="CJ185" s="8">
        <v>43939</v>
      </c>
      <c r="CK185">
        <v>9</v>
      </c>
      <c r="CL185">
        <v>184</v>
      </c>
      <c r="CM185">
        <v>2</v>
      </c>
    </row>
    <row r="186" spans="1:206" ht="19.5">
      <c r="C186">
        <f>H185*D186</f>
        <v>4797.9019193545391</v>
      </c>
      <c r="D186">
        <f>D185</f>
        <v>0.018182450285099998</v>
      </c>
      <c r="E186" t="s">
        <v>16</v>
      </c>
      <c r="F186" s="9">
        <v>44076</v>
      </c>
      <c r="H186">
        <f>H185+C186</f>
        <v>268673.33367490198</v>
      </c>
      <c r="S186" s="1"/>
      <c r="U186" s="1"/>
      <c r="V186" s="1"/>
      <c r="W186" s="1"/>
      <c r="X186" s="1"/>
      <c r="Y186" s="1"/>
      <c r="Z186" s="1"/>
      <c r="AB186" s="1"/>
      <c r="AC186" s="1"/>
      <c r="AD186" s="1"/>
      <c r="AE186" s="1"/>
      <c r="AF186" s="1"/>
      <c r="AG186" s="1"/>
      <c r="AI186" s="1"/>
      <c r="AJ186" s="1"/>
      <c r="CH186">
        <v>12</v>
      </c>
      <c r="CI186" t="s">
        <v>34</v>
      </c>
      <c r="CJ186" s="8">
        <v>43940</v>
      </c>
      <c r="CK186">
        <v>9</v>
      </c>
      <c r="CL186">
        <v>184</v>
      </c>
      <c r="CM186">
        <v>2</v>
      </c>
    </row>
    <row r="187" spans="1:206" ht="19.5">
      <c r="C187">
        <f>H186*D187</f>
        <v>4885.1395324759887</v>
      </c>
      <c r="D187">
        <f>D186</f>
        <v>0.018182450285099998</v>
      </c>
      <c r="E187" t="s">
        <v>17</v>
      </c>
      <c r="F187" s="9">
        <v>44077</v>
      </c>
      <c r="H187">
        <f>H186+C187</f>
        <v>273558.47320737795</v>
      </c>
      <c r="S187" s="1"/>
      <c r="U187" s="1"/>
      <c r="V187" s="1"/>
      <c r="W187" s="1"/>
      <c r="X187" s="1"/>
      <c r="Y187" s="1"/>
      <c r="Z187" s="1"/>
      <c r="AB187" s="1"/>
      <c r="AC187" s="1"/>
      <c r="AD187" s="1"/>
      <c r="AE187" s="1"/>
      <c r="AF187" s="1"/>
      <c r="AG187" s="1"/>
      <c r="AI187" s="1"/>
      <c r="AJ187" s="1"/>
      <c r="CH187">
        <v>12</v>
      </c>
      <c r="CI187" t="s">
        <v>34</v>
      </c>
      <c r="CJ187" s="8">
        <v>43941</v>
      </c>
      <c r="CK187">
        <v>9</v>
      </c>
      <c r="CL187">
        <v>184</v>
      </c>
      <c r="CM187">
        <v>2</v>
      </c>
    </row>
    <row r="188" spans="1:206" ht="19.5">
      <c r="C188">
        <f>H187*D188</f>
        <v>4973.9633391610096</v>
      </c>
      <c r="D188">
        <f>D187</f>
        <v>0.018182450285099998</v>
      </c>
      <c r="E188" t="s">
        <v>18</v>
      </c>
      <c r="F188" s="9">
        <v>44078</v>
      </c>
      <c r="H188">
        <f>H187+C188</f>
        <v>278532.43654653896</v>
      </c>
      <c r="S188" s="1"/>
      <c r="U188" s="1"/>
      <c r="V188" s="1"/>
      <c r="W188" s="1"/>
      <c r="X188" s="1"/>
      <c r="Y188" s="1"/>
      <c r="Z188" s="1"/>
      <c r="AB188" s="1"/>
      <c r="AC188" s="1"/>
      <c r="AD188" s="1"/>
      <c r="AE188" s="1"/>
      <c r="AF188" s="1"/>
      <c r="AG188" s="1"/>
      <c r="AI188" s="1"/>
      <c r="AJ188" s="1"/>
      <c r="CH188">
        <v>12</v>
      </c>
      <c r="CI188" t="s">
        <v>34</v>
      </c>
      <c r="CJ188" s="8">
        <v>43942</v>
      </c>
      <c r="CK188">
        <v>9</v>
      </c>
      <c r="CL188">
        <v>184</v>
      </c>
      <c r="CM188">
        <v>2</v>
      </c>
    </row>
    <row r="189" spans="1:206" ht="19.5">
      <c r="C189">
        <f>H188*D189</f>
        <v>5064.4021802952147</v>
      </c>
      <c r="D189">
        <f>D188</f>
        <v>0.018182450285099998</v>
      </c>
      <c r="E189" t="s">
        <v>19</v>
      </c>
      <c r="F189" s="9">
        <v>44079</v>
      </c>
      <c r="H189">
        <f>H188+C189</f>
        <v>283596.83872683416</v>
      </c>
      <c r="S189" s="1"/>
      <c r="U189" s="1"/>
      <c r="V189" s="1"/>
      <c r="W189" s="1"/>
      <c r="X189" s="1"/>
      <c r="Y189" s="1"/>
      <c r="Z189" s="1"/>
      <c r="AB189" s="1"/>
      <c r="AC189" s="1"/>
      <c r="AD189" s="1"/>
      <c r="AE189" s="1"/>
      <c r="AF189" s="1"/>
      <c r="AG189" s="1"/>
      <c r="AI189" s="1"/>
      <c r="AJ189" s="1"/>
      <c r="CH189">
        <v>12</v>
      </c>
      <c r="CI189" t="s">
        <v>34</v>
      </c>
      <c r="CJ189" s="8">
        <v>43943</v>
      </c>
      <c r="CK189">
        <v>9</v>
      </c>
      <c r="CL189">
        <v>184</v>
      </c>
      <c r="CM189">
        <v>2</v>
      </c>
    </row>
    <row r="190" spans="1:206" ht="19.5">
      <c r="C190">
        <f>H189*D190</f>
        <v>5156.4854211621841</v>
      </c>
      <c r="D190">
        <f>D189</f>
        <v>0.018182450285099998</v>
      </c>
      <c r="E190" t="s">
        <v>12</v>
      </c>
      <c r="F190" s="9">
        <v>44080</v>
      </c>
      <c r="H190">
        <f>H189+C190</f>
        <v>288753.32414799632</v>
      </c>
      <c r="S190" s="1"/>
      <c r="U190" s="1"/>
      <c r="V190" s="1"/>
      <c r="W190" s="1"/>
      <c r="X190" s="1"/>
      <c r="Y190" s="1"/>
      <c r="Z190" s="1"/>
      <c r="AB190" s="1"/>
      <c r="AC190" s="1"/>
      <c r="AD190" s="1"/>
      <c r="AE190" s="1"/>
      <c r="AF190" s="1"/>
      <c r="AG190" s="1"/>
      <c r="AI190" s="1"/>
      <c r="AJ190" s="1"/>
      <c r="CH190">
        <v>12</v>
      </c>
      <c r="CI190" t="s">
        <v>34</v>
      </c>
      <c r="CJ190" s="8">
        <v>43944</v>
      </c>
      <c r="CK190">
        <v>9</v>
      </c>
      <c r="CL190">
        <v>184</v>
      </c>
      <c r="CM190">
        <v>2</v>
      </c>
    </row>
    <row r="191" spans="1:206" ht="19.5">
      <c r="C191">
        <f>H190*D191</f>
        <v>5250.2429609783076</v>
      </c>
      <c r="D191">
        <f>D190</f>
        <v>0.018182450285099998</v>
      </c>
      <c r="E191" t="s">
        <v>14</v>
      </c>
      <c r="F191" s="9">
        <v>44081</v>
      </c>
      <c r="H191">
        <f>H190+C191</f>
        <v>294003.56710897462</v>
      </c>
      <c r="S191" s="1"/>
      <c r="U191" s="1"/>
      <c r="V191" s="1"/>
      <c r="W191" s="1"/>
      <c r="X191" s="1"/>
      <c r="Y191" s="1"/>
      <c r="Z191" s="1"/>
      <c r="AB191" s="1"/>
      <c r="AC191" s="1"/>
      <c r="AD191" s="1"/>
      <c r="AE191" s="1"/>
      <c r="AF191" s="1"/>
      <c r="AG191" s="1"/>
      <c r="AI191" s="1"/>
      <c r="AJ191" s="1"/>
      <c r="BR191" s="3"/>
      <c r="CH191">
        <v>12</v>
      </c>
      <c r="CI191" t="s">
        <v>34</v>
      </c>
      <c r="CJ191" s="8">
        <v>43945</v>
      </c>
      <c r="CK191">
        <v>9</v>
      </c>
      <c r="CL191">
        <v>184</v>
      </c>
      <c r="CM191">
        <v>2</v>
      </c>
    </row>
    <row r="192" spans="1:206" ht="19.5">
      <c r="C192">
        <f>H191*D192</f>
        <v>5345.7052426009923</v>
      </c>
      <c r="D192">
        <f>D191</f>
        <v>0.018182450285099998</v>
      </c>
      <c r="E192" t="s">
        <v>15</v>
      </c>
      <c r="F192" s="9">
        <v>44082</v>
      </c>
      <c r="H192">
        <f>H191+C192</f>
        <v>299349.27235157561</v>
      </c>
      <c r="S192" s="1"/>
      <c r="U192" s="1"/>
      <c r="V192" s="1"/>
      <c r="W192" s="1"/>
      <c r="X192" s="1"/>
      <c r="Y192" s="1"/>
      <c r="Z192" s="1"/>
      <c r="AB192" s="1"/>
      <c r="AC192" s="1"/>
      <c r="AD192" s="1"/>
      <c r="AE192" s="1"/>
      <c r="AF192" s="1"/>
      <c r="AG192" s="1"/>
      <c r="AI192" s="1"/>
      <c r="AJ192" s="1"/>
      <c r="CH192">
        <v>12</v>
      </c>
      <c r="CI192" t="s">
        <v>34</v>
      </c>
      <c r="CJ192" s="8">
        <v>43946</v>
      </c>
      <c r="CK192">
        <v>9</v>
      </c>
      <c r="CL192">
        <v>184</v>
      </c>
      <c r="CM192">
        <v>2</v>
      </c>
    </row>
    <row r="193" spans="1:206" ht="19.5">
      <c r="C193">
        <f>H192*D193</f>
        <v>5442.9032624133833</v>
      </c>
      <c r="D193">
        <f>D192</f>
        <v>0.018182450285099998</v>
      </c>
      <c r="E193" t="s">
        <v>16</v>
      </c>
      <c r="F193" s="9">
        <v>44083</v>
      </c>
      <c r="H193">
        <f>H192+C193</f>
        <v>304792.17561398901</v>
      </c>
      <c r="S193" s="1"/>
      <c r="U193" s="1"/>
      <c r="V193" s="1"/>
      <c r="W193" s="1"/>
      <c r="X193" s="1"/>
      <c r="Y193" s="1"/>
      <c r="Z193" s="1"/>
      <c r="AB193" s="1"/>
      <c r="AC193" s="1"/>
      <c r="AD193" s="1"/>
      <c r="AE193" s="1"/>
      <c r="AF193" s="1"/>
      <c r="AG193" s="1"/>
      <c r="AI193" s="1"/>
      <c r="AJ193" s="1"/>
      <c r="CH193">
        <v>12</v>
      </c>
      <c r="CI193" t="s">
        <v>34</v>
      </c>
      <c r="CJ193" s="8">
        <v>43947</v>
      </c>
      <c r="CK193">
        <v>9</v>
      </c>
      <c r="CL193">
        <v>184</v>
      </c>
      <c r="CM193">
        <v>2</v>
      </c>
    </row>
    <row r="194" spans="1:206" ht="19.5">
      <c r="C194">
        <f>H193*D194</f>
        <v>5541.8685803888229</v>
      </c>
      <c r="D194">
        <f>D193</f>
        <v>0.018182450285099998</v>
      </c>
      <c r="E194" t="s">
        <v>17</v>
      </c>
      <c r="F194" s="9">
        <v>44084</v>
      </c>
      <c r="H194">
        <f>H193+C194</f>
        <v>310334.04419437784</v>
      </c>
      <c r="S194" s="1"/>
      <c r="U194" s="1"/>
      <c r="V194" s="1"/>
      <c r="W194" s="1"/>
      <c r="X194" s="1"/>
      <c r="Y194" s="1"/>
      <c r="Z194" s="1"/>
      <c r="AB194" s="1"/>
      <c r="AC194" s="1"/>
      <c r="AD194" s="1"/>
      <c r="AE194" s="1"/>
      <c r="AF194" s="1"/>
      <c r="AG194" s="1"/>
      <c r="AI194" s="1"/>
      <c r="AJ194" s="1"/>
      <c r="CH194">
        <v>12</v>
      </c>
      <c r="CI194" t="s">
        <v>34</v>
      </c>
      <c r="CJ194" s="8">
        <v>43948</v>
      </c>
      <c r="CK194">
        <v>9</v>
      </c>
      <c r="CL194">
        <v>184</v>
      </c>
      <c r="CM194">
        <v>2</v>
      </c>
    </row>
    <row r="195" spans="1:206" ht="19.5">
      <c r="C195">
        <f>H194*D195</f>
        <v>5642.6333303383008</v>
      </c>
      <c r="D195">
        <f>D194</f>
        <v>0.018182450285099998</v>
      </c>
      <c r="E195" t="s">
        <v>18</v>
      </c>
      <c r="F195" s="9">
        <v>44085</v>
      </c>
      <c r="H195">
        <f>H194+C195</f>
        <v>315976.67752471613</v>
      </c>
      <c r="S195" s="1"/>
      <c r="U195" s="1"/>
      <c r="V195" s="1"/>
      <c r="W195" s="1"/>
      <c r="X195" s="1"/>
      <c r="Y195" s="1"/>
      <c r="Z195" s="1"/>
      <c r="AB195" s="1"/>
      <c r="AC195" s="1"/>
      <c r="AD195" s="1"/>
      <c r="AE195" s="1"/>
      <c r="AF195" s="1"/>
      <c r="AG195" s="1"/>
      <c r="AI195" s="1"/>
      <c r="AJ195" s="1"/>
      <c r="CH195">
        <v>12</v>
      </c>
      <c r="CI195" t="s">
        <v>34</v>
      </c>
      <c r="CJ195" s="8">
        <v>43949</v>
      </c>
      <c r="CK195">
        <v>9</v>
      </c>
      <c r="CL195">
        <v>184</v>
      </c>
      <c r="CM195">
        <v>2</v>
      </c>
    </row>
    <row r="196" spans="1:206" ht="19.5">
      <c r="C196">
        <f>H195*D196</f>
        <v>5745.2302303442248</v>
      </c>
      <c r="D196">
        <f>D195</f>
        <v>0.018182450285099998</v>
      </c>
      <c r="E196" t="s">
        <v>19</v>
      </c>
      <c r="F196" s="9">
        <v>44086</v>
      </c>
      <c r="H196">
        <f>H195+C196</f>
        <v>321721.90775506035</v>
      </c>
      <c r="S196" s="1"/>
      <c r="U196" s="1"/>
      <c r="V196" s="1"/>
      <c r="W196" s="1"/>
      <c r="X196" s="1"/>
      <c r="Y196" s="1"/>
      <c r="Z196" s="1"/>
      <c r="AB196" s="1"/>
      <c r="AC196" s="1"/>
      <c r="AD196" s="1"/>
      <c r="AE196" s="1"/>
      <c r="AF196" s="1"/>
      <c r="AG196" s="1"/>
      <c r="AI196" s="1"/>
      <c r="AJ196" s="1"/>
      <c r="AY196" s="1"/>
      <c r="AZ196" s="1"/>
      <c r="CH196">
        <v>12</v>
      </c>
      <c r="CI196" t="s">
        <v>34</v>
      </c>
      <c r="CJ196" s="8">
        <v>43950</v>
      </c>
      <c r="CK196">
        <v>9</v>
      </c>
      <c r="CL196">
        <v>184</v>
      </c>
      <c r="CM196">
        <v>2</v>
      </c>
    </row>
    <row r="197" spans="1:206" ht="19.5">
      <c r="C197">
        <f>H196*D197</f>
        <v>5849.6925933839129</v>
      </c>
      <c r="D197">
        <f>D196</f>
        <v>0.018182450285099998</v>
      </c>
      <c r="E197" t="s">
        <v>12</v>
      </c>
      <c r="F197" s="9">
        <v>44087</v>
      </c>
      <c r="H197">
        <f>H196+C197</f>
        <v>327571.60034844425</v>
      </c>
      <c r="S197" s="1"/>
      <c r="U197" s="1"/>
      <c r="V197" s="1"/>
      <c r="W197" s="1"/>
      <c r="X197" s="1"/>
      <c r="Y197" s="1"/>
      <c r="Z197" s="1"/>
      <c r="AB197" s="1"/>
      <c r="AC197" s="1"/>
      <c r="AD197" s="1"/>
      <c r="AE197" s="1"/>
      <c r="AF197" s="1"/>
      <c r="AG197" s="1"/>
      <c r="AI197" s="1"/>
      <c r="AJ197" s="1"/>
      <c r="CH197">
        <v>12</v>
      </c>
      <c r="CI197" t="s">
        <v>34</v>
      </c>
      <c r="CJ197" s="8">
        <v>43951</v>
      </c>
      <c r="CK197">
        <v>10</v>
      </c>
      <c r="CL197">
        <v>204</v>
      </c>
      <c r="CM197">
        <v>2</v>
      </c>
    </row>
    <row r="198" spans="1:206" ht="19.5">
      <c r="C198">
        <f>H197*D198</f>
        <v>5956.054338146233</v>
      </c>
      <c r="D198">
        <f>D197</f>
        <v>0.018182450285099998</v>
      </c>
      <c r="E198" t="s">
        <v>14</v>
      </c>
      <c r="F198" s="9">
        <v>44088</v>
      </c>
      <c r="H198">
        <f>H197+C198</f>
        <v>333527.65468659048</v>
      </c>
      <c r="S198" s="1"/>
      <c r="U198" s="1"/>
      <c r="V198" s="1"/>
      <c r="W198" s="1"/>
      <c r="X198" s="1"/>
      <c r="Y198" s="1"/>
      <c r="Z198" s="1"/>
      <c r="AB198" s="1"/>
      <c r="AC198" s="1"/>
      <c r="AD198" s="1"/>
      <c r="AE198" s="1"/>
      <c r="AF198" s="1"/>
      <c r="AG198" s="1"/>
      <c r="AI198" s="1"/>
      <c r="AJ198" s="1"/>
      <c r="AY198" s="1"/>
      <c r="CH198">
        <v>17</v>
      </c>
      <c r="CI198" t="s">
        <v>35</v>
      </c>
      <c r="CJ198" s="8">
        <v>43914</v>
      </c>
      <c r="CK198">
        <v>1</v>
      </c>
      <c r="CM198">
        <v>0</v>
      </c>
    </row>
    <row r="199" spans="1:206" ht="19.5">
      <c r="C199">
        <f>H198*D199</f>
        <v>6064.3500000449312</v>
      </c>
      <c r="D199">
        <f>D198</f>
        <v>0.018182450285099998</v>
      </c>
      <c r="E199" t="s">
        <v>15</v>
      </c>
      <c r="F199" s="9">
        <v>44089</v>
      </c>
      <c r="H199">
        <f>H198+C199</f>
        <v>339592.0046866354</v>
      </c>
      <c r="S199" s="1"/>
      <c r="U199" s="1"/>
      <c r="V199" s="1"/>
      <c r="W199" s="1"/>
      <c r="X199" s="1"/>
      <c r="Y199" s="1"/>
      <c r="Z199" s="1"/>
      <c r="AB199" s="1"/>
      <c r="AC199" s="1"/>
      <c r="AD199" s="1"/>
      <c r="AE199" s="1"/>
      <c r="AF199" s="1"/>
      <c r="AG199" s="1"/>
      <c r="AI199" s="1"/>
      <c r="AJ199" s="1"/>
      <c r="AY199" s="1"/>
      <c r="CH199">
        <v>17</v>
      </c>
      <c r="CI199" t="s">
        <v>35</v>
      </c>
      <c r="CJ199" s="8">
        <v>43915</v>
      </c>
      <c r="CK199">
        <v>2</v>
      </c>
      <c r="CM199">
        <v>0</v>
      </c>
    </row>
    <row r="200" spans="1:206" ht="21">
      <c r="C200">
        <f>H199*D200</f>
        <v>6174.6147424321935</v>
      </c>
      <c r="D200">
        <f>D199</f>
        <v>0.018182450285099998</v>
      </c>
      <c r="E200" t="s">
        <v>16</v>
      </c>
      <c r="F200" s="9">
        <v>44090</v>
      </c>
      <c r="H200">
        <f>H199+C200</f>
        <v>345766.61942906759</v>
      </c>
      <c r="S200" s="1"/>
      <c r="U200" s="1"/>
      <c r="V200" s="1"/>
      <c r="W200" s="1"/>
      <c r="X200" s="1"/>
      <c r="Y200" s="1"/>
      <c r="Z200" s="1"/>
      <c r="AB200" s="1"/>
      <c r="AC200" s="1"/>
      <c r="AD200" s="1"/>
      <c r="AE200" s="1"/>
      <c r="AF200" s="1"/>
      <c r="AG200" s="1"/>
      <c r="AI200" s="1"/>
      <c r="AJ200" s="1"/>
      <c r="AY200" s="1"/>
      <c r="CH200">
        <v>17</v>
      </c>
      <c r="CI200" t="s">
        <v>35</v>
      </c>
      <c r="CJ200" s="8">
        <v>43916</v>
      </c>
      <c r="CK200">
        <v>2</v>
      </c>
      <c r="CM200">
        <v>0</v>
      </c>
    </row>
    <row r="201" spans="1:206" ht="21">
      <c r="C201">
        <f>H200*D201</f>
        <v>6286.8843680161126</v>
      </c>
      <c r="D201">
        <f>D200</f>
        <v>0.018182450285099998</v>
      </c>
      <c r="E201" t="s">
        <v>17</v>
      </c>
      <c r="F201" s="9">
        <v>44091</v>
      </c>
      <c r="H201">
        <f>H200+C201</f>
        <v>352053.50379708369</v>
      </c>
      <c r="S201" s="1"/>
      <c r="U201" s="1"/>
      <c r="V201" s="1"/>
      <c r="W201" s="1"/>
      <c r="X201" s="1"/>
      <c r="Y201" s="1"/>
      <c r="Z201" s="1"/>
      <c r="AB201" s="1"/>
      <c r="AC201" s="1"/>
      <c r="AD201" s="1"/>
      <c r="AE201" s="1"/>
      <c r="AF201" s="1"/>
      <c r="AG201" s="1"/>
      <c r="AI201" s="1"/>
      <c r="AJ201" s="1"/>
      <c r="AY201" s="1"/>
      <c r="CH201">
        <v>17</v>
      </c>
      <c r="CI201" t="s">
        <v>35</v>
      </c>
      <c r="CJ201" s="8">
        <v>43917</v>
      </c>
      <c r="CK201">
        <v>7</v>
      </c>
      <c r="CM201">
        <v>0</v>
      </c>
    </row>
    <row r="202" spans="1:206" ht="19.5">
      <c r="C202">
        <f>H201*D202</f>
        <v>6401.1953304857379</v>
      </c>
      <c r="D202">
        <f>D201</f>
        <v>0.018182450285099998</v>
      </c>
      <c r="E202" t="s">
        <v>18</v>
      </c>
      <c r="F202" s="9">
        <v>44092</v>
      </c>
      <c r="H202">
        <f>H201+C202</f>
        <v>358454.69912756945</v>
      </c>
      <c r="S202" s="1"/>
      <c r="U202" s="1"/>
      <c r="V202" s="1"/>
      <c r="W202" s="1"/>
      <c r="X202" s="1"/>
      <c r="Y202" s="1"/>
      <c r="Z202" s="1"/>
      <c r="AB202" s="1"/>
      <c r="AC202" s="1"/>
      <c r="AD202" s="1"/>
      <c r="AE202" s="1"/>
      <c r="AF202" s="1"/>
      <c r="AG202" s="1"/>
      <c r="AI202" s="1"/>
      <c r="AJ202" s="1"/>
      <c r="AY202" s="1"/>
      <c r="CH202">
        <v>17</v>
      </c>
      <c r="CI202" t="s">
        <v>35</v>
      </c>
      <c r="CJ202" s="8">
        <v>43918</v>
      </c>
      <c r="CK202">
        <v>8</v>
      </c>
      <c r="CM202">
        <v>0</v>
      </c>
    </row>
    <row r="203" spans="1:206" ht="19.5">
      <c r="C203">
        <f>H202*D203</f>
        <v>6517.5847463475093</v>
      </c>
      <c r="D203">
        <f>D202</f>
        <v>0.018182450285099998</v>
      </c>
      <c r="E203" t="s">
        <v>19</v>
      </c>
      <c r="F203" s="9">
        <v>44093</v>
      </c>
      <c r="H203">
        <f>H202+C203</f>
        <v>364972.28387391695</v>
      </c>
      <c r="S203" s="1"/>
      <c r="U203" s="1"/>
      <c r="V203" s="1"/>
      <c r="W203" s="1"/>
      <c r="X203" s="1"/>
      <c r="Y203" s="1"/>
      <c r="Z203" s="1"/>
      <c r="AB203" s="1"/>
      <c r="AC203" s="1"/>
      <c r="AD203" s="1"/>
      <c r="AE203" s="1"/>
      <c r="AF203" s="1"/>
      <c r="AG203" s="1"/>
      <c r="AI203" s="1"/>
      <c r="AJ203" s="1"/>
      <c r="AY203" s="1"/>
      <c r="CH203">
        <v>17</v>
      </c>
      <c r="CI203" t="s">
        <v>35</v>
      </c>
      <c r="CJ203" s="8">
        <v>43919</v>
      </c>
      <c r="CK203">
        <v>9</v>
      </c>
      <c r="CM203">
        <v>0</v>
      </c>
    </row>
    <row r="204" spans="1:206" ht="19.5">
      <c r="C204">
        <f>H203*D204</f>
        <v>6636.0904069768985</v>
      </c>
      <c r="D204">
        <f>D203</f>
        <v>0.018182450285099998</v>
      </c>
      <c r="E204" t="s">
        <v>12</v>
      </c>
      <c r="F204" s="9">
        <v>44094</v>
      </c>
      <c r="H204">
        <f>H203+C204</f>
        <v>371608.37428089383</v>
      </c>
      <c r="S204" s="1"/>
      <c r="U204" s="1"/>
      <c r="V204" s="1"/>
      <c r="W204" s="1"/>
      <c r="X204" s="1"/>
      <c r="Y204" s="1"/>
      <c r="Z204" s="1"/>
      <c r="AB204" s="1"/>
      <c r="AC204" s="1"/>
      <c r="AD204" s="1"/>
      <c r="AE204" s="1"/>
      <c r="AF204" s="1"/>
      <c r="AG204" s="1"/>
      <c r="AI204" s="1"/>
      <c r="AJ204" s="1"/>
      <c r="AY204" s="1"/>
      <c r="CH204">
        <v>17</v>
      </c>
      <c r="CI204" t="s">
        <v>35</v>
      </c>
      <c r="CJ204" s="8">
        <v>43920</v>
      </c>
      <c r="CK204">
        <v>9</v>
      </c>
      <c r="CM204">
        <v>0</v>
      </c>
    </row>
    <row r="205" spans="1:206" ht="19.5">
      <c r="C205">
        <f>H204*D205</f>
        <v>6756.7507908891848</v>
      </c>
      <c r="D205">
        <f>D204</f>
        <v>0.018182450285099998</v>
      </c>
      <c r="E205" t="s">
        <v>14</v>
      </c>
      <c r="F205" s="9">
        <v>44095</v>
      </c>
      <c r="H205">
        <f>H204+C205</f>
        <v>378365.12507178303</v>
      </c>
      <c r="S205" s="1"/>
      <c r="U205" s="1"/>
      <c r="V205" s="1"/>
      <c r="W205" s="1"/>
      <c r="X205" s="1"/>
      <c r="Y205" s="1"/>
      <c r="Z205" s="1"/>
      <c r="AB205" s="1"/>
      <c r="AC205" s="1"/>
      <c r="AD205" s="1"/>
      <c r="AE205" s="1"/>
      <c r="AF205" s="1"/>
      <c r="AG205" s="1"/>
      <c r="AI205" s="1"/>
      <c r="AJ205" s="1"/>
      <c r="AY205" s="1"/>
      <c r="CH205">
        <v>17</v>
      </c>
      <c r="CI205" t="s">
        <v>35</v>
      </c>
      <c r="CJ205" s="8">
        <v>43921</v>
      </c>
      <c r="CK205">
        <v>9</v>
      </c>
      <c r="CM205">
        <v>0</v>
      </c>
    </row>
    <row r="206" spans="1:206" ht="19.5">
      <c r="C206">
        <f>H205*D206</f>
        <v>6879.605076233338</v>
      </c>
      <c r="D206">
        <f>D205</f>
        <v>0.018182450285099998</v>
      </c>
      <c r="E206" t="s">
        <v>15</v>
      </c>
      <c r="F206" s="9">
        <v>44096</v>
      </c>
      <c r="H206">
        <f>H205+C206</f>
        <v>385244.73014801636</v>
      </c>
      <c r="S206" s="1"/>
      <c r="U206" s="1"/>
      <c r="V206" s="1"/>
      <c r="W206" s="1"/>
      <c r="X206" s="1"/>
      <c r="Y206" s="1"/>
      <c r="Z206" s="1"/>
      <c r="AB206" s="1"/>
      <c r="AC206" s="1"/>
      <c r="AD206" s="1"/>
      <c r="AE206" s="1"/>
      <c r="AF206" s="1"/>
      <c r="AG206" s="1"/>
      <c r="AI206" s="1"/>
      <c r="AJ206" s="1"/>
      <c r="AY206" s="1"/>
      <c r="CH206">
        <v>17</v>
      </c>
      <c r="CI206" t="s">
        <v>35</v>
      </c>
      <c r="CJ206" s="8">
        <v>43922</v>
      </c>
      <c r="CK206">
        <v>15</v>
      </c>
      <c r="CM206">
        <v>0</v>
      </c>
    </row>
    <row r="207" spans="1:206" ht="19.5">
      <c r="C207">
        <f>H206*D207</f>
        <v>7004.6931535130716</v>
      </c>
      <c r="D207">
        <f>D206</f>
        <v>0.018182450285099998</v>
      </c>
      <c r="E207" t="s">
        <v>16</v>
      </c>
      <c r="F207" s="9">
        <v>44097</v>
      </c>
      <c r="H207">
        <f>H206+C207</f>
        <v>392249.42330152943</v>
      </c>
      <c r="S207" s="1"/>
      <c r="U207" s="1"/>
      <c r="V207" s="1"/>
      <c r="W207" s="1"/>
      <c r="X207" s="1"/>
      <c r="Y207" s="1"/>
      <c r="Z207" s="1"/>
      <c r="AB207" s="1"/>
      <c r="AC207" s="1"/>
      <c r="AD207" s="1"/>
      <c r="AE207" s="1"/>
      <c r="AF207" s="1"/>
      <c r="AG207" s="1"/>
      <c r="AI207" s="1"/>
      <c r="AJ207" s="1"/>
      <c r="AY207" s="1"/>
      <c r="CH207">
        <v>17</v>
      </c>
      <c r="CI207" t="s">
        <v>35</v>
      </c>
      <c r="CJ207" s="8">
        <v>43923</v>
      </c>
      <c r="CK207">
        <v>18</v>
      </c>
      <c r="CM207">
        <v>0</v>
      </c>
    </row>
    <row r="208" spans="1:206" ht="19.5">
      <c r="C208">
        <f>H207*D208</f>
        <v>7132.0556385392038</v>
      </c>
      <c r="D208">
        <f>D207</f>
        <v>0.018182450285099998</v>
      </c>
      <c r="E208" t="s">
        <v>17</v>
      </c>
      <c r="F208" s="9">
        <v>44098</v>
      </c>
      <c r="H208">
        <f>H207+C208</f>
        <v>399381.47894006863</v>
      </c>
      <c r="S208" s="1"/>
      <c r="U208" s="1"/>
      <c r="V208" s="1"/>
      <c r="W208" s="1"/>
      <c r="X208" s="1"/>
      <c r="Y208" s="1"/>
      <c r="Z208" s="1"/>
      <c r="AB208" s="1"/>
      <c r="AC208" s="1"/>
      <c r="AD208" s="1"/>
      <c r="AE208" s="1"/>
      <c r="AF208" s="1"/>
      <c r="AG208" s="1"/>
      <c r="AI208" s="1"/>
      <c r="AJ208" s="1"/>
      <c r="AY208" s="1"/>
      <c r="CH208">
        <v>17</v>
      </c>
      <c r="CI208" t="s">
        <v>35</v>
      </c>
      <c r="CJ208" s="8">
        <v>43924</v>
      </c>
      <c r="CK208">
        <v>24</v>
      </c>
      <c r="CM208">
        <v>0</v>
      </c>
    </row>
    <row r="209" spans="1:206" ht="19.5">
      <c r="C209">
        <f>H208*D209</f>
        <v>7261.7338856175102</v>
      </c>
      <c r="D209">
        <f>D208</f>
        <v>0.018182450285099998</v>
      </c>
      <c r="E209" t="s">
        <v>18</v>
      </c>
      <c r="F209" s="9">
        <v>44099</v>
      </c>
      <c r="H209">
        <f>H208+C209</f>
        <v>406643.21282568615</v>
      </c>
      <c r="S209" s="1"/>
      <c r="U209" s="1"/>
      <c r="V209" s="1"/>
      <c r="W209" s="1"/>
      <c r="X209" s="1"/>
      <c r="Y209" s="1"/>
      <c r="Z209" s="1"/>
      <c r="AB209" s="1"/>
      <c r="AC209" s="1"/>
      <c r="AD209" s="1"/>
      <c r="AE209" s="1"/>
      <c r="AF209" s="1"/>
      <c r="AG209" s="1"/>
      <c r="AI209" s="1"/>
      <c r="AJ209" s="1"/>
      <c r="AY209" s="1"/>
      <c r="CH209">
        <v>17</v>
      </c>
      <c r="CI209" t="s">
        <v>35</v>
      </c>
      <c r="CJ209" s="8">
        <v>43925</v>
      </c>
      <c r="CK209">
        <v>26</v>
      </c>
      <c r="CM209">
        <v>0</v>
      </c>
    </row>
    <row r="210" spans="1:206" ht="19.5">
      <c r="C210">
        <f>H209*D210</f>
        <v>7393.7700009763767</v>
      </c>
      <c r="D210">
        <f>D209</f>
        <v>0.018182450285099998</v>
      </c>
      <c r="E210" t="s">
        <v>19</v>
      </c>
      <c r="F210" s="9">
        <v>44100</v>
      </c>
      <c r="H210">
        <f>H209+C210</f>
        <v>414036.98282666254</v>
      </c>
      <c r="S210" s="1"/>
      <c r="U210" s="1"/>
      <c r="V210" s="1"/>
      <c r="W210" s="1"/>
      <c r="X210" s="1"/>
      <c r="Y210" s="1"/>
      <c r="Z210" s="1"/>
      <c r="AB210" s="1"/>
      <c r="AC210" s="1"/>
      <c r="AD210" s="1"/>
      <c r="AE210" s="1"/>
      <c r="AF210" s="1"/>
      <c r="AG210" s="1"/>
      <c r="AI210" s="1"/>
      <c r="AJ210" s="1"/>
      <c r="CH210">
        <v>17</v>
      </c>
      <c r="CI210" t="s">
        <v>35</v>
      </c>
      <c r="CJ210" s="8">
        <v>43926</v>
      </c>
      <c r="CK210">
        <v>27</v>
      </c>
      <c r="CM210">
        <v>0</v>
      </c>
    </row>
    <row r="211" spans="1:206" ht="19.5">
      <c r="C211">
        <f>H210*D211</f>
        <v>7528.2068564385936</v>
      </c>
      <c r="D211">
        <f>D210</f>
        <v>0.018182450285099998</v>
      </c>
      <c r="E211" t="s">
        <v>12</v>
      </c>
      <c r="F211" s="9">
        <v>44101</v>
      </c>
      <c r="H211">
        <f>H210+C211</f>
        <v>421565.18968310114</v>
      </c>
      <c r="S211" s="1"/>
      <c r="U211" s="1"/>
      <c r="V211" s="1"/>
      <c r="W211" s="1"/>
      <c r="X211" s="1"/>
      <c r="Y211" s="1"/>
      <c r="Z211" s="1"/>
      <c r="AB211" s="1"/>
      <c r="AC211" s="1"/>
      <c r="AD211" s="1"/>
      <c r="AE211" s="1"/>
      <c r="AF211" s="1"/>
      <c r="AG211" s="1"/>
      <c r="AI211" s="1"/>
      <c r="AJ211" s="1"/>
      <c r="CH211">
        <v>17</v>
      </c>
      <c r="CI211" t="s">
        <v>35</v>
      </c>
      <c r="CJ211" s="8">
        <v>43927</v>
      </c>
      <c r="CK211">
        <v>40</v>
      </c>
      <c r="CM211">
        <v>0</v>
      </c>
    </row>
    <row r="212" spans="1:206" ht="19.5">
      <c r="C212">
        <f>H211*D212</f>
        <v>7665.0881033417372</v>
      </c>
      <c r="D212">
        <f>D211</f>
        <v>0.018182450285099998</v>
      </c>
      <c r="E212" t="s">
        <v>14</v>
      </c>
      <c r="F212" s="9">
        <v>44102</v>
      </c>
      <c r="H212">
        <f>H211+C212</f>
        <v>429230.27778644289</v>
      </c>
      <c r="S212" s="1"/>
      <c r="U212" s="1"/>
      <c r="V212" s="1"/>
      <c r="W212" s="1"/>
      <c r="X212" s="1"/>
      <c r="Y212" s="1"/>
      <c r="Z212" s="1"/>
      <c r="AB212" s="1"/>
      <c r="AC212" s="1"/>
      <c r="AD212" s="1"/>
      <c r="AE212" s="1"/>
      <c r="AF212" s="1"/>
      <c r="AG212" s="1"/>
      <c r="AI212" s="1"/>
      <c r="AJ212" s="1"/>
      <c r="CH212">
        <v>17</v>
      </c>
      <c r="CI212" t="s">
        <v>35</v>
      </c>
      <c r="CJ212" s="8">
        <v>43928</v>
      </c>
      <c r="CK212">
        <v>57</v>
      </c>
      <c r="CM212">
        <v>0</v>
      </c>
    </row>
    <row r="213" spans="1:206" ht="19.5">
      <c r="C213">
        <f>H212*D213</f>
        <v>7804.4581867116603</v>
      </c>
      <c r="D213">
        <f>D212</f>
        <v>0.018182450285099998</v>
      </c>
      <c r="E213" t="s">
        <v>15</v>
      </c>
      <c r="F213" s="9">
        <v>44103</v>
      </c>
      <c r="H213">
        <f>H212+C213</f>
        <v>437034.73597315454</v>
      </c>
      <c r="S213" s="1"/>
      <c r="U213" s="1"/>
      <c r="V213" s="1"/>
      <c r="W213" s="1"/>
      <c r="X213" s="1"/>
      <c r="Y213" s="1"/>
      <c r="Z213" s="1"/>
      <c r="AB213" s="1"/>
      <c r="AC213" s="1"/>
      <c r="AD213" s="1"/>
      <c r="AE213" s="1"/>
      <c r="AF213" s="1"/>
      <c r="AG213" s="1"/>
      <c r="AI213" s="1"/>
      <c r="AJ213" s="1"/>
      <c r="CH213">
        <v>17</v>
      </c>
      <c r="CI213" t="s">
        <v>35</v>
      </c>
      <c r="CJ213" s="8">
        <v>43929</v>
      </c>
      <c r="CK213">
        <v>67</v>
      </c>
      <c r="CM213">
        <v>1</v>
      </c>
    </row>
    <row r="214" spans="1:206" ht="19.5">
      <c r="C214">
        <f>H213*D214</f>
        <v>7946.3623596936868</v>
      </c>
      <c r="D214">
        <f>D213</f>
        <v>0.018182450285099998</v>
      </c>
      <c r="E214" t="s">
        <v>16</v>
      </c>
      <c r="F214" s="9">
        <v>44104</v>
      </c>
      <c r="H214">
        <f>H213+C214</f>
        <v>444981.09833284823</v>
      </c>
      <c r="S214" s="1"/>
      <c r="U214" s="1"/>
      <c r="V214" s="1"/>
      <c r="W214" s="1"/>
      <c r="X214" s="1"/>
      <c r="Y214" s="1"/>
      <c r="Z214" s="1"/>
      <c r="AB214" s="1"/>
      <c r="AC214" s="1"/>
      <c r="AD214" s="1"/>
      <c r="AE214" s="1"/>
      <c r="AF214" s="1"/>
      <c r="AG214" s="1"/>
      <c r="AI214" s="1"/>
      <c r="AJ214" s="1"/>
      <c r="CH214">
        <v>17</v>
      </c>
      <c r="CI214" t="s">
        <v>35</v>
      </c>
      <c r="CJ214" s="8">
        <v>43930</v>
      </c>
      <c r="CK214">
        <v>95</v>
      </c>
      <c r="CM214">
        <v>1</v>
      </c>
    </row>
    <row r="215" spans="1:206" ht="19.5">
      <c r="C215">
        <f>H214*D215</f>
        <v>8090.8466982462069</v>
      </c>
      <c r="D215">
        <f>D214</f>
        <v>0.018182450285099998</v>
      </c>
      <c r="E215" t="s">
        <v>17</v>
      </c>
      <c r="F215" s="9">
        <v>44105</v>
      </c>
      <c r="H215">
        <f>H214+C215</f>
        <v>453071.94503109442</v>
      </c>
      <c r="S215" s="1"/>
      <c r="U215" s="1"/>
      <c r="V215" s="1"/>
      <c r="W215" s="1"/>
      <c r="X215" s="1"/>
      <c r="Y215" s="1"/>
      <c r="Z215" s="1"/>
      <c r="AB215" s="1"/>
      <c r="AC215" s="1"/>
      <c r="AD215" s="1"/>
      <c r="AE215" s="1"/>
      <c r="AF215" s="1"/>
      <c r="AG215" s="1"/>
      <c r="AI215" s="1"/>
      <c r="AJ215" s="1"/>
      <c r="CH215">
        <v>17</v>
      </c>
      <c r="CI215" t="s">
        <v>35</v>
      </c>
      <c r="CJ215" s="8">
        <v>43931</v>
      </c>
      <c r="CK215">
        <v>104</v>
      </c>
      <c r="CM215">
        <v>1</v>
      </c>
    </row>
    <row r="216" spans="1:206" ht="19.5">
      <c r="C216">
        <f>H215*D216</f>
        <v>8237.9581161014339</v>
      </c>
      <c r="D216">
        <f>D215</f>
        <v>0.018182450285099998</v>
      </c>
      <c r="E216" t="s">
        <v>18</v>
      </c>
      <c r="F216" s="9">
        <v>44106</v>
      </c>
      <c r="H216">
        <f>H215+C216</f>
        <v>461309.90314719587</v>
      </c>
      <c r="S216" s="1"/>
      <c r="U216" s="1"/>
      <c r="V216" s="1"/>
      <c r="W216" s="1"/>
      <c r="X216" s="1"/>
      <c r="Y216" s="1"/>
      <c r="Z216" s="1"/>
      <c r="AB216" s="1"/>
      <c r="AC216" s="1"/>
      <c r="AD216" s="1"/>
      <c r="AE216" s="1"/>
      <c r="AF216" s="1"/>
      <c r="AG216" s="1"/>
      <c r="AI216" s="1"/>
      <c r="AJ216" s="1"/>
      <c r="AY216" s="1"/>
      <c r="AZ216" s="1"/>
      <c r="BA216" s="1"/>
      <c r="BB216" s="1"/>
      <c r="BD216" s="1"/>
      <c r="BE216" s="1"/>
      <c r="BF216" s="1"/>
      <c r="BG216" s="1"/>
      <c r="BH216" s="1"/>
      <c r="BI216" s="1"/>
      <c r="BK216" s="1"/>
      <c r="CH216">
        <v>17</v>
      </c>
      <c r="CI216" t="s">
        <v>35</v>
      </c>
      <c r="CJ216" s="8">
        <v>43932</v>
      </c>
      <c r="CK216">
        <v>137</v>
      </c>
      <c r="CM216">
        <v>1</v>
      </c>
    </row>
    <row r="217" spans="1:206" ht="19.5">
      <c r="C217">
        <f>H216*D217</f>
        <v>8387.7443799981847</v>
      </c>
      <c r="D217">
        <f>D216</f>
        <v>0.018182450285099998</v>
      </c>
      <c r="E217" t="s">
        <v>19</v>
      </c>
      <c r="F217" s="9">
        <v>44107</v>
      </c>
      <c r="H217">
        <f>H216+C217</f>
        <v>469697.64752719406</v>
      </c>
      <c r="S217" s="1"/>
      <c r="U217" s="1"/>
      <c r="V217" s="1"/>
      <c r="W217" s="1"/>
      <c r="X217" s="1"/>
      <c r="Y217" s="1"/>
      <c r="Z217" s="1"/>
      <c r="AB217" s="1"/>
      <c r="AC217" s="1"/>
      <c r="AD217" s="1"/>
      <c r="AE217" s="1"/>
      <c r="AF217" s="1"/>
      <c r="AG217" s="1"/>
      <c r="AI217" s="1"/>
      <c r="AJ217" s="1"/>
      <c r="AY217" s="1"/>
      <c r="AZ217" s="1"/>
      <c r="BA217" s="1"/>
      <c r="BB217" s="1"/>
      <c r="BD217" s="1"/>
      <c r="BE217" s="1"/>
      <c r="BF217" s="1"/>
      <c r="BG217" s="1"/>
      <c r="BH217" s="1"/>
      <c r="BI217" s="1"/>
      <c r="BK217" s="1"/>
      <c r="CH217">
        <v>17</v>
      </c>
      <c r="CI217" t="s">
        <v>35</v>
      </c>
      <c r="CJ217" s="8">
        <v>43933</v>
      </c>
      <c r="CK217">
        <v>145</v>
      </c>
      <c r="CM217">
        <v>1</v>
      </c>
    </row>
    <row r="218" spans="1:206" ht="19.5">
      <c r="C218">
        <f>H217*D218</f>
        <v>8540.2541251916282</v>
      </c>
      <c r="D218">
        <f>D217</f>
        <v>0.018182450285099998</v>
      </c>
      <c r="E218" t="s">
        <v>12</v>
      </c>
      <c r="F218" s="9">
        <v>44108</v>
      </c>
      <c r="H218">
        <f>H217+C218</f>
        <v>478237.90165238571</v>
      </c>
      <c r="S218" s="1"/>
      <c r="U218" s="1"/>
      <c r="V218" s="1"/>
      <c r="W218" s="1"/>
      <c r="X218" s="1"/>
      <c r="Y218" s="1"/>
      <c r="Z218" s="1"/>
      <c r="AB218" s="1"/>
      <c r="AC218" s="1"/>
      <c r="AD218" s="1"/>
      <c r="AE218" s="1"/>
      <c r="AF218" s="1"/>
      <c r="AG218" s="1"/>
      <c r="AI218" s="1"/>
      <c r="AJ218" s="1"/>
      <c r="AY218" s="1"/>
      <c r="AZ218" s="1"/>
      <c r="BA218" s="1"/>
      <c r="BB218" s="1"/>
      <c r="BD218" s="1"/>
      <c r="BE218" s="1"/>
      <c r="BF218" s="1"/>
      <c r="BG218" s="1"/>
      <c r="BH218" s="1"/>
      <c r="BI218" s="1"/>
      <c r="BK218" s="1"/>
      <c r="CH218">
        <v>17</v>
      </c>
      <c r="CI218" t="s">
        <v>35</v>
      </c>
      <c r="CJ218" s="8">
        <v>43934</v>
      </c>
      <c r="CK218">
        <v>169</v>
      </c>
      <c r="CM218">
        <v>1</v>
      </c>
    </row>
    <row r="219" spans="1:206" ht="19.5">
      <c r="C219">
        <f>H218*D219</f>
        <v>8695.5368712450454</v>
      </c>
      <c r="D219">
        <f>D218</f>
        <v>0.018182450285099998</v>
      </c>
      <c r="E219" t="s">
        <v>14</v>
      </c>
      <c r="F219" s="9">
        <v>44109</v>
      </c>
      <c r="H219">
        <f>H218+C219</f>
        <v>486933.43852363079</v>
      </c>
      <c r="S219" s="1"/>
      <c r="U219" s="1"/>
      <c r="V219" s="1"/>
      <c r="W219" s="1"/>
      <c r="X219" s="1"/>
      <c r="Y219" s="1"/>
      <c r="Z219" s="1"/>
      <c r="AB219" s="1"/>
      <c r="AC219" s="1"/>
      <c r="AD219" s="1"/>
      <c r="AE219" s="1"/>
      <c r="AF219" s="1"/>
      <c r="AG219" s="1"/>
      <c r="AI219" s="1"/>
      <c r="AJ219" s="1"/>
      <c r="AY219" s="1"/>
      <c r="AZ219" s="1"/>
      <c r="BA219" s="1"/>
      <c r="BB219" s="1"/>
      <c r="BD219" s="1"/>
      <c r="BE219" s="1"/>
      <c r="BF219" s="1"/>
      <c r="BG219" s="1"/>
      <c r="BH219" s="1"/>
      <c r="BI219" s="1"/>
      <c r="BK219" s="1"/>
      <c r="CH219">
        <v>17</v>
      </c>
      <c r="CI219" t="s">
        <v>35</v>
      </c>
      <c r="CJ219" s="8">
        <v>43935</v>
      </c>
      <c r="CK219">
        <v>177</v>
      </c>
      <c r="CM219">
        <v>6</v>
      </c>
    </row>
    <row r="220" spans="1:206" ht="19.5">
      <c r="C220">
        <f>H219*D220</f>
        <v>8853.6430381087139</v>
      </c>
      <c r="D220">
        <f>D219</f>
        <v>0.018182450285099998</v>
      </c>
      <c r="E220" t="s">
        <v>15</v>
      </c>
      <c r="F220" s="9">
        <v>44110</v>
      </c>
      <c r="H220">
        <f>H219+C220</f>
        <v>495787.0815617395</v>
      </c>
      <c r="S220" s="1"/>
      <c r="U220" s="1"/>
      <c r="V220" s="1"/>
      <c r="W220" s="1"/>
      <c r="X220" s="1"/>
      <c r="Y220" s="1"/>
      <c r="Z220" s="1"/>
      <c r="AB220" s="1"/>
      <c r="AC220" s="1"/>
      <c r="AD220" s="1"/>
      <c r="AE220" s="1"/>
      <c r="AF220" s="1"/>
      <c r="AG220" s="1"/>
      <c r="AI220" s="1"/>
      <c r="AJ220" s="1"/>
      <c r="AY220" s="1"/>
      <c r="AZ220" s="1"/>
      <c r="BA220" s="1"/>
      <c r="BB220" s="1"/>
      <c r="BD220" s="1"/>
      <c r="BE220" s="1"/>
      <c r="BF220" s="1"/>
      <c r="BG220" s="1"/>
      <c r="BH220" s="1"/>
      <c r="BI220" s="1"/>
      <c r="BK220" s="1"/>
      <c r="CH220">
        <v>17</v>
      </c>
      <c r="CI220" t="s">
        <v>35</v>
      </c>
      <c r="CJ220" s="8">
        <v>43936</v>
      </c>
      <c r="CK220">
        <v>180</v>
      </c>
      <c r="CM220">
        <v>9</v>
      </c>
    </row>
    <row r="221" spans="1:206" ht="19.5">
      <c r="C221">
        <f>H220*D221</f>
        <v>9014.6239624911468</v>
      </c>
      <c r="D221">
        <f>D220</f>
        <v>0.018182450285099998</v>
      </c>
      <c r="E221" t="s">
        <v>16</v>
      </c>
      <c r="F221" s="9">
        <v>44111</v>
      </c>
      <c r="H221">
        <f>H220+C221</f>
        <v>504801.70552423067</v>
      </c>
      <c r="S221" s="1"/>
      <c r="U221" s="1"/>
      <c r="V221" s="1"/>
      <c r="W221" s="1"/>
      <c r="X221" s="1"/>
      <c r="Y221" s="1"/>
      <c r="Z221" s="1"/>
      <c r="AB221" s="1"/>
      <c r="AC221" s="1"/>
      <c r="AD221" s="1"/>
      <c r="AE221" s="1"/>
      <c r="AF221" s="1"/>
      <c r="AG221" s="1"/>
      <c r="AI221" s="1"/>
      <c r="AJ221" s="1"/>
      <c r="AY221" s="1"/>
      <c r="AZ221" s="1"/>
      <c r="BA221" s="1"/>
      <c r="BB221" s="1"/>
      <c r="BD221" s="1"/>
      <c r="BE221" s="1"/>
      <c r="BF221" s="1"/>
      <c r="BG221" s="1"/>
      <c r="BH221" s="1"/>
      <c r="BI221" s="1"/>
      <c r="BK221" s="1"/>
      <c r="CH221">
        <v>17</v>
      </c>
      <c r="CI221" t="s">
        <v>35</v>
      </c>
      <c r="CJ221" s="8">
        <v>43937</v>
      </c>
      <c r="CK221">
        <v>213</v>
      </c>
      <c r="CL221">
        <v>355</v>
      </c>
      <c r="CM221">
        <v>10</v>
      </c>
    </row>
    <row r="222" spans="1:206" ht="19.5">
      <c r="C222">
        <f>H221*D222</f>
        <v>9178.5319145280137</v>
      </c>
      <c r="D222">
        <f>D221</f>
        <v>0.018182450285099998</v>
      </c>
      <c r="E222" t="s">
        <v>17</v>
      </c>
      <c r="F222" s="9">
        <v>44112</v>
      </c>
      <c r="H222">
        <f>H221+C222</f>
        <v>513980.23743875866</v>
      </c>
      <c r="S222" s="1"/>
      <c r="U222" s="1"/>
      <c r="V222" s="1"/>
      <c r="W222" s="1"/>
      <c r="X222" s="1"/>
      <c r="Y222" s="1"/>
      <c r="Z222" s="1"/>
      <c r="AB222" s="1"/>
      <c r="AC222" s="1"/>
      <c r="AD222" s="1"/>
      <c r="AE222" s="1"/>
      <c r="AF222" s="1"/>
      <c r="AG222" s="1"/>
      <c r="AI222" s="1"/>
      <c r="AJ222" s="1"/>
      <c r="AY222" s="1"/>
      <c r="AZ222" s="1"/>
      <c r="BA222" s="1"/>
      <c r="BB222" s="1"/>
      <c r="BD222" s="1"/>
      <c r="BE222" s="1"/>
      <c r="BF222" s="1"/>
      <c r="BG222" s="1"/>
      <c r="BH222" s="1"/>
      <c r="BI222" s="1"/>
      <c r="BK222" s="1"/>
      <c r="CH222">
        <v>17</v>
      </c>
      <c r="CI222" t="s">
        <v>35</v>
      </c>
      <c r="CJ222" s="8">
        <v>43938</v>
      </c>
      <c r="CK222">
        <v>224</v>
      </c>
      <c r="CL222">
        <v>373</v>
      </c>
      <c r="CM222">
        <v>14</v>
      </c>
    </row>
    <row r="223" spans="1:206" ht="19.5">
      <c r="C223">
        <f>H222*D223</f>
        <v>9345.4201147541226</v>
      </c>
      <c r="D223">
        <f>D222</f>
        <v>0.018182450285099998</v>
      </c>
      <c r="E223" t="s">
        <v>18</v>
      </c>
      <c r="F223" s="9">
        <v>44113</v>
      </c>
      <c r="H223">
        <f>H222+C223</f>
        <v>523325.65755351278</v>
      </c>
      <c r="S223" s="1"/>
      <c r="U223" s="1"/>
      <c r="V223" s="1"/>
      <c r="W223" s="1"/>
      <c r="X223" s="1"/>
      <c r="Y223" s="1"/>
      <c r="Z223" s="1"/>
      <c r="AB223" s="1"/>
      <c r="AC223" s="1"/>
      <c r="AD223" s="1"/>
      <c r="AE223" s="1"/>
      <c r="AF223" s="1"/>
      <c r="AG223" s="1"/>
      <c r="AI223" s="1"/>
      <c r="AJ223" s="1"/>
      <c r="AY223" s="1"/>
      <c r="AZ223" s="1"/>
      <c r="BA223" s="1"/>
      <c r="BB223" s="1"/>
      <c r="BD223" s="1"/>
      <c r="BE223" s="1"/>
      <c r="BF223" s="1"/>
      <c r="BG223" s="1"/>
      <c r="BH223" s="1"/>
      <c r="BI223" s="1"/>
      <c r="BK223" s="1"/>
      <c r="CH223">
        <v>17</v>
      </c>
      <c r="CI223" t="s">
        <v>35</v>
      </c>
      <c r="CJ223" s="8">
        <v>43939</v>
      </c>
      <c r="CK223">
        <v>238</v>
      </c>
      <c r="CL223">
        <v>396</v>
      </c>
      <c r="CM223">
        <v>15</v>
      </c>
    </row>
    <row r="224" spans="1:206" ht="19.5">
      <c r="C224">
        <f>H223*D224</f>
        <v>9515.3427513840124</v>
      </c>
      <c r="D224">
        <f>D223</f>
        <v>0.018182450285099998</v>
      </c>
      <c r="E224" t="s">
        <v>19</v>
      </c>
      <c r="F224" s="9">
        <v>44114</v>
      </c>
      <c r="H224">
        <f>H223+C224</f>
        <v>532841.00030489673</v>
      </c>
      <c r="S224" s="1"/>
      <c r="U224" s="1"/>
      <c r="V224" s="1"/>
      <c r="W224" s="1"/>
      <c r="X224" s="1"/>
      <c r="Y224" s="1"/>
      <c r="Z224" s="1"/>
      <c r="AB224" s="1"/>
      <c r="AC224" s="1"/>
      <c r="AD224" s="1"/>
      <c r="AE224" s="1"/>
      <c r="AF224" s="1"/>
      <c r="AG224" s="1"/>
      <c r="AI224" s="1"/>
      <c r="AJ224" s="1"/>
      <c r="AY224" s="1"/>
      <c r="AZ224" s="1"/>
      <c r="BA224" s="1"/>
      <c r="BB224" s="1"/>
      <c r="BD224" s="1"/>
      <c r="BE224" s="1"/>
      <c r="BF224" s="1"/>
      <c r="BG224" s="1"/>
      <c r="BH224" s="1"/>
      <c r="BI224" s="1"/>
      <c r="BK224" s="1"/>
      <c r="CH224">
        <v>17</v>
      </c>
      <c r="CI224" t="s">
        <v>35</v>
      </c>
      <c r="CJ224" s="8">
        <v>43940</v>
      </c>
      <c r="CK224">
        <v>241</v>
      </c>
      <c r="CL224">
        <v>401</v>
      </c>
      <c r="CM224">
        <v>15</v>
      </c>
    </row>
    <row r="225" spans="1:206" ht="19.5">
      <c r="C225">
        <f>H224*D225</f>
        <v>9688.3549979067375</v>
      </c>
      <c r="D225">
        <f>D224</f>
        <v>0.018182450285099998</v>
      </c>
      <c r="E225" t="s">
        <v>12</v>
      </c>
      <c r="F225" s="9">
        <v>44115</v>
      </c>
      <c r="H225">
        <f>H224+C225</f>
        <v>542529.35530280345</v>
      </c>
      <c r="S225" s="1"/>
      <c r="U225" s="1"/>
      <c r="V225" s="1"/>
      <c r="W225" s="1"/>
      <c r="X225" s="1"/>
      <c r="Y225" s="1"/>
      <c r="Z225" s="1"/>
      <c r="AB225" s="1"/>
      <c r="AC225" s="1"/>
      <c r="AD225" s="1"/>
      <c r="AE225" s="1"/>
      <c r="AF225" s="1"/>
      <c r="AG225" s="1"/>
      <c r="AI225" s="1"/>
      <c r="AJ225" s="1"/>
      <c r="AY225" s="1"/>
      <c r="AZ225" s="1"/>
      <c r="BA225" s="1"/>
      <c r="BB225" s="1"/>
      <c r="BD225" s="1"/>
      <c r="BE225" s="1"/>
      <c r="BF225" s="1"/>
      <c r="BG225" s="1"/>
      <c r="BH225" s="1"/>
      <c r="BI225" s="1"/>
      <c r="BK225" s="1"/>
      <c r="CH225">
        <v>17</v>
      </c>
      <c r="CI225" t="s">
        <v>35</v>
      </c>
      <c r="CJ225" s="8">
        <v>43941</v>
      </c>
      <c r="CK225">
        <v>271</v>
      </c>
      <c r="CL225">
        <v>451</v>
      </c>
      <c r="CM225">
        <v>20</v>
      </c>
    </row>
    <row r="226" spans="1:206" ht="19.5">
      <c r="C226">
        <f>H225*D226</f>
        <v>9864.513031000577</v>
      </c>
      <c r="D226">
        <f>D225</f>
        <v>0.018182450285099998</v>
      </c>
      <c r="E226" t="s">
        <v>14</v>
      </c>
      <c r="F226" s="9">
        <v>44116</v>
      </c>
      <c r="H226">
        <f>H225+C226</f>
        <v>552393.86833380407</v>
      </c>
      <c r="S226" s="1"/>
      <c r="U226" s="1"/>
      <c r="V226" s="1"/>
      <c r="W226" s="1"/>
      <c r="X226" s="1"/>
      <c r="Y226" s="1"/>
      <c r="Z226" s="1"/>
      <c r="AB226" s="1"/>
      <c r="AC226" s="1"/>
      <c r="AD226" s="1"/>
      <c r="AE226" s="1"/>
      <c r="AF226" s="1"/>
      <c r="AG226" s="1"/>
      <c r="AI226" s="1"/>
      <c r="AJ226" s="1"/>
      <c r="AY226" s="1"/>
      <c r="AZ226" s="1"/>
      <c r="BA226" s="1"/>
      <c r="BB226" s="1"/>
      <c r="BD226" s="1"/>
      <c r="BE226" s="1"/>
      <c r="BF226" s="1"/>
      <c r="BG226" s="1"/>
      <c r="BH226" s="1"/>
      <c r="BI226" s="1"/>
      <c r="BK226" s="1"/>
      <c r="CH226">
        <v>17</v>
      </c>
      <c r="CI226" t="s">
        <v>35</v>
      </c>
      <c r="CJ226" s="8">
        <v>43942</v>
      </c>
      <c r="CK226">
        <v>281</v>
      </c>
      <c r="CL226">
        <v>468</v>
      </c>
      <c r="CM226">
        <v>24</v>
      </c>
    </row>
    <row r="227" spans="1:206" ht="19.5">
      <c r="C227">
        <f>H226*D227</f>
        <v>10043.874048773467</v>
      </c>
      <c r="D227">
        <f>D226</f>
        <v>0.018182450285099998</v>
      </c>
      <c r="E227" t="s">
        <v>15</v>
      </c>
      <c r="F227" s="9">
        <v>44117</v>
      </c>
      <c r="H227">
        <f>H226+C227</f>
        <v>562437.7423825775</v>
      </c>
      <c r="S227" s="1"/>
      <c r="U227" s="1"/>
      <c r="V227" s="1"/>
      <c r="W227" s="1"/>
      <c r="X227" s="1"/>
      <c r="Y227" s="1"/>
      <c r="Z227" s="1"/>
      <c r="AB227" s="1"/>
      <c r="AC227" s="1"/>
      <c r="AD227" s="1"/>
      <c r="AE227" s="1"/>
      <c r="AF227" s="1"/>
      <c r="AG227" s="1"/>
      <c r="AI227" s="1"/>
      <c r="AJ227" s="1"/>
      <c r="AY227" s="1"/>
      <c r="AZ227" s="1"/>
      <c r="BA227" s="1"/>
      <c r="BB227" s="1"/>
      <c r="BD227" s="1"/>
      <c r="BE227" s="1"/>
      <c r="BF227" s="1"/>
      <c r="BG227" s="1"/>
      <c r="BH227" s="1"/>
      <c r="BI227" s="1"/>
      <c r="BK227" s="1"/>
      <c r="CH227">
        <v>17</v>
      </c>
      <c r="CI227" t="s">
        <v>35</v>
      </c>
      <c r="CJ227" s="8">
        <v>43943</v>
      </c>
      <c r="CK227">
        <v>288</v>
      </c>
      <c r="CL227">
        <v>480</v>
      </c>
      <c r="CM227">
        <v>27</v>
      </c>
    </row>
    <row r="228" spans="1:206" ht="19.5">
      <c r="C228">
        <f>H227*D228</f>
        <v>10226.496289335097</v>
      </c>
      <c r="D228">
        <f>D227</f>
        <v>0.018182450285099998</v>
      </c>
      <c r="E228" t="s">
        <v>16</v>
      </c>
      <c r="F228" s="9">
        <v>44118</v>
      </c>
      <c r="H228">
        <f>H227+C228</f>
        <v>572664.23867191258</v>
      </c>
      <c r="S228" s="1"/>
      <c r="U228" s="1"/>
      <c r="V228" s="1"/>
      <c r="W228" s="1"/>
      <c r="X228" s="1"/>
      <c r="Y228" s="1"/>
      <c r="Z228" s="1"/>
      <c r="AB228" s="1"/>
      <c r="AC228" s="1"/>
      <c r="AD228" s="1"/>
      <c r="AE228" s="1"/>
      <c r="AF228" s="1"/>
      <c r="AG228" s="1"/>
      <c r="AI228" s="1"/>
      <c r="AJ228" s="1"/>
      <c r="AY228" s="1"/>
      <c r="AZ228" s="1"/>
      <c r="BA228" s="1"/>
      <c r="BB228" s="1"/>
      <c r="BD228" s="1"/>
      <c r="BE228" s="1"/>
      <c r="BF228" s="1"/>
      <c r="BG228" s="1"/>
      <c r="BH228" s="1"/>
      <c r="BI228" s="1"/>
      <c r="BK228" s="1"/>
      <c r="CH228">
        <v>17</v>
      </c>
      <c r="CI228" t="s">
        <v>35</v>
      </c>
      <c r="CJ228" s="8">
        <v>43944</v>
      </c>
      <c r="CK228">
        <v>291</v>
      </c>
      <c r="CL228">
        <v>485</v>
      </c>
      <c r="CM228">
        <v>27</v>
      </c>
    </row>
    <row r="229" spans="1:206" ht="19.5">
      <c r="C229">
        <f>H228*D229</f>
        <v>10412.439049706691</v>
      </c>
      <c r="D229">
        <f>D228</f>
        <v>0.018182450285099998</v>
      </c>
      <c r="E229" t="s">
        <v>17</v>
      </c>
      <c r="F229" s="9">
        <v>44119</v>
      </c>
      <c r="H229">
        <f>H228+C229</f>
        <v>583076.67772161926</v>
      </c>
      <c r="S229" s="1"/>
      <c r="U229" s="1"/>
      <c r="V229" s="1"/>
      <c r="W229" s="1"/>
      <c r="X229" s="1"/>
      <c r="Y229" s="1"/>
      <c r="Z229" s="1"/>
      <c r="AB229" s="1"/>
      <c r="AC229" s="1"/>
      <c r="AD229" s="1"/>
      <c r="AE229" s="1"/>
      <c r="AF229" s="1"/>
      <c r="AG229" s="1"/>
      <c r="AI229" s="1"/>
      <c r="AJ229" s="1"/>
      <c r="AY229" s="1"/>
      <c r="AZ229" s="1"/>
      <c r="BA229" s="1"/>
      <c r="BB229" s="1"/>
      <c r="BD229" s="1"/>
      <c r="BE229" s="1"/>
      <c r="BF229" s="1"/>
      <c r="BG229" s="1"/>
      <c r="BH229" s="1"/>
      <c r="BI229" s="1"/>
      <c r="BK229" s="1"/>
      <c r="CH229">
        <v>17</v>
      </c>
      <c r="CI229" t="s">
        <v>35</v>
      </c>
      <c r="CJ229" s="8">
        <v>43945</v>
      </c>
      <c r="CK229">
        <v>300</v>
      </c>
      <c r="CL229">
        <v>500</v>
      </c>
      <c r="CM229">
        <v>34</v>
      </c>
    </row>
    <row r="230" spans="1:206" ht="19.5">
      <c r="C230">
        <f>H229*D230</f>
        <v>10601.762705074616</v>
      </c>
      <c r="D230">
        <f>D229</f>
        <v>0.018182450285099998</v>
      </c>
      <c r="E230" t="s">
        <v>18</v>
      </c>
      <c r="F230" s="9">
        <v>44120</v>
      </c>
      <c r="H230">
        <f>H229+C230</f>
        <v>593678.44042669388</v>
      </c>
      <c r="S230" s="1"/>
      <c r="U230" s="1"/>
      <c r="V230" s="1"/>
      <c r="W230" s="1"/>
      <c r="X230" s="1"/>
      <c r="Y230" s="1"/>
      <c r="Z230" s="1"/>
      <c r="AB230" s="1"/>
      <c r="AC230" s="1"/>
      <c r="AD230" s="1"/>
      <c r="AE230" s="1"/>
      <c r="AF230" s="1"/>
      <c r="AG230" s="1"/>
      <c r="AI230" s="1"/>
      <c r="AJ230" s="1"/>
      <c r="AY230" s="1"/>
      <c r="AZ230" s="1"/>
      <c r="BA230" s="1"/>
      <c r="BB230" s="1"/>
      <c r="BD230" s="1"/>
      <c r="BE230" s="1"/>
      <c r="BF230" s="1"/>
      <c r="BG230" s="1"/>
      <c r="BH230" s="1"/>
      <c r="BI230" s="1"/>
      <c r="BK230" s="1"/>
      <c r="CH230">
        <v>17</v>
      </c>
      <c r="CI230" t="s">
        <v>35</v>
      </c>
      <c r="CJ230" s="8">
        <v>43946</v>
      </c>
      <c r="CK230">
        <v>314</v>
      </c>
      <c r="CL230">
        <v>523</v>
      </c>
      <c r="CM230">
        <v>37</v>
      </c>
    </row>
    <row r="231" spans="1:206" ht="19.5">
      <c r="C231">
        <f>H230*D231</f>
        <v>10794.528728394063</v>
      </c>
      <c r="D231">
        <f>D230</f>
        <v>0.018182450285099998</v>
      </c>
      <c r="E231" t="s">
        <v>19</v>
      </c>
      <c r="F231" s="9">
        <v>44121</v>
      </c>
      <c r="H231">
        <f>H230+C231</f>
        <v>604472.96915508795</v>
      </c>
      <c r="S231" s="1"/>
      <c r="U231" s="1"/>
      <c r="V231" s="1"/>
      <c r="W231" s="1"/>
      <c r="X231" s="1"/>
      <c r="Y231" s="1"/>
      <c r="Z231" s="1"/>
      <c r="AB231" s="1"/>
      <c r="AC231" s="1"/>
      <c r="AD231" s="1"/>
      <c r="AE231" s="1"/>
      <c r="AF231" s="1"/>
      <c r="AG231" s="1"/>
      <c r="AI231" s="1"/>
      <c r="AJ231" s="1"/>
      <c r="CH231">
        <v>17</v>
      </c>
      <c r="CI231" t="s">
        <v>35</v>
      </c>
      <c r="CJ231" s="8">
        <v>43947</v>
      </c>
      <c r="CK231">
        <v>321</v>
      </c>
      <c r="CL231">
        <v>535</v>
      </c>
      <c r="CM231">
        <v>38</v>
      </c>
    </row>
    <row r="232" spans="1:206" ht="19.5">
      <c r="C232">
        <f>H231*D232</f>
        <v>10990.799710349171</v>
      </c>
      <c r="D232">
        <f>D231</f>
        <v>0.018182450285099998</v>
      </c>
      <c r="E232" t="s">
        <v>12</v>
      </c>
      <c r="F232" s="9">
        <v>44122</v>
      </c>
      <c r="H232">
        <f>H231+C232</f>
        <v>615463.76886543713</v>
      </c>
      <c r="S232" s="1"/>
      <c r="U232" s="1"/>
      <c r="V232" s="1"/>
      <c r="W232" s="1"/>
      <c r="X232" s="1"/>
      <c r="Y232" s="1"/>
      <c r="Z232" s="1"/>
      <c r="AB232" s="1"/>
      <c r="AC232" s="1"/>
      <c r="AD232" s="1"/>
      <c r="AE232" s="1"/>
      <c r="AF232" s="1"/>
      <c r="AG232" s="1"/>
      <c r="AI232" s="1"/>
      <c r="AJ232" s="1"/>
      <c r="CH232">
        <v>17</v>
      </c>
      <c r="CI232" t="s">
        <v>35</v>
      </c>
      <c r="CJ232" s="8">
        <v>43948</v>
      </c>
      <c r="CK232">
        <v>333</v>
      </c>
      <c r="CL232">
        <v>555</v>
      </c>
      <c r="CM232">
        <v>42</v>
      </c>
    </row>
    <row r="233" spans="1:206" ht="19.5">
      <c r="C233">
        <f>H232*D233</f>
        <v>11190.639379676088</v>
      </c>
      <c r="D233">
        <f>D232</f>
        <v>0.018182450285099998</v>
      </c>
      <c r="E233" t="s">
        <v>14</v>
      </c>
      <c r="F233" s="9">
        <v>44123</v>
      </c>
      <c r="H233">
        <f>H232+C233</f>
        <v>626654.40824511321</v>
      </c>
      <c r="S233" s="1"/>
      <c r="U233" s="1"/>
      <c r="V233" s="1"/>
      <c r="W233" s="1"/>
      <c r="X233" s="1"/>
      <c r="Y233" s="1"/>
      <c r="Z233" s="1"/>
      <c r="AB233" s="1"/>
      <c r="AC233" s="1"/>
      <c r="AD233" s="1"/>
      <c r="AE233" s="1"/>
      <c r="AF233" s="1"/>
      <c r="AG233" s="1"/>
      <c r="AI233" s="1"/>
      <c r="AJ233" s="1"/>
      <c r="CH233">
        <v>17</v>
      </c>
      <c r="CI233" t="s">
        <v>35</v>
      </c>
      <c r="CJ233" s="8">
        <v>43949</v>
      </c>
      <c r="CK233">
        <v>337</v>
      </c>
      <c r="CL233">
        <v>561</v>
      </c>
      <c r="CM233">
        <v>46</v>
      </c>
    </row>
    <row r="234" spans="1:206" ht="19.5">
      <c r="C234">
        <f>H233*D234</f>
        <v>11394.11262385553</v>
      </c>
      <c r="D234">
        <f>D233</f>
        <v>0.018182450285099998</v>
      </c>
      <c r="E234" t="s">
        <v>15</v>
      </c>
      <c r="F234" s="9">
        <v>44124</v>
      </c>
      <c r="H234">
        <f>H233+C234</f>
        <v>638048.52086896868</v>
      </c>
      <c r="CH234">
        <v>17</v>
      </c>
      <c r="CI234" t="s">
        <v>35</v>
      </c>
      <c r="CJ234" s="8">
        <v>43950</v>
      </c>
      <c r="CK234">
        <v>343</v>
      </c>
      <c r="CL234">
        <v>571</v>
      </c>
      <c r="CM234">
        <v>49</v>
      </c>
    </row>
    <row r="235" spans="1:206" ht="19.5">
      <c r="C235">
        <f>H234*D235</f>
        <v>11601.285510181611</v>
      </c>
      <c r="D235">
        <f>D234</f>
        <v>0.018182450285099998</v>
      </c>
      <c r="E235" t="s">
        <v>16</v>
      </c>
      <c r="F235" s="9">
        <v>44125</v>
      </c>
      <c r="H235">
        <f>H234+C235</f>
        <v>649649.80637915025</v>
      </c>
      <c r="CH235">
        <v>17</v>
      </c>
      <c r="CI235" t="s">
        <v>35</v>
      </c>
      <c r="CJ235" s="8">
        <v>43951</v>
      </c>
      <c r="CK235">
        <v>360</v>
      </c>
      <c r="CL235">
        <v>600</v>
      </c>
      <c r="CM235">
        <v>49</v>
      </c>
    </row>
    <row r="236" spans="1:206" ht="19.5">
      <c r="C236">
        <f>H235*D236</f>
        <v>11812.225307213739</v>
      </c>
      <c r="D236">
        <f>D235</f>
        <v>0.018182450285099998</v>
      </c>
      <c r="E236" t="s">
        <v>17</v>
      </c>
      <c r="F236" s="9">
        <v>44126</v>
      </c>
      <c r="H236">
        <f>H235+C236</f>
        <v>661462.03168636397</v>
      </c>
      <c r="CH236">
        <v>20</v>
      </c>
      <c r="CI236" t="s">
        <v>36</v>
      </c>
      <c r="CJ236" s="8">
        <v>43914</v>
      </c>
      <c r="CK236">
        <v>1</v>
      </c>
      <c r="CM236">
        <v>0</v>
      </c>
    </row>
    <row r="237" spans="1:206" ht="19.5">
      <c r="C237">
        <f>H236*D237</f>
        <v>12027.000506618553</v>
      </c>
      <c r="D237">
        <f>D236</f>
        <v>0.018182450285099998</v>
      </c>
      <c r="E237" t="s">
        <v>18</v>
      </c>
      <c r="F237" s="9">
        <v>44127</v>
      </c>
      <c r="H237">
        <f>H236+C237</f>
        <v>673489.0321929825</v>
      </c>
      <c r="CH237">
        <v>20</v>
      </c>
      <c r="CI237" t="s">
        <v>36</v>
      </c>
      <c r="CJ237" s="8">
        <v>43915</v>
      </c>
      <c r="CK237">
        <v>1</v>
      </c>
      <c r="CM237">
        <v>0</v>
      </c>
    </row>
    <row r="238" spans="1:206" ht="19.5">
      <c r="C238">
        <f>H237*D238</f>
        <v>12245.680845409017</v>
      </c>
      <c r="D238">
        <f>D237</f>
        <v>0.018182450285099998</v>
      </c>
      <c r="E238" t="s">
        <v>19</v>
      </c>
      <c r="F238" s="9">
        <v>44128</v>
      </c>
      <c r="H238">
        <f>H237+C238</f>
        <v>685734.71303839155</v>
      </c>
      <c r="CH238">
        <v>20</v>
      </c>
      <c r="CI238" t="s">
        <v>36</v>
      </c>
      <c r="CJ238" s="8">
        <v>43916</v>
      </c>
      <c r="CK238">
        <v>1</v>
      </c>
      <c r="CM238">
        <v>0</v>
      </c>
    </row>
    <row r="239" spans="1:206" ht="19.5">
      <c r="C239">
        <f>H238*D239</f>
        <v>12468.337328587868</v>
      </c>
      <c r="D239">
        <f>D238</f>
        <v>0.018182450285099998</v>
      </c>
      <c r="E239" t="s">
        <v>12</v>
      </c>
      <c r="F239" s="9">
        <v>44129</v>
      </c>
      <c r="H239">
        <f>H238+C239</f>
        <v>698203.05036697944</v>
      </c>
      <c r="CH239">
        <v>20</v>
      </c>
      <c r="CI239" t="s">
        <v>36</v>
      </c>
      <c r="CJ239" s="8">
        <v>43917</v>
      </c>
      <c r="CK239">
        <v>3</v>
      </c>
      <c r="CM239">
        <v>0</v>
      </c>
    </row>
    <row r="240" spans="1:206" ht="19.5">
      <c r="C240">
        <f>H239*D240</f>
        <v>12695.042252202775</v>
      </c>
      <c r="D240">
        <f>D239</f>
        <v>0.018182450285099998</v>
      </c>
      <c r="E240" t="s">
        <v>14</v>
      </c>
      <c r="F240" s="9">
        <v>44130</v>
      </c>
      <c r="H240">
        <f>H239+C240</f>
        <v>710898.09261918219</v>
      </c>
      <c r="CH240">
        <v>20</v>
      </c>
      <c r="CI240" t="s">
        <v>36</v>
      </c>
      <c r="CJ240" s="8">
        <v>43918</v>
      </c>
      <c r="CK240">
        <v>4</v>
      </c>
      <c r="CM240">
        <v>0</v>
      </c>
    </row>
    <row r="241" spans="1:206" ht="19.5">
      <c r="C241">
        <f>H240*D241</f>
        <v>12925.869226820694</v>
      </c>
      <c r="D241">
        <f>D240</f>
        <v>0.018182450285099998</v>
      </c>
      <c r="E241" t="s">
        <v>15</v>
      </c>
      <c r="F241" s="9">
        <v>44131</v>
      </c>
      <c r="H241">
        <f>H240+C241</f>
        <v>723823.96184600284</v>
      </c>
      <c r="CH241">
        <v>20</v>
      </c>
      <c r="CI241" t="s">
        <v>36</v>
      </c>
      <c r="CJ241" s="8">
        <v>43919</v>
      </c>
      <c r="CK241">
        <v>4</v>
      </c>
      <c r="CM241">
        <v>0</v>
      </c>
    </row>
    <row r="242" spans="1:206" ht="19.5">
      <c r="C242">
        <f>H241*D242</f>
        <v>13160.893201429064</v>
      </c>
      <c r="D242">
        <f>D241</f>
        <v>0.018182450285099998</v>
      </c>
      <c r="E242" t="s">
        <v>16</v>
      </c>
      <c r="F242" s="9">
        <v>44132</v>
      </c>
      <c r="H242">
        <f>H241+C242</f>
        <v>736984.85504743189</v>
      </c>
      <c r="CH242">
        <v>20</v>
      </c>
      <c r="CI242" t="s">
        <v>36</v>
      </c>
      <c r="CJ242" s="8">
        <v>43920</v>
      </c>
      <c r="CK242">
        <v>4</v>
      </c>
      <c r="CM242">
        <v>0</v>
      </c>
    </row>
    <row r="243" spans="1:206" ht="19.5">
      <c r="C243">
        <f>H242*D243</f>
        <v>13400.190487771559</v>
      </c>
      <c r="D243">
        <f>D242</f>
        <v>0.018182450285099998</v>
      </c>
      <c r="E243" t="s">
        <v>17</v>
      </c>
      <c r="F243" s="9">
        <v>44133</v>
      </c>
      <c r="H243">
        <f>H242+C243</f>
        <v>750385.04553520342</v>
      </c>
      <c r="CH243">
        <v>20</v>
      </c>
      <c r="CI243" t="s">
        <v>36</v>
      </c>
      <c r="CJ243" s="8">
        <v>43921</v>
      </c>
      <c r="CK243">
        <v>5</v>
      </c>
      <c r="CM243">
        <v>0</v>
      </c>
    </row>
    <row r="244" spans="1:206" ht="19.5">
      <c r="C244">
        <f>H243*D244</f>
        <v>13643.838785126334</v>
      </c>
      <c r="D244">
        <f>D243</f>
        <v>0.018182450285099998</v>
      </c>
      <c r="E244" t="s">
        <v>18</v>
      </c>
      <c r="F244" s="9">
        <v>44134</v>
      </c>
      <c r="H244">
        <f>H243+C244</f>
        <v>764028.88432032976</v>
      </c>
      <c r="CH244">
        <v>20</v>
      </c>
      <c r="CI244" t="s">
        <v>36</v>
      </c>
      <c r="CJ244" s="8">
        <v>43922</v>
      </c>
      <c r="CK244">
        <v>5</v>
      </c>
      <c r="CM244">
        <v>0</v>
      </c>
    </row>
    <row r="245" spans="1:206" ht="19.5">
      <c r="C245">
        <f>H244*D245</f>
        <v>13891.917205534814</v>
      </c>
      <c r="D245">
        <f>D244</f>
        <v>0.018182450285099998</v>
      </c>
      <c r="E245" t="s">
        <v>19</v>
      </c>
      <c r="F245" s="9">
        <v>44135</v>
      </c>
      <c r="H245">
        <f>H244+C245</f>
        <v>777920.80152586452</v>
      </c>
      <c r="CH245">
        <v>20</v>
      </c>
      <c r="CI245" t="s">
        <v>36</v>
      </c>
      <c r="CJ245" s="8">
        <v>43923</v>
      </c>
      <c r="CK245">
        <v>5</v>
      </c>
      <c r="CM245">
        <v>0</v>
      </c>
    </row>
    <row r="246" spans="1:206" ht="19.5">
      <c r="C246">
        <f>H245*D246</f>
        <v>14144.506299489174</v>
      </c>
      <c r="D246">
        <f>D245</f>
        <v>0.018182450285099998</v>
      </c>
      <c r="E246" t="s">
        <v>12</v>
      </c>
      <c r="F246" s="9">
        <v>44136</v>
      </c>
      <c r="H246">
        <f>H245+C246</f>
        <v>792065.3078253537</v>
      </c>
      <c r="CH246">
        <v>20</v>
      </c>
      <c r="CI246" t="s">
        <v>36</v>
      </c>
      <c r="CJ246" s="8">
        <v>43924</v>
      </c>
      <c r="CK246">
        <v>6</v>
      </c>
      <c r="CM246">
        <v>0</v>
      </c>
    </row>
    <row r="247" spans="1:206" ht="19.5">
      <c r="C247">
        <f>H246*D247</f>
        <v>14401.688082086921</v>
      </c>
      <c r="D247">
        <f>D246</f>
        <v>0.018182450285099998</v>
      </c>
      <c r="E247" t="s">
        <v>14</v>
      </c>
      <c r="F247" s="9">
        <v>44137</v>
      </c>
      <c r="H247">
        <f>H246+C247</f>
        <v>806466.99590744067</v>
      </c>
      <c r="CH247">
        <v>20</v>
      </c>
      <c r="CI247" t="s">
        <v>36</v>
      </c>
      <c r="CJ247" s="8">
        <v>43925</v>
      </c>
      <c r="CK247">
        <v>6</v>
      </c>
      <c r="CM247">
        <v>0</v>
      </c>
    </row>
    <row r="248" spans="1:206" ht="19.5">
      <c r="C248">
        <f>H247*D248</f>
        <v>14663.546059660985</v>
      </c>
      <c r="D248">
        <f>D247</f>
        <v>0.018182450285099998</v>
      </c>
      <c r="E248" t="s">
        <v>15</v>
      </c>
      <c r="F248" s="9">
        <v>44138</v>
      </c>
      <c r="H248">
        <f>H247+C248</f>
        <v>821130.54196710163</v>
      </c>
      <c r="CH248">
        <v>20</v>
      </c>
      <c r="CI248" t="s">
        <v>36</v>
      </c>
      <c r="CJ248" s="8">
        <v>43926</v>
      </c>
      <c r="CK248">
        <v>6</v>
      </c>
      <c r="CM248">
        <v>0</v>
      </c>
    </row>
    <row r="249" spans="1:206" ht="19.5">
      <c r="C249">
        <f>H248*D249</f>
        <v>14930.165256894043</v>
      </c>
      <c r="D249">
        <f>D248</f>
        <v>0.018182450285099998</v>
      </c>
      <c r="E249" t="s">
        <v>16</v>
      </c>
      <c r="F249" s="9">
        <v>44139</v>
      </c>
      <c r="H249">
        <f>H248+C249</f>
        <v>836060.70722399571</v>
      </c>
      <c r="CH249">
        <v>20</v>
      </c>
      <c r="CI249" t="s">
        <v>36</v>
      </c>
      <c r="CJ249" s="8">
        <v>43927</v>
      </c>
      <c r="CK249">
        <v>6</v>
      </c>
      <c r="CM249">
        <v>0</v>
      </c>
    </row>
    <row r="250" spans="1:206" ht="19.5">
      <c r="C250">
        <f>H249*D250</f>
        <v>15201.632244425848</v>
      </c>
      <c r="D250">
        <f>D249</f>
        <v>0.018182450285099998</v>
      </c>
      <c r="E250" t="s">
        <v>17</v>
      </c>
      <c r="F250" s="9">
        <v>44140</v>
      </c>
      <c r="H250">
        <f>H249+C250</f>
        <v>851262.33946842153</v>
      </c>
      <c r="CH250">
        <v>20</v>
      </c>
      <c r="CI250" t="s">
        <v>36</v>
      </c>
      <c r="CJ250" s="8">
        <v>43928</v>
      </c>
      <c r="CK250">
        <v>6</v>
      </c>
      <c r="CM250">
        <v>0</v>
      </c>
    </row>
    <row r="251" spans="1:206" ht="19.5">
      <c r="C251">
        <f>H250*D251</f>
        <v>15478.035166962492</v>
      </c>
      <c r="D251">
        <f>D250</f>
        <v>0.018182450285099998</v>
      </c>
      <c r="E251" t="s">
        <v>18</v>
      </c>
      <c r="F251" s="9">
        <v>44141</v>
      </c>
      <c r="H251">
        <f>H250+C251</f>
        <v>866740.37463538407</v>
      </c>
      <c r="CH251">
        <v>20</v>
      </c>
      <c r="CI251" t="s">
        <v>36</v>
      </c>
      <c r="CJ251" s="8">
        <v>43929</v>
      </c>
      <c r="CK251">
        <v>7</v>
      </c>
      <c r="CM251">
        <v>0</v>
      </c>
    </row>
    <row r="252" spans="1:206" ht="19.5">
      <c r="C252">
        <f>H251*D252</f>
        <v>15759.463771896819</v>
      </c>
      <c r="D252">
        <f>D251</f>
        <v>0.018182450285099998</v>
      </c>
      <c r="E252" t="s">
        <v>19</v>
      </c>
      <c r="F252" s="9">
        <v>44142</v>
      </c>
      <c r="H252">
        <f>H251+C252</f>
        <v>882499.83840728085</v>
      </c>
      <c r="CH252">
        <v>20</v>
      </c>
      <c r="CI252" t="s">
        <v>36</v>
      </c>
      <c r="CJ252" s="8">
        <v>43930</v>
      </c>
      <c r="CK252">
        <v>9</v>
      </c>
      <c r="CM252">
        <v>0</v>
      </c>
    </row>
    <row r="253" spans="1:206" ht="19.5">
      <c r="C253">
        <f>H252*D253</f>
        <v>16046.009438449166</v>
      </c>
      <c r="D253">
        <f>D252</f>
        <v>0.018182450285099998</v>
      </c>
      <c r="E253" t="s">
        <v>12</v>
      </c>
      <c r="F253" s="9">
        <v>44143</v>
      </c>
      <c r="H253">
        <f>H252+C253</f>
        <v>898545.84784573002</v>
      </c>
      <c r="CH253">
        <v>20</v>
      </c>
      <c r="CI253" t="s">
        <v>36</v>
      </c>
      <c r="CJ253" s="8">
        <v>43931</v>
      </c>
      <c r="CK253">
        <v>11</v>
      </c>
      <c r="CM253">
        <v>0</v>
      </c>
    </row>
    <row r="254" spans="1:206" ht="19.5">
      <c r="C254">
        <f>H253*D254</f>
        <v>16337.765207338014</v>
      </c>
      <c r="D254">
        <f>D253</f>
        <v>0.018182450285099998</v>
      </c>
      <c r="E254" t="s">
        <v>14</v>
      </c>
      <c r="F254" s="9">
        <v>44144</v>
      </c>
      <c r="H254">
        <f>H253+C254</f>
        <v>914883.61305306805</v>
      </c>
      <c r="CH254">
        <v>20</v>
      </c>
      <c r="CI254" t="s">
        <v>36</v>
      </c>
      <c r="CJ254" s="8">
        <v>43932</v>
      </c>
      <c r="CK254">
        <v>12</v>
      </c>
      <c r="CM254">
        <v>0</v>
      </c>
    </row>
    <row r="255" spans="1:206" ht="19.5">
      <c r="C255">
        <f>H254*D255</f>
        <v>16634.825810990074</v>
      </c>
      <c r="D255">
        <f>D254</f>
        <v>0.018182450285099998</v>
      </c>
      <c r="E255" t="s">
        <v>15</v>
      </c>
      <c r="F255" s="9">
        <v>44145</v>
      </c>
      <c r="H255">
        <f>H254+C255</f>
        <v>931518.43886405812</v>
      </c>
      <c r="CH255">
        <v>20</v>
      </c>
      <c r="CI255" t="s">
        <v>36</v>
      </c>
      <c r="CJ255" s="8">
        <v>43933</v>
      </c>
      <c r="CK255">
        <v>12</v>
      </c>
      <c r="CM255">
        <v>0</v>
      </c>
    </row>
    <row r="256" spans="1:206" ht="19.5">
      <c r="C256">
        <f>H255*D256</f>
        <v>16937.287704299699</v>
      </c>
      <c r="D256">
        <f>D255</f>
        <v>0.018182450285099998</v>
      </c>
      <c r="E256" t="s">
        <v>16</v>
      </c>
      <c r="F256" s="9">
        <v>44146</v>
      </c>
      <c r="H256">
        <f>H255+C256</f>
        <v>948455.72656835779</v>
      </c>
      <c r="CH256">
        <v>20</v>
      </c>
      <c r="CI256" t="s">
        <v>36</v>
      </c>
      <c r="CJ256" s="8">
        <v>43934</v>
      </c>
      <c r="CK256">
        <v>13</v>
      </c>
      <c r="CM256">
        <v>0</v>
      </c>
    </row>
    <row r="257" spans="1:206" ht="19.5">
      <c r="C257">
        <f>H256*D257</f>
        <v>17245.249095947562</v>
      </c>
      <c r="D257">
        <f>D256</f>
        <v>0.018182450285099998</v>
      </c>
      <c r="E257" t="s">
        <v>17</v>
      </c>
      <c r="F257" s="9">
        <v>44147</v>
      </c>
      <c r="H257">
        <f>H256+C257</f>
        <v>965700.97566430538</v>
      </c>
      <c r="CH257">
        <v>20</v>
      </c>
      <c r="CI257" t="s">
        <v>36</v>
      </c>
      <c r="CJ257" s="8">
        <v>43935</v>
      </c>
      <c r="CK257">
        <v>14</v>
      </c>
      <c r="CM257">
        <v>0</v>
      </c>
    </row>
    <row r="258" spans="1:206" ht="19.5">
      <c r="C258">
        <f>H257*D258</f>
        <v>17558.809980288795</v>
      </c>
      <c r="D258">
        <f>D257</f>
        <v>0.018182450285099998</v>
      </c>
      <c r="E258" t="s">
        <v>18</v>
      </c>
      <c r="F258" s="9">
        <v>44148</v>
      </c>
      <c r="H258">
        <f>H257+C258</f>
        <v>983259.78564459423</v>
      </c>
      <c r="CH258">
        <v>20</v>
      </c>
      <c r="CI258" t="s">
        <v>36</v>
      </c>
      <c r="CJ258" s="8">
        <v>43936</v>
      </c>
      <c r="CK258">
        <v>14</v>
      </c>
      <c r="CM258">
        <v>0</v>
      </c>
    </row>
    <row r="259" spans="1:206" ht="19.5">
      <c r="C259">
        <f>H258*D259</f>
        <v>17878.072169820916</v>
      </c>
      <c r="D259">
        <f>D258</f>
        <v>0.018182450285099998</v>
      </c>
      <c r="E259" t="s">
        <v>19</v>
      </c>
      <c r="F259" s="9">
        <v>44149</v>
      </c>
      <c r="H259">
        <f>H258+C259</f>
        <v>1001137.8578144151</v>
      </c>
      <c r="CH259">
        <v>20</v>
      </c>
      <c r="CI259" t="s">
        <v>36</v>
      </c>
      <c r="CJ259" s="8">
        <v>43937</v>
      </c>
      <c r="CK259">
        <v>14</v>
      </c>
      <c r="CL259">
        <v>145</v>
      </c>
      <c r="CM259">
        <v>0</v>
      </c>
    </row>
    <row r="260" spans="1:206" ht="19.5">
      <c r="C260">
        <f>H259*D260</f>
        <v>18203.139328242112</v>
      </c>
      <c r="D260">
        <f>D259</f>
        <v>0.018182450285099998</v>
      </c>
      <c r="E260" t="s">
        <v>12</v>
      </c>
      <c r="F260" s="9">
        <v>44150</v>
      </c>
      <c r="H260">
        <f>H259+C260</f>
        <v>1019340.9971426573</v>
      </c>
      <c r="CH260">
        <v>20</v>
      </c>
      <c r="CI260" t="s">
        <v>36</v>
      </c>
      <c r="CJ260" s="8">
        <v>43938</v>
      </c>
      <c r="CK260">
        <v>15</v>
      </c>
      <c r="CL260">
        <v>155</v>
      </c>
      <c r="CM260">
        <v>0</v>
      </c>
    </row>
    <row r="261" spans="1:206" ht="19.5">
      <c r="C261">
        <f>H260*D261</f>
        <v>18534.117004110627</v>
      </c>
      <c r="D261">
        <f>D260</f>
        <v>0.018182450285099998</v>
      </c>
      <c r="E261" t="s">
        <v>14</v>
      </c>
      <c r="F261" s="9">
        <v>44151</v>
      </c>
      <c r="H261">
        <f>H260+C261</f>
        <v>1037875.1141467679</v>
      </c>
      <c r="CH261">
        <v>20</v>
      </c>
      <c r="CI261" t="s">
        <v>36</v>
      </c>
      <c r="CJ261" s="8">
        <v>43939</v>
      </c>
      <c r="CK261">
        <v>15</v>
      </c>
      <c r="CL261">
        <v>155</v>
      </c>
      <c r="CM261">
        <v>0</v>
      </c>
    </row>
    <row r="262" spans="1:206" ht="19.5">
      <c r="C262">
        <f>H261*D262</f>
        <v>18871.112665116092</v>
      </c>
      <c r="D262">
        <f>D261</f>
        <v>0.018182450285099998</v>
      </c>
      <c r="E262" t="s">
        <v>15</v>
      </c>
      <c r="F262" s="9">
        <v>44152</v>
      </c>
      <c r="H262">
        <f>H261+C262</f>
        <v>1056746.226811884</v>
      </c>
      <c r="CH262">
        <v>20</v>
      </c>
      <c r="CI262" t="s">
        <v>36</v>
      </c>
      <c r="CJ262" s="8">
        <v>43940</v>
      </c>
      <c r="CK262">
        <v>15</v>
      </c>
      <c r="CL262">
        <v>155</v>
      </c>
      <c r="CM262">
        <v>0</v>
      </c>
    </row>
    <row r="263" spans="1:206" ht="19.5">
      <c r="C263">
        <f>H262*D263</f>
        <v>19214.235732974088</v>
      </c>
      <c r="D263">
        <f>D262</f>
        <v>0.018182450285099998</v>
      </c>
      <c r="E263" t="s">
        <v>16</v>
      </c>
      <c r="F263" s="9">
        <v>44153</v>
      </c>
      <c r="H263">
        <f>H262+C263</f>
        <v>1075960.462544858</v>
      </c>
      <c r="CH263">
        <v>20</v>
      </c>
      <c r="CI263" t="s">
        <v>36</v>
      </c>
      <c r="CJ263" s="8">
        <v>43941</v>
      </c>
      <c r="CK263">
        <v>18</v>
      </c>
      <c r="CL263">
        <v>186</v>
      </c>
      <c r="CM263">
        <v>2</v>
      </c>
    </row>
    <row r="264" spans="1:206" ht="19.5">
      <c r="C264">
        <f>H263*D264</f>
        <v>19563.597618955078</v>
      </c>
      <c r="D264">
        <f>D263</f>
        <v>0.018182450285099998</v>
      </c>
      <c r="E264" t="s">
        <v>17</v>
      </c>
      <c r="F264" s="9">
        <v>44154</v>
      </c>
      <c r="H264">
        <f>H263+C264</f>
        <v>1095524.0601638132</v>
      </c>
      <c r="CH264">
        <v>20</v>
      </c>
      <c r="CI264" t="s">
        <v>36</v>
      </c>
      <c r="CJ264" s="8">
        <v>43942</v>
      </c>
      <c r="CK264">
        <v>18</v>
      </c>
      <c r="CL264">
        <v>186</v>
      </c>
      <c r="CM264">
        <v>2</v>
      </c>
    </row>
    <row r="265" spans="1:206" ht="19.5">
      <c r="C265">
        <f>H264*D265</f>
        <v>19919.311760059434</v>
      </c>
      <c r="D265">
        <f>D264</f>
        <v>0.018182450285099998</v>
      </c>
      <c r="E265" t="s">
        <v>18</v>
      </c>
      <c r="F265" s="9">
        <v>44155</v>
      </c>
      <c r="H265">
        <f>H264+C265</f>
        <v>1115443.3719238725</v>
      </c>
      <c r="CH265">
        <v>20</v>
      </c>
      <c r="CI265" t="s">
        <v>36</v>
      </c>
      <c r="CJ265" s="8">
        <v>43943</v>
      </c>
      <c r="CK265">
        <v>18</v>
      </c>
      <c r="CL265">
        <v>186</v>
      </c>
      <c r="CM265">
        <v>2</v>
      </c>
    </row>
    <row r="266" spans="1:206" ht="19.5">
      <c r="C266">
        <f>H265*D266</f>
        <v>20281.493655850118</v>
      </c>
      <c r="D266">
        <f>D265</f>
        <v>0.018182450285099998</v>
      </c>
      <c r="E266" t="s">
        <v>19</v>
      </c>
      <c r="F266" s="9">
        <v>44156</v>
      </c>
      <c r="H266">
        <f>H265+C266</f>
        <v>1135724.8655797227</v>
      </c>
      <c r="CH266">
        <v>20</v>
      </c>
      <c r="CI266" t="s">
        <v>36</v>
      </c>
      <c r="CJ266" s="8">
        <v>43944</v>
      </c>
      <c r="CK266">
        <v>18</v>
      </c>
      <c r="CL266">
        <v>186</v>
      </c>
      <c r="CM266">
        <v>2</v>
      </c>
    </row>
    <row r="267" spans="1:206" ht="19.5">
      <c r="C267">
        <f>H266*D267</f>
        <v>20650.260905955187</v>
      </c>
      <c r="D267">
        <f>D266</f>
        <v>0.018182450285099998</v>
      </c>
      <c r="E267" t="s">
        <v>12</v>
      </c>
      <c r="F267" s="9">
        <v>44157</v>
      </c>
      <c r="H267">
        <f>H266+C267</f>
        <v>1156375.1264856779</v>
      </c>
      <c r="CH267">
        <v>20</v>
      </c>
      <c r="CI267" t="s">
        <v>36</v>
      </c>
      <c r="CJ267" s="8">
        <v>43945</v>
      </c>
      <c r="CK267">
        <v>18</v>
      </c>
      <c r="CL267">
        <v>186</v>
      </c>
      <c r="CM267">
        <v>2</v>
      </c>
    </row>
    <row r="268" spans="1:206" ht="19.5">
      <c r="C268">
        <f>H267*D268</f>
        <v>21025.733248252061</v>
      </c>
      <c r="D268">
        <f>D267</f>
        <v>0.018182450285099998</v>
      </c>
      <c r="E268" t="s">
        <v>14</v>
      </c>
      <c r="F268" s="9">
        <v>44158</v>
      </c>
      <c r="H268">
        <f>H267+C268</f>
        <v>1177400.8597339299</v>
      </c>
      <c r="CH268">
        <v>20</v>
      </c>
      <c r="CI268" t="s">
        <v>36</v>
      </c>
      <c r="CJ268" s="8">
        <v>43946</v>
      </c>
      <c r="CK268">
        <v>19</v>
      </c>
      <c r="CL268">
        <v>197</v>
      </c>
      <c r="CM268">
        <v>2</v>
      </c>
    </row>
    <row r="269" spans="1:206" ht="19.5">
      <c r="C269">
        <f>H268*D269</f>
        <v>21408.032597746176</v>
      </c>
      <c r="D269">
        <f>D268</f>
        <v>0.018182450285099998</v>
      </c>
      <c r="E269" t="s">
        <v>15</v>
      </c>
      <c r="F269" s="9">
        <v>44159</v>
      </c>
      <c r="H269">
        <f>H268+C269</f>
        <v>1198808.8923316761</v>
      </c>
      <c r="CH269">
        <v>20</v>
      </c>
      <c r="CI269" t="s">
        <v>36</v>
      </c>
      <c r="CJ269" s="8">
        <v>43947</v>
      </c>
      <c r="CK269">
        <v>19</v>
      </c>
      <c r="CL269">
        <v>197</v>
      </c>
      <c r="CM269">
        <v>2</v>
      </c>
    </row>
    <row r="270" spans="1:206" ht="19.5">
      <c r="C270">
        <f>H269*D270</f>
        <v>21797.283086156498</v>
      </c>
      <c r="D270">
        <f>D269</f>
        <v>0.018182450285099998</v>
      </c>
      <c r="E270" t="s">
        <v>16</v>
      </c>
      <c r="F270" s="9">
        <v>44160</v>
      </c>
      <c r="H270">
        <f>H269+C270</f>
        <v>1220606.1754178326</v>
      </c>
      <c r="CH270">
        <v>20</v>
      </c>
      <c r="CI270" t="s">
        <v>36</v>
      </c>
      <c r="CJ270" s="8">
        <v>43948</v>
      </c>
      <c r="CK270">
        <v>19</v>
      </c>
      <c r="CL270">
        <v>197</v>
      </c>
      <c r="CM270">
        <v>2</v>
      </c>
    </row>
    <row r="271" spans="1:206" ht="19.5">
      <c r="C271">
        <f>H270*D271</f>
        <v>22193.611102220788</v>
      </c>
      <c r="D271">
        <f>D270</f>
        <v>0.018182450285099998</v>
      </c>
      <c r="E271" t="s">
        <v>17</v>
      </c>
      <c r="F271" s="9">
        <v>44161</v>
      </c>
      <c r="H271">
        <f>H270+C271</f>
        <v>1242799.7865200534</v>
      </c>
      <c r="CH271">
        <v>20</v>
      </c>
      <c r="CI271" t="s">
        <v>36</v>
      </c>
      <c r="CJ271" s="8">
        <v>43949</v>
      </c>
      <c r="CK271">
        <v>19</v>
      </c>
      <c r="CL271">
        <v>197</v>
      </c>
      <c r="CM271">
        <v>1</v>
      </c>
    </row>
    <row r="272" spans="1:206" ht="19.5">
      <c r="C272">
        <f>H271*D272</f>
        <v>22597.145332733762</v>
      </c>
      <c r="D272">
        <f>D271</f>
        <v>0.018182450285099998</v>
      </c>
      <c r="E272" t="s">
        <v>18</v>
      </c>
      <c r="F272" s="9">
        <v>44162</v>
      </c>
      <c r="H272">
        <f>H271+C272</f>
        <v>1265396.9318527873</v>
      </c>
      <c r="CH272">
        <v>20</v>
      </c>
      <c r="CI272" t="s">
        <v>36</v>
      </c>
      <c r="CJ272" s="8">
        <v>43950</v>
      </c>
      <c r="CK272">
        <v>18</v>
      </c>
      <c r="CL272">
        <v>186</v>
      </c>
      <c r="CM272">
        <v>1</v>
      </c>
    </row>
    <row r="273" spans="1:206" ht="19.5">
      <c r="C273">
        <f>H272*D273</f>
        <v>23008.016804331375</v>
      </c>
      <c r="D273">
        <f>D272</f>
        <v>0.018182450285099998</v>
      </c>
      <c r="E273" t="s">
        <v>19</v>
      </c>
      <c r="F273" s="9">
        <v>44163</v>
      </c>
      <c r="H273">
        <f>H272+C273</f>
        <v>1288404.9486571187</v>
      </c>
      <c r="CH273">
        <v>20</v>
      </c>
      <c r="CI273" t="s">
        <v>36</v>
      </c>
      <c r="CJ273" s="8">
        <v>43951</v>
      </c>
      <c r="CK273">
        <v>18</v>
      </c>
      <c r="CL273">
        <v>186</v>
      </c>
      <c r="CM273">
        <v>1</v>
      </c>
    </row>
    <row r="274" spans="1:206" ht="19.5">
      <c r="C274">
        <f>H273*D274</f>
        <v>23426.358926034878</v>
      </c>
      <c r="D274">
        <f>D273</f>
        <v>0.018182450285099998</v>
      </c>
      <c r="E274" t="s">
        <v>12</v>
      </c>
      <c r="F274" s="9">
        <v>44164</v>
      </c>
      <c r="H274">
        <f>H273+C274</f>
        <v>1311831.3075831535</v>
      </c>
      <c r="CH274">
        <v>23</v>
      </c>
      <c r="CI274" t="s">
        <v>37</v>
      </c>
      <c r="CJ274" s="8">
        <v>43914</v>
      </c>
      <c r="CK274">
        <v>0</v>
      </c>
      <c r="CM274">
        <v>0</v>
      </c>
    </row>
    <row r="275" spans="1:206" ht="19.5">
      <c r="C275">
        <f>H274*D275</f>
        <v>23852.307532568411</v>
      </c>
      <c r="D275">
        <f>D274</f>
        <v>0.018182450285099998</v>
      </c>
      <c r="E275" t="s">
        <v>14</v>
      </c>
      <c r="F275" s="9">
        <v>44165</v>
      </c>
      <c r="H275">
        <f>H274+C275</f>
        <v>1335683.6151157219</v>
      </c>
      <c r="CH275">
        <v>23</v>
      </c>
      <c r="CI275" t="s">
        <v>37</v>
      </c>
      <c r="CJ275" s="8">
        <v>43915</v>
      </c>
      <c r="CK275">
        <v>0</v>
      </c>
      <c r="CM275">
        <v>0</v>
      </c>
    </row>
    <row r="276" spans="1:206" ht="19.5">
      <c r="C276">
        <f>H275*D276</f>
        <v>24286.000928464255</v>
      </c>
      <c r="D276">
        <f>D275</f>
        <v>0.018182450285099998</v>
      </c>
      <c r="E276" t="s">
        <v>15</v>
      </c>
      <c r="F276" s="9">
        <v>44166</v>
      </c>
      <c r="H276">
        <f>H275+C276</f>
        <v>1359969.6160441863</v>
      </c>
      <c r="CH276">
        <v>23</v>
      </c>
      <c r="CI276" t="s">
        <v>37</v>
      </c>
      <c r="CJ276" s="8">
        <v>43916</v>
      </c>
      <c r="CK276">
        <v>0</v>
      </c>
      <c r="CM276">
        <v>0</v>
      </c>
    </row>
    <row r="277" spans="1:206" ht="19.5">
      <c r="E277" t="s">
        <v>16</v>
      </c>
      <c r="F277" s="9">
        <v>44167</v>
      </c>
      <c r="CH277">
        <v>23</v>
      </c>
      <c r="CI277" t="s">
        <v>37</v>
      </c>
      <c r="CJ277" s="8">
        <v>43917</v>
      </c>
      <c r="CK277">
        <v>0</v>
      </c>
      <c r="CM277">
        <v>0</v>
      </c>
    </row>
    <row r="278" spans="1:206" ht="19.5">
      <c r="E278" t="s">
        <v>17</v>
      </c>
      <c r="F278" s="9">
        <v>44168</v>
      </c>
      <c r="CH278">
        <v>23</v>
      </c>
      <c r="CI278" t="s">
        <v>37</v>
      </c>
      <c r="CJ278" s="8">
        <v>43918</v>
      </c>
      <c r="CK278">
        <v>0</v>
      </c>
      <c r="CM278">
        <v>0</v>
      </c>
    </row>
    <row r="279" spans="1:206" ht="19.5">
      <c r="E279" t="s">
        <v>18</v>
      </c>
      <c r="F279" s="9">
        <v>44169</v>
      </c>
      <c r="CH279">
        <v>23</v>
      </c>
      <c r="CI279" t="s">
        <v>37</v>
      </c>
      <c r="CJ279" s="8">
        <v>43919</v>
      </c>
      <c r="CK279">
        <v>1</v>
      </c>
      <c r="CM279">
        <v>0</v>
      </c>
    </row>
    <row r="280" spans="1:206" ht="21">
      <c r="E280" t="s">
        <v>19</v>
      </c>
      <c r="F280" s="9">
        <v>44170</v>
      </c>
      <c r="CH280">
        <v>23</v>
      </c>
      <c r="CI280" t="s">
        <v>37</v>
      </c>
      <c r="CJ280" s="8">
        <v>43920</v>
      </c>
      <c r="CK280">
        <v>1</v>
      </c>
      <c r="CM280">
        <v>0</v>
      </c>
    </row>
    <row r="281" spans="1:206" ht="19.5">
      <c r="E281" t="s">
        <v>12</v>
      </c>
      <c r="F281" s="9">
        <v>44171</v>
      </c>
      <c r="CH281">
        <v>23</v>
      </c>
      <c r="CI281" t="s">
        <v>37</v>
      </c>
      <c r="CJ281" s="8">
        <v>43921</v>
      </c>
      <c r="CK281">
        <v>1</v>
      </c>
      <c r="CM281">
        <v>0</v>
      </c>
    </row>
    <row r="282" spans="1:206" ht="19.5">
      <c r="E282" t="s">
        <v>14</v>
      </c>
      <c r="F282" s="9">
        <v>44172</v>
      </c>
      <c r="CH282">
        <v>23</v>
      </c>
      <c r="CI282" t="s">
        <v>37</v>
      </c>
      <c r="CJ282" s="8">
        <v>43922</v>
      </c>
      <c r="CK282">
        <v>2</v>
      </c>
      <c r="CM282">
        <v>0</v>
      </c>
    </row>
    <row r="283" spans="1:206" ht="19.5">
      <c r="E283" t="s">
        <v>15</v>
      </c>
      <c r="F283" s="9">
        <v>44173</v>
      </c>
      <c r="CH283">
        <v>23</v>
      </c>
      <c r="CI283" t="s">
        <v>37</v>
      </c>
      <c r="CJ283" s="8">
        <v>43923</v>
      </c>
      <c r="CK283">
        <v>2</v>
      </c>
      <c r="CM283">
        <v>0</v>
      </c>
    </row>
    <row r="284" spans="1:206" ht="19.5">
      <c r="E284" t="s">
        <v>16</v>
      </c>
      <c r="F284" s="9">
        <v>44174</v>
      </c>
      <c r="CH284">
        <v>23</v>
      </c>
      <c r="CI284" t="s">
        <v>37</v>
      </c>
      <c r="CJ284" s="8">
        <v>43924</v>
      </c>
      <c r="CK284">
        <v>2</v>
      </c>
      <c r="CM284">
        <v>0</v>
      </c>
    </row>
    <row r="285" spans="1:206" ht="21.43">
      <c r="E285" t="s">
        <v>17</v>
      </c>
      <c r="F285" s="9">
        <v>44175</v>
      </c>
      <c r="T285" t="inlineStr">
        <is>
          <t>older Source: https://portal.ct.gov/Coronavirus/Pages/Governors-Press-Releases</t>
        </is>
      </c>
      <c r="CH285">
        <v>23</v>
      </c>
      <c r="CI285" t="s">
        <v>37</v>
      </c>
      <c r="CJ285" s="8">
        <v>43925</v>
      </c>
      <c r="CK285">
        <v>2</v>
      </c>
      <c r="CM285">
        <v>0</v>
      </c>
    </row>
    <row r="286" spans="1:206" ht="19.5">
      <c r="E286" t="s">
        <v>18</v>
      </c>
      <c r="F286" s="9">
        <v>44176</v>
      </c>
      <c r="CH286">
        <v>23</v>
      </c>
      <c r="CI286" t="s">
        <v>37</v>
      </c>
      <c r="CJ286" s="8">
        <v>43926</v>
      </c>
      <c r="CK286">
        <v>2</v>
      </c>
      <c r="CM286">
        <v>0</v>
      </c>
    </row>
    <row r="287" spans="1:206" ht="21.43">
      <c r="E287" t="s">
        <v>19</v>
      </c>
      <c r="F287" s="9">
        <v>44177</v>
      </c>
      <c r="T287" t="inlineStr">
        <is>
          <t>recent Source: https://portal.ct.gov/-/media/Coronavirus/CTDPHCOVID19summary3312020.pdf?la=en</t>
        </is>
      </c>
      <c r="CH287">
        <v>23</v>
      </c>
      <c r="CI287" t="s">
        <v>37</v>
      </c>
      <c r="CJ287" s="8">
        <v>43927</v>
      </c>
      <c r="CK287">
        <v>2</v>
      </c>
      <c r="CM287">
        <v>0</v>
      </c>
    </row>
    <row r="288" spans="1:206" ht="21.43">
      <c r="E288" t="s">
        <v>12</v>
      </c>
      <c r="F288" s="9">
        <v>44178</v>
      </c>
      <c r="T288" t="inlineStr">
        <is>
          <t>recent Source: https://portal.ct.gov/Office-of-the-Governor/News/Press-Releases/2020/04-2020/Governor-Lamont-Coronavirus-Update-April-16</t>
        </is>
      </c>
      <c r="CH288">
        <v>23</v>
      </c>
      <c r="CI288" t="s">
        <v>37</v>
      </c>
      <c r="CJ288" s="8">
        <v>43928</v>
      </c>
      <c r="CK288">
        <v>5</v>
      </c>
      <c r="CM288">
        <v>0</v>
      </c>
    </row>
    <row r="289" spans="1:206" ht="19.5">
      <c r="E289" t="s">
        <v>14</v>
      </c>
      <c r="F289" s="9">
        <v>44179</v>
      </c>
      <c r="U289" s="1"/>
      <c r="V289" s="1"/>
      <c r="W289" s="1"/>
      <c r="X289" s="1"/>
      <c r="Y289" s="1"/>
      <c r="Z289" s="1"/>
      <c r="AB289" s="1"/>
      <c r="AC289" s="1"/>
      <c r="AD289" s="1"/>
      <c r="AE289" s="1"/>
      <c r="AF289" s="1"/>
      <c r="AG289" s="1"/>
      <c r="AI289" s="1"/>
      <c r="CH289">
        <v>23</v>
      </c>
      <c r="CI289" t="s">
        <v>37</v>
      </c>
      <c r="CJ289" s="8">
        <v>43929</v>
      </c>
      <c r="CK289">
        <v>6</v>
      </c>
      <c r="CM289">
        <v>0</v>
      </c>
    </row>
    <row r="290" spans="1:206" ht="21.43">
      <c r="E290" t="s">
        <v>15</v>
      </c>
      <c r="F290" s="9">
        <v>44180</v>
      </c>
      <c r="T290" t="inlineStr">
        <is>
          <t>export: $ ssconvert -T Gnumeric_stf:stf_csv thisfile.gnumeric thisfile.csv</t>
        </is>
      </c>
      <c r="CH290">
        <v>23</v>
      </c>
      <c r="CI290" t="s">
        <v>37</v>
      </c>
      <c r="CJ290" s="8">
        <v>43930</v>
      </c>
      <c r="CK290">
        <v>7</v>
      </c>
      <c r="CM290">
        <v>0</v>
      </c>
    </row>
    <row r="291" spans="1:206" ht="19.5">
      <c r="E291" t="s">
        <v>16</v>
      </c>
      <c r="F291" s="9">
        <v>44181</v>
      </c>
      <c r="CH291">
        <v>23</v>
      </c>
      <c r="CI291" t="s">
        <v>37</v>
      </c>
      <c r="CJ291" s="8">
        <v>43931</v>
      </c>
      <c r="CK291">
        <v>7</v>
      </c>
      <c r="CM291">
        <v>0</v>
      </c>
    </row>
    <row r="292" spans="1:206" ht="21.43">
      <c r="E292" t="s">
        <v>17</v>
      </c>
      <c r="F292" s="9">
        <v>44182</v>
      </c>
      <c r="T292" t="inlineStr">
        <is>
          <t>March 31: Hospitalization by county presented in a graphic (only?)</t>
        </is>
      </c>
      <c r="CH292">
        <v>23</v>
      </c>
      <c r="CI292" t="s">
        <v>37</v>
      </c>
      <c r="CJ292" s="8">
        <v>43932</v>
      </c>
      <c r="CK292">
        <v>8</v>
      </c>
      <c r="CM292">
        <v>0</v>
      </c>
    </row>
    <row r="293" spans="1:206" ht="19.5">
      <c r="E293" t="s">
        <v>18</v>
      </c>
      <c r="F293" s="9">
        <v>44183</v>
      </c>
      <c r="CH293">
        <v>23</v>
      </c>
      <c r="CI293" t="s">
        <v>37</v>
      </c>
      <c r="CJ293" s="8">
        <v>43933</v>
      </c>
      <c r="CK293">
        <v>10</v>
      </c>
      <c r="CM293">
        <v>0</v>
      </c>
    </row>
    <row r="294" spans="1:206" ht="21.43">
      <c r="E294" t="s">
        <v>19</v>
      </c>
      <c r="F294" s="9">
        <v>44184</v>
      </c>
      <c r="T294" t="inlineStr">
        <is>
          <t>31 March 23:09 UTC: many cosmetic changes, columns deleted (or added).</t>
        </is>
      </c>
      <c r="CH294">
        <v>23</v>
      </c>
      <c r="CI294" t="s">
        <v>37</v>
      </c>
      <c r="CJ294" s="8">
        <v>43934</v>
      </c>
      <c r="CK294">
        <v>12</v>
      </c>
      <c r="CM294">
        <v>1</v>
      </c>
    </row>
    <row r="295" spans="1:206" ht="21.43">
      <c r="E295" t="s">
        <v>12</v>
      </c>
      <c r="F295" s="9">
        <v>44185</v>
      </c>
      <c r="T295" t="inlineStr">
        <is>
          <t>Hopefully, no major corruption of data/forumlas present after these major edits.</t>
        </is>
      </c>
      <c r="CH295">
        <v>23</v>
      </c>
      <c r="CI295" t="s">
        <v>37</v>
      </c>
      <c r="CJ295" s="8">
        <v>43935</v>
      </c>
      <c r="CK295">
        <v>13</v>
      </c>
      <c r="CM295">
        <v>1</v>
      </c>
    </row>
    <row r="296" spans="1:206" ht="19.5">
      <c r="E296" t="s">
        <v>14</v>
      </c>
      <c r="F296" s="9">
        <v>44186</v>
      </c>
      <c r="CH296">
        <v>23</v>
      </c>
      <c r="CI296" t="s">
        <v>37</v>
      </c>
      <c r="CJ296" s="8">
        <v>43936</v>
      </c>
      <c r="CK296">
        <v>22</v>
      </c>
      <c r="CM296">
        <v>4</v>
      </c>
    </row>
    <row r="297" spans="1:206" ht="21.43">
      <c r="E297" t="s">
        <v>15</v>
      </c>
      <c r="F297" s="9">
        <v>44187</v>
      </c>
      <c r="T297" t="inlineStr">
        <is>
          <t>1 April: Column D now formatted as percentile</t>
        </is>
      </c>
      <c r="CH297">
        <v>23</v>
      </c>
      <c r="CI297" t="s">
        <v>37</v>
      </c>
      <c r="CJ297" s="8">
        <v>43937</v>
      </c>
      <c r="CK297">
        <v>22</v>
      </c>
      <c r="CL297">
        <v>214</v>
      </c>
      <c r="CM297">
        <v>1</v>
      </c>
    </row>
    <row r="298" spans="1:206" ht="21.43">
      <c r="E298" t="s">
        <v>16</v>
      </c>
      <c r="F298" s="9">
        <v>44188</v>
      </c>
      <c r="T298" t="inlineStr">
        <is>
          <t>7 April: 1.09 becomes 1.11 for arbitrary growth reduction supposition expressed in Column D (Multiplier).</t>
        </is>
      </c>
      <c r="CH298">
        <v>23</v>
      </c>
      <c r="CI298" t="s">
        <v>37</v>
      </c>
      <c r="CJ298" s="8">
        <v>43938</v>
      </c>
      <c r="CK298">
        <v>24</v>
      </c>
      <c r="CL298">
        <v>234</v>
      </c>
      <c r="CM298">
        <v>1</v>
      </c>
    </row>
    <row r="299" spans="1:206" ht="21.43">
      <c r="E299" t="s">
        <v>17</v>
      </c>
      <c r="F299" s="9">
        <v>44189</v>
      </c>
      <c r="T299" t="inlineStr">
        <is>
          <t>7 April: Column G goes from 100x to 50x (arbitrary value chosen)</t>
        </is>
      </c>
      <c r="CH299">
        <v>23</v>
      </c>
      <c r="CI299" t="s">
        <v>37</v>
      </c>
      <c r="CJ299" s="8">
        <v>43939</v>
      </c>
      <c r="CK299">
        <v>25</v>
      </c>
      <c r="CL299">
        <v>243</v>
      </c>
      <c r="CM299">
        <v>1</v>
      </c>
    </row>
    <row r="300" spans="1:206" ht="21.43">
      <c r="E300" t="s">
        <v>18</v>
      </c>
      <c r="F300" s="9">
        <v>44190</v>
      </c>
      <c r="U300" t="inlineStr">
        <is>
          <t>(the 100x scaling factor was also arbitrary)</t>
        </is>
      </c>
      <c r="CH300">
        <v>23</v>
      </c>
      <c r="CI300" t="s">
        <v>37</v>
      </c>
      <c r="CJ300" s="8">
        <v>43940</v>
      </c>
      <c r="CK300">
        <v>25</v>
      </c>
      <c r="CL300">
        <v>243</v>
      </c>
      <c r="CM300">
        <v>1</v>
      </c>
    </row>
    <row r="301" spans="1:206" ht="21.43">
      <c r="E301" t="s">
        <v>19</v>
      </c>
      <c r="F301" s="9">
        <v>44191</v>
      </c>
      <c r="T301" t="inlineStr">
        <is>
          <t>7 April: Litchfield County is doubling its Confirmed cases every 6.5 days or so.</t>
        </is>
      </c>
      <c r="CH301">
        <v>23</v>
      </c>
      <c r="CI301" t="s">
        <v>37</v>
      </c>
      <c r="CJ301" s="8">
        <v>43941</v>
      </c>
      <c r="CK301">
        <v>44</v>
      </c>
      <c r="CL301">
        <v>428</v>
      </c>
      <c r="CM301">
        <v>6</v>
      </c>
    </row>
    <row r="302" spans="1:206" ht="21.43">
      <c r="E302" t="s">
        <v>12</v>
      </c>
      <c r="F302" s="9">
        <v>44192</v>
      </c>
      <c r="U302" t="inlineStr">
        <is>
          <t>(own analysis; ignorant and simplistic, there, on Litchfield Cty doublings. ;)</t>
        </is>
      </c>
      <c r="CH302">
        <v>23</v>
      </c>
      <c r="CI302" t="s">
        <v>37</v>
      </c>
      <c r="CJ302" s="8">
        <v>43942</v>
      </c>
      <c r="CK302">
        <v>44</v>
      </c>
      <c r="CL302">
        <v>428</v>
      </c>
      <c r="CM302">
        <v>6</v>
      </c>
    </row>
    <row r="303" spans="1:206" ht="21.43">
      <c r="E303" t="s">
        <v>14</v>
      </c>
      <c r="F303" s="9">
        <v>44193</v>
      </c>
      <c r="T303" t="inlineStr">
        <is>
          <t>9 April: USA Confirmed (far columns, right) now expressed in 3 digits (up from 2 digits, formerly).</t>
        </is>
      </c>
      <c r="CH303">
        <v>23</v>
      </c>
      <c r="CI303" t="s">
        <v>37</v>
      </c>
      <c r="CJ303" s="8">
        <v>43943</v>
      </c>
      <c r="CK303">
        <v>45</v>
      </c>
      <c r="CL303">
        <v>438</v>
      </c>
      <c r="CM303">
        <v>8</v>
      </c>
    </row>
    <row r="304" spans="1:206" ht="21.43">
      <c r="E304" t="s">
        <v>15</v>
      </c>
      <c r="F304" s="9">
        <v>44194</v>
      </c>
      <c r="U304" t="inlineStr">
        <is>
          <t>This reflects that they've reached consistently below 10 percent, and so</t>
        </is>
      </c>
      <c r="CH304">
        <v>23</v>
      </c>
      <c r="CI304" t="s">
        <v>37</v>
      </c>
      <c r="CJ304" s="8">
        <v>43944</v>
      </c>
      <c r="CK304">
        <v>46</v>
      </c>
      <c r="CL304">
        <v>448</v>
      </c>
      <c r="CM304">
        <v>9</v>
      </c>
    </row>
    <row r="305" spans="1:206" ht="21.43">
      <c r="E305" t="s">
        <v>16</v>
      </c>
      <c r="F305" s="9">
        <v>44195</v>
      </c>
      <c r="U305" t="inlineStr">
        <is>
          <t>require another digit of precision (the decimal point has moved</t>
        </is>
      </c>
      <c r="CH305">
        <v>23</v>
      </c>
      <c r="CI305" t="s">
        <v>37</v>
      </c>
      <c r="CJ305" s="8">
        <v>43945</v>
      </c>
      <c r="CK305">
        <v>47</v>
      </c>
      <c r="CL305">
        <v>458</v>
      </c>
      <c r="CM305">
        <v>10</v>
      </c>
    </row>
    <row r="306" spans="1:206" ht="21.43">
      <c r="E306" t="s">
        <v>17</v>
      </c>
      <c r="F306" s="9">
        <v>44196</v>
      </c>
      <c r="U306" t="inlineStr">
        <is>
          <t>over one place)</t>
        </is>
      </c>
      <c r="CH306">
        <v>23</v>
      </c>
      <c r="CI306" t="s">
        <v>37</v>
      </c>
      <c r="CJ306" s="8">
        <v>43946</v>
      </c>
      <c r="CK306">
        <v>48</v>
      </c>
      <c r="CL306">
        <v>467</v>
      </c>
      <c r="CM306">
        <v>10</v>
      </c>
    </row>
    <row r="307" spans="1:206" ht="21.43">
      <c r="E307" t="s">
        <v>18</v>
      </c>
      <c r="F307" s="9">
        <v>44197</v>
      </c>
      <c r="H307" s="1" t="inlineStr">
        <is>
          <t>For the year 2021:</t>
        </is>
      </c>
      <c r="T307" t="inlineStr">
        <is>
          <t>9 April: Have not kept up with the state epidemiologist's estimate</t>
        </is>
      </c>
      <c r="CH307">
        <v>23</v>
      </c>
      <c r="CI307" t="s">
        <v>37</v>
      </c>
      <c r="CJ307" s="8">
        <v>43947</v>
      </c>
      <c r="CK307">
        <v>51</v>
      </c>
      <c r="CL307">
        <v>497</v>
      </c>
      <c r="CM307">
        <v>12</v>
      </c>
    </row>
    <row r="308" spans="1:206" ht="21.43">
      <c r="E308" t="s">
        <v>19</v>
      </c>
      <c r="F308" s="9">
        <v>44198</v>
      </c>
      <c r="H308" s="1"/>
      <c r="U308" t="inlineStr">
        <is>
          <t>of the multiplier factor (Confirmed and tested vs estimated true count of cases</t>
        </is>
      </c>
      <c r="CH308">
        <v>23</v>
      </c>
      <c r="CI308" t="s">
        <v>37</v>
      </c>
      <c r="CJ308" s="8">
        <v>43948</v>
      </c>
      <c r="CK308">
        <v>52</v>
      </c>
      <c r="CL308">
        <v>506</v>
      </c>
      <c r="CM308">
        <v>14</v>
      </c>
    </row>
    <row r="309" spans="1:206" ht="21.43">
      <c r="E309" t="s">
        <v>12</v>
      </c>
      <c r="F309" s="9">
        <v>44199</v>
      </c>
      <c r="H309" s="1" t="inlineStr">
        <is>
          <t>Use SUNDAY 1/3, 2/28, 3/7, 4/4, 5/9, 6/6, 7/11, 8/8, 9/5, 10/10, 11/7 and 12/12</t>
        </is>
      </c>
      <c r="U309" t="inlineStr">
        <is>
          <t>in the state of Connecticut) and (therefore) still using a '50x' multiplier,</t>
        </is>
      </c>
      <c r="CH309">
        <v>23</v>
      </c>
      <c r="CI309" t="s">
        <v>37</v>
      </c>
      <c r="CJ309" s="8">
        <v>43949</v>
      </c>
      <c r="CK309">
        <v>53</v>
      </c>
      <c r="CL309">
        <v>516</v>
      </c>
      <c r="CM309">
        <v>16</v>
      </c>
    </row>
    <row r="310" spans="1:206" ht="21.43">
      <c r="E310" t="s">
        <v>14</v>
      </c>
      <c r="F310" s="9">
        <v>44200</v>
      </c>
      <c r="U310" t="inlineStr">
        <is>
          <t>with no particular justification for this figure.</t>
        </is>
      </c>
      <c r="CH310">
        <v>23</v>
      </c>
      <c r="CI310" t="s">
        <v>37</v>
      </c>
      <c r="CJ310" s="8">
        <v>43950</v>
      </c>
      <c r="CK310">
        <v>56</v>
      </c>
      <c r="CL310">
        <v>545</v>
      </c>
      <c r="CM310">
        <v>17</v>
      </c>
    </row>
    <row r="311" spans="1:206" ht="21.43">
      <c r="E311" t="s">
        <v>15</v>
      </c>
      <c r="F311" s="9">
        <v>44201</v>
      </c>
      <c r="T311" t="inlineStr">
        <is>
          <t>12 April: demoted from 50x to 35x (measured) transmission multiplier.</t>
        </is>
      </c>
      <c r="CH311">
        <v>23</v>
      </c>
      <c r="CI311" t="s">
        <v>37</v>
      </c>
      <c r="CJ311" s="8">
        <v>43951</v>
      </c>
      <c r="CK311">
        <v>58</v>
      </c>
      <c r="CL311">
        <v>565</v>
      </c>
      <c r="CM311">
        <v>19</v>
      </c>
    </row>
    <row r="312" spans="1:206" ht="21.43">
      <c r="E312" t="s">
        <v>16</v>
      </c>
      <c r="F312" s="9">
        <v>44202</v>
      </c>
      <c r="U312" t="inlineStr">
        <is>
          <t>Reference value only - please do not quote it in any context.</t>
        </is>
      </c>
      <c r="CH312">
        <v>33</v>
      </c>
      <c r="CI312" t="s">
        <v>38</v>
      </c>
      <c r="CJ312" s="8">
        <v>43914</v>
      </c>
      <c r="CK312">
        <v>1</v>
      </c>
      <c r="CM312">
        <v>0</v>
      </c>
    </row>
    <row r="313" spans="1:206" ht="21.43">
      <c r="E313" t="s">
        <v>17</v>
      </c>
      <c r="F313" t="inlineStr">
        <is>
          <t>7 jan 2021 - WEEK ONE</t>
        </is>
      </c>
      <c r="H313" t="inlineStr">
        <is>
          <t>ISO Week ONE always contains the first Thursday of that year.</t>
        </is>
      </c>
      <c r="U313" t="inlineStr">
        <is>
          <t>(Assign some other value to it, based on some other</t>
        </is>
      </c>
      <c r="CH313">
        <v>33</v>
      </c>
      <c r="CI313" t="s">
        <v>38</v>
      </c>
      <c r="CJ313" s="8">
        <v>43915</v>
      </c>
      <c r="CK313">
        <v>1</v>
      </c>
      <c r="CM313">
        <v>0</v>
      </c>
    </row>
    <row r="314" spans="1:206" ht="21.43">
      <c r="E314" t="s">
        <v>18</v>
      </c>
      <c r="F314" s="9">
        <v>44204</v>
      </c>
      <c r="U314" t="inlineStr">
        <is>
          <t>findings than given here).</t>
        </is>
      </c>
      <c r="CH314">
        <v>33</v>
      </c>
      <c r="CI314" t="s">
        <v>38</v>
      </c>
      <c r="CJ314" s="8">
        <v>43916</v>
      </c>
      <c r="CK314">
        <v>1</v>
      </c>
      <c r="CM314">
        <v>0</v>
      </c>
    </row>
    <row r="315" spans="1:206" ht="21.43">
      <c r="E315" t="s">
        <v>19</v>
      </c>
      <c r="F315" s="9">
        <v>44205</v>
      </c>
      <c r="T315" t="inlineStr">
        <is>
          <t>15 April: formalized entry (column L labels added)</t>
        </is>
      </c>
      <c r="CH315">
        <v>33</v>
      </c>
      <c r="CI315" t="s">
        <v>38</v>
      </c>
      <c r="CJ315" s="8">
        <v>43917</v>
      </c>
      <c r="CK315">
        <v>1</v>
      </c>
      <c r="CM315">
        <v>0</v>
      </c>
    </row>
    <row r="316" spans="1:206" ht="21.43">
      <c r="E316" t="s">
        <v>12</v>
      </c>
      <c r="F316" s="9">
        <v>44206</v>
      </c>
      <c r="T316" t="inlineStr">
        <is>
          <t>17 April: formatting fixes esp. Comma separation</t>
        </is>
      </c>
      <c r="CH316">
        <v>33</v>
      </c>
      <c r="CI316" t="s">
        <v>38</v>
      </c>
      <c r="CJ316" s="8">
        <v>43918</v>
      </c>
      <c r="CK316">
        <v>3</v>
      </c>
      <c r="CM316">
        <v>0</v>
      </c>
    </row>
    <row r="317" spans="1:206" ht="21.43">
      <c r="E317" t="s">
        <v>14</v>
      </c>
      <c r="F317" s="9">
        <v>44207</v>
      </c>
      <c r="T317" t="inlineStr">
        <is>
          <t>19 April: Y Axis Major ticks now 1024 (exact power of two)</t>
        </is>
      </c>
      <c r="CH317">
        <v>33</v>
      </c>
      <c r="CI317" t="s">
        <v>38</v>
      </c>
      <c r="CJ317" s="8">
        <v>43919</v>
      </c>
      <c r="CK317">
        <v>4</v>
      </c>
      <c r="CM317">
        <v>0</v>
      </c>
    </row>
    <row r="318" spans="1:206" ht="21.43">
      <c r="E318" t="s">
        <v>15</v>
      </c>
      <c r="F318" s="9">
        <v>44208</v>
      </c>
      <c r="T318" t="inlineStr">
        <is>
          <t>19 April: The graph was easy enough to maintain and so is included, standard, now.</t>
        </is>
      </c>
      <c r="CH318">
        <v>33</v>
      </c>
      <c r="CI318" t="s">
        <v>38</v>
      </c>
      <c r="CJ318" s="8">
        <v>43920</v>
      </c>
      <c r="CK318">
        <v>4</v>
      </c>
      <c r="CM318">
        <v>0</v>
      </c>
    </row>
    <row r="319" spans="1:206" ht="21.43">
      <c r="E319" t="s">
        <v>16</v>
      </c>
      <c r="F319" s="9">
        <v>44209</v>
      </c>
      <c r="S319" s="1"/>
      <c r="T319" t="inlineStr">
        <is>
          <t>19 April: Column G goes from 35x to 15x (arbitrary value chosen)</t>
        </is>
      </c>
      <c r="U319" s="1"/>
      <c r="V319" s="1"/>
      <c r="W319" s="1"/>
      <c r="X319" s="1"/>
      <c r="Y319" s="1"/>
      <c r="Z319" s="1"/>
      <c r="AB319" s="1"/>
      <c r="AC319" s="1"/>
      <c r="AD319" s="1"/>
      <c r="AE319" s="1"/>
      <c r="AF319" s="1"/>
      <c r="AG319" s="1"/>
      <c r="AI319" s="1"/>
      <c r="CH319">
        <v>33</v>
      </c>
      <c r="CI319" t="s">
        <v>38</v>
      </c>
      <c r="CJ319" s="8">
        <v>43921</v>
      </c>
      <c r="CK319">
        <v>5</v>
      </c>
      <c r="CM319">
        <v>0</v>
      </c>
    </row>
    <row r="320" spans="1:206" ht="19.5">
      <c r="E320" t="s">
        <v>17</v>
      </c>
      <c r="F320" s="9">
        <v>44210</v>
      </c>
      <c r="S320" s="1"/>
      <c r="U320" s="1"/>
      <c r="V320" s="1"/>
      <c r="W320" s="1"/>
      <c r="X320" s="1"/>
      <c r="Y320" s="1"/>
      <c r="Z320" s="1"/>
      <c r="AB320" s="1"/>
      <c r="AC320" s="1"/>
      <c r="AD320" s="1"/>
      <c r="AE320" s="1"/>
      <c r="AF320" s="1"/>
      <c r="AG320" s="1"/>
      <c r="AI320" s="1"/>
      <c r="CH320">
        <v>33</v>
      </c>
      <c r="CI320" t="s">
        <v>38</v>
      </c>
      <c r="CJ320" s="8">
        <v>43922</v>
      </c>
      <c r="CK320">
        <v>7</v>
      </c>
      <c r="CM320">
        <v>1</v>
      </c>
    </row>
    <row r="321" spans="1:206" ht="19.5">
      <c r="E321" t="s">
        <v>18</v>
      </c>
      <c r="F321">
        <v>15</v>
      </c>
      <c r="S321" s="1"/>
      <c r="U321" s="1"/>
      <c r="V321" s="1"/>
      <c r="W321" s="1"/>
      <c r="X321" s="1"/>
      <c r="Y321" s="1"/>
      <c r="Z321" s="1"/>
      <c r="AB321" s="1"/>
      <c r="AC321" s="1"/>
      <c r="AD321" s="1"/>
      <c r="AE321" s="1"/>
      <c r="AF321" s="1"/>
      <c r="AG321" s="1"/>
      <c r="AI321" s="1"/>
      <c r="CH321">
        <v>33</v>
      </c>
      <c r="CI321" t="s">
        <v>38</v>
      </c>
      <c r="CJ321" s="8">
        <v>43923</v>
      </c>
      <c r="CK321">
        <v>7</v>
      </c>
      <c r="CM321">
        <v>1</v>
      </c>
    </row>
    <row r="322" spans="1:206" ht="19.5">
      <c r="E322" t="s">
        <v>19</v>
      </c>
      <c r="F322">
        <v>16</v>
      </c>
      <c r="S322" s="1"/>
      <c r="U322" s="1"/>
      <c r="V322" s="1"/>
      <c r="W322" s="1"/>
      <c r="X322" s="1"/>
      <c r="Y322" s="1"/>
      <c r="Z322" s="1"/>
      <c r="AB322" s="1"/>
      <c r="AC322" s="1"/>
      <c r="AD322" s="1"/>
      <c r="AE322" s="1"/>
      <c r="AF322" s="1"/>
      <c r="AG322" s="1"/>
      <c r="AI322" s="1"/>
      <c r="CH322">
        <v>33</v>
      </c>
      <c r="CI322" t="s">
        <v>38</v>
      </c>
      <c r="CJ322" s="8">
        <v>43924</v>
      </c>
      <c r="CK322">
        <v>9</v>
      </c>
      <c r="CM322">
        <v>1</v>
      </c>
    </row>
    <row r="323" spans="1:206" ht="21.43">
      <c r="E323" t="s">
        <v>12</v>
      </c>
      <c r="F323">
        <v>17</v>
      </c>
      <c r="T323" t="inlineStr">
        <is>
          <t>General:</t>
        </is>
      </c>
      <c r="CH323">
        <v>33</v>
      </c>
      <c r="CI323" t="s">
        <v>38</v>
      </c>
      <c r="CJ323" s="8">
        <v>43925</v>
      </c>
      <c r="CK323">
        <v>9</v>
      </c>
      <c r="CM323">
        <v>1</v>
      </c>
    </row>
    <row r="324" spans="1:206" ht="21.43">
      <c r="E324" t="s">
        <v>14</v>
      </c>
      <c r="F324">
        <v>18</v>
      </c>
      <c r="U324" t="inlineStr">
        <is>
          <t>Latency:</t>
        </is>
      </c>
      <c r="CH324">
        <v>33</v>
      </c>
      <c r="CI324" t="s">
        <v>38</v>
      </c>
      <c r="CJ324" s="8">
        <v>43926</v>
      </c>
      <c r="CK324">
        <v>11</v>
      </c>
      <c r="CM324">
        <v>1</v>
      </c>
    </row>
    <row r="325" spans="1:206" ht="21.43">
      <c r="E325" t="s">
        <v>15</v>
      </c>
      <c r="F325">
        <v>19</v>
      </c>
      <c r="W325" t="inlineStr">
        <is>
          <t>Confirmed: infected 5-7 days ago.</t>
        </is>
      </c>
      <c r="CH325">
        <v>33</v>
      </c>
      <c r="CI325" t="s">
        <v>38</v>
      </c>
      <c r="CJ325" s="8">
        <v>43927</v>
      </c>
      <c r="CK325">
        <v>14</v>
      </c>
      <c r="CM325">
        <v>1</v>
      </c>
    </row>
    <row r="326" spans="1:206" ht="19.5">
      <c r="E326" t="s">
        <v>16</v>
      </c>
      <c r="F326">
        <v>20</v>
      </c>
      <c r="CH326">
        <v>33</v>
      </c>
      <c r="CI326" t="s">
        <v>38</v>
      </c>
      <c r="CJ326" s="8">
        <v>43928</v>
      </c>
      <c r="CK326">
        <v>15</v>
      </c>
      <c r="CM326">
        <v>1</v>
      </c>
    </row>
    <row r="327" spans="1:206" ht="21.43">
      <c r="E327" t="s">
        <v>17</v>
      </c>
      <c r="F327" s="9">
        <v>44217</v>
      </c>
      <c r="W327" t="inlineStr">
        <is>
          <t>Hospitalized: infected 1-3 weeks ago.</t>
        </is>
      </c>
      <c r="CH327">
        <v>33</v>
      </c>
      <c r="CI327" t="s">
        <v>38</v>
      </c>
      <c r="CJ327" s="8">
        <v>43929</v>
      </c>
      <c r="CK327">
        <v>17</v>
      </c>
      <c r="CM327">
        <v>1</v>
      </c>
    </row>
    <row r="328" spans="1:206" ht="19.5">
      <c r="E328" t="s">
        <v>18</v>
      </c>
      <c r="F328">
        <v>22</v>
      </c>
      <c r="CH328">
        <v>33</v>
      </c>
      <c r="CI328" t="s">
        <v>38</v>
      </c>
      <c r="CJ328" s="8">
        <v>43930</v>
      </c>
      <c r="CK328">
        <v>18</v>
      </c>
      <c r="CM328">
        <v>1</v>
      </c>
    </row>
    <row r="329" spans="1:206" ht="21.43">
      <c r="E329" t="s">
        <v>19</v>
      </c>
      <c r="F329">
        <v>23</v>
      </c>
      <c r="W329" t="inlineStr">
        <is>
          <t>Death: infected 3-4 weeks ago.</t>
        </is>
      </c>
      <c r="CH329">
        <v>33</v>
      </c>
      <c r="CI329" t="s">
        <v>38</v>
      </c>
      <c r="CJ329" s="8">
        <v>43931</v>
      </c>
      <c r="CK329">
        <v>21</v>
      </c>
      <c r="CM329">
        <v>1</v>
      </c>
    </row>
    <row r="330" spans="1:206" ht="19.5">
      <c r="E330" t="s">
        <v>12</v>
      </c>
      <c r="F330">
        <v>24</v>
      </c>
      <c r="CH330">
        <v>33</v>
      </c>
      <c r="CI330" t="s">
        <v>38</v>
      </c>
      <c r="CJ330" s="8">
        <v>43932</v>
      </c>
      <c r="CK330">
        <v>24</v>
      </c>
      <c r="CM330">
        <v>1</v>
      </c>
    </row>
    <row r="331" spans="1:206" ht="21.43">
      <c r="E331" t="s">
        <v>14</v>
      </c>
      <c r="F331">
        <v>25</v>
      </c>
      <c r="Y331" t="inlineStr">
        <is>
          <t>Source: Osterholm, 8 April 2020 (podcast).</t>
        </is>
      </c>
      <c r="CH331">
        <v>33</v>
      </c>
      <c r="CI331" t="s">
        <v>38</v>
      </c>
      <c r="CJ331" s="8">
        <v>43933</v>
      </c>
      <c r="CK331">
        <v>26</v>
      </c>
      <c r="CM331">
        <v>1</v>
      </c>
    </row>
    <row r="332" spans="1:206" ht="19.5">
      <c r="E332" t="s">
        <v>15</v>
      </c>
      <c r="F332">
        <v>26</v>
      </c>
      <c r="CH332">
        <v>33</v>
      </c>
      <c r="CI332" t="s">
        <v>38</v>
      </c>
      <c r="CJ332" s="8">
        <v>43934</v>
      </c>
      <c r="CK332">
        <v>26</v>
      </c>
      <c r="CM332">
        <v>1</v>
      </c>
    </row>
    <row r="333" spans="1:206" ht="21.43">
      <c r="E333" t="s">
        <v>16</v>
      </c>
      <c r="F333">
        <v>27</v>
      </c>
      <c r="AA333" t="inlineStr">
        <is>
          <t>https://twitter.com/CIDRAP/status/1248291432202407939</t>
        </is>
      </c>
      <c r="CH333">
        <v>33</v>
      </c>
      <c r="CI333" t="s">
        <v>38</v>
      </c>
      <c r="CJ333" s="8">
        <v>43935</v>
      </c>
      <c r="CK333">
        <v>28</v>
      </c>
      <c r="CM333">
        <v>1</v>
      </c>
    </row>
    <row r="334" spans="1:206" ht="19.5">
      <c r="E334" t="s">
        <v>17</v>
      </c>
      <c r="F334" s="9">
        <v>44224</v>
      </c>
      <c r="CH334">
        <v>33</v>
      </c>
      <c r="CI334" t="s">
        <v>38</v>
      </c>
      <c r="CJ334" s="8">
        <v>43936</v>
      </c>
      <c r="CK334">
        <v>28</v>
      </c>
      <c r="CM334">
        <v>1</v>
      </c>
    </row>
    <row r="335" spans="1:206" ht="21.43">
      <c r="E335" t="s">
        <v>18</v>
      </c>
      <c r="F335" s="9">
        <v>44225</v>
      </c>
      <c r="AB335" t="inlineStr">
        <is>
          <t>Episode 3 of Osterholm Update:</t>
        </is>
      </c>
      <c r="CH335">
        <v>33</v>
      </c>
      <c r="CI335" t="s">
        <v>38</v>
      </c>
      <c r="CJ335" s="8">
        <v>43937</v>
      </c>
      <c r="CK335">
        <v>29</v>
      </c>
      <c r="CL335">
        <v>209</v>
      </c>
      <c r="CM335">
        <v>1</v>
      </c>
    </row>
    <row r="336" spans="1:206" ht="19.5">
      <c r="E336" t="s">
        <v>19</v>
      </c>
      <c r="F336" s="9">
        <v>44226</v>
      </c>
      <c r="CH336">
        <v>33</v>
      </c>
      <c r="CI336" t="s">
        <v>38</v>
      </c>
      <c r="CJ336" s="8">
        <v>43938</v>
      </c>
      <c r="CK336">
        <v>31</v>
      </c>
      <c r="CL336">
        <v>223</v>
      </c>
      <c r="CM336">
        <v>1</v>
      </c>
    </row>
    <row r="337" spans="1:206" ht="21.43">
      <c r="E337" t="s">
        <v>12</v>
      </c>
      <c r="F337" s="9">
        <v>44227</v>
      </c>
      <c r="AD337" t="inlineStr">
        <is>
          <t>http://ow.ly/d5Gk30qwD7o #Coronavirus</t>
        </is>
      </c>
      <c r="CH337">
        <v>33</v>
      </c>
      <c r="CI337" t="s">
        <v>38</v>
      </c>
      <c r="CJ337" s="8">
        <v>43939</v>
      </c>
      <c r="CK337">
        <v>34</v>
      </c>
      <c r="CL337">
        <v>245</v>
      </c>
      <c r="CM337">
        <v>2</v>
      </c>
    </row>
    <row r="338" spans="1:206" ht="19.5">
      <c r="E338" t="s">
        <v>14</v>
      </c>
      <c r="F338" s="9">
        <v>44228</v>
      </c>
      <c r="CH338">
        <v>33</v>
      </c>
      <c r="CI338" t="s">
        <v>38</v>
      </c>
      <c r="CJ338" s="8">
        <v>43940</v>
      </c>
      <c r="CK338">
        <v>34</v>
      </c>
      <c r="CL338">
        <v>245</v>
      </c>
      <c r="CM338">
        <v>2</v>
      </c>
    </row>
    <row r="339" spans="1:206" ht="21.43">
      <c r="E339" t="s">
        <v>15</v>
      </c>
      <c r="F339" s="9">
        <v>44229</v>
      </c>
      <c r="AD339" t="inlineStr">
        <is>
          <t>#COVID19 is now live:</t>
        </is>
      </c>
      <c r="CH339">
        <v>33</v>
      </c>
      <c r="CI339" t="s">
        <v>38</v>
      </c>
      <c r="CJ339" s="8">
        <v>43941</v>
      </c>
      <c r="CK339">
        <v>34</v>
      </c>
      <c r="CL339">
        <v>245</v>
      </c>
      <c r="CM339">
        <v>2</v>
      </c>
    </row>
    <row r="340" spans="1:206" ht="21.43">
      <c r="E340" t="s">
        <v>16</v>
      </c>
      <c r="F340" s="9">
        <v>44230</v>
      </c>
      <c r="AD340" t="inlineStr">
        <is>
          <t>"Preparing For What's To Come,"</t>
        </is>
      </c>
      <c r="CH340">
        <v>33</v>
      </c>
      <c r="CI340" t="s">
        <v>38</v>
      </c>
      <c r="CJ340" s="8">
        <v>43942</v>
      </c>
      <c r="CK340">
        <v>34</v>
      </c>
      <c r="CL340">
        <v>245</v>
      </c>
      <c r="CM340">
        <v>2</v>
      </c>
    </row>
    <row r="341" spans="1:206" ht="21.43">
      <c r="E341" t="s">
        <v>17</v>
      </c>
      <c r="F341" s="9">
        <v>44231</v>
      </c>
      <c r="AD341" t="inlineStr">
        <is>
          <t>in which Dr. Osterholm discusses the US situation,</t>
        </is>
      </c>
      <c r="CH341">
        <v>33</v>
      </c>
      <c r="CI341" t="s">
        <v>38</v>
      </c>
      <c r="CJ341" s="8">
        <v>43943</v>
      </c>
      <c r="CK341">
        <v>40</v>
      </c>
      <c r="CL341">
        <v>288</v>
      </c>
      <c r="CM341">
        <v>2</v>
      </c>
    </row>
    <row r="342" spans="1:206" ht="21.43">
      <c r="E342" t="s">
        <v>18</v>
      </c>
      <c r="F342" s="9">
        <v>44232</v>
      </c>
      <c r="AD342" t="inlineStr">
        <is>
          <t>the potential for subsequent waves, racial</t>
        </is>
      </c>
      <c r="CH342">
        <v>33</v>
      </c>
      <c r="CI342" t="s">
        <v>38</v>
      </c>
      <c r="CJ342" s="8">
        <v>43944</v>
      </c>
      <c r="CK342">
        <v>42</v>
      </c>
      <c r="CL342">
        <v>302</v>
      </c>
      <c r="CM342">
        <v>2</v>
      </c>
    </row>
    <row r="343" spans="1:206" ht="21.43">
      <c r="E343" t="s">
        <v>19</v>
      </c>
      <c r="F343" s="9">
        <v>44233</v>
      </c>
      <c r="AD343" t="inlineStr">
        <is>
          <t>and gender disparities,</t>
        </is>
      </c>
      <c r="CH343">
        <v>33</v>
      </c>
      <c r="CI343" t="s">
        <v>38</v>
      </c>
      <c r="CJ343" s="8">
        <v>43945</v>
      </c>
      <c r="CK343">
        <v>43</v>
      </c>
      <c r="CL343">
        <v>309</v>
      </c>
      <c r="CM343">
        <v>4</v>
      </c>
    </row>
    <row r="344" spans="1:206" ht="21.43">
      <c r="E344" t="s">
        <v>12</v>
      </c>
      <c r="F344" s="9">
        <v>44234</v>
      </c>
      <c r="AD344" t="inlineStr">
        <is>
          <t>and the use of masks by the public</t>
        </is>
      </c>
      <c r="CH344">
        <v>33</v>
      </c>
      <c r="CI344" t="s">
        <v>38</v>
      </c>
      <c r="CJ344" s="8">
        <v>43946</v>
      </c>
      <c r="CK344">
        <v>46</v>
      </c>
      <c r="CL344">
        <v>331</v>
      </c>
      <c r="CM344">
        <v>3</v>
      </c>
    </row>
    <row r="345" spans="1:206" ht="19.5">
      <c r="E345" t="s">
        <v>14</v>
      </c>
      <c r="F345" s="9">
        <v>44235</v>
      </c>
      <c r="CH345">
        <v>33</v>
      </c>
      <c r="CI345" t="s">
        <v>38</v>
      </c>
      <c r="CJ345" s="8">
        <v>43947</v>
      </c>
      <c r="CK345">
        <v>49</v>
      </c>
      <c r="CL345">
        <v>352</v>
      </c>
      <c r="CM345">
        <v>4</v>
      </c>
    </row>
    <row r="346" spans="1:206" ht="19.5">
      <c r="E346" t="s">
        <v>15</v>
      </c>
      <c r="F346">
        <v>9</v>
      </c>
      <c r="CH346">
        <v>33</v>
      </c>
      <c r="CI346" t="s">
        <v>38</v>
      </c>
      <c r="CJ346" s="8">
        <v>43948</v>
      </c>
      <c r="CK346">
        <v>51</v>
      </c>
      <c r="CL346">
        <v>367</v>
      </c>
      <c r="CM346">
        <v>4</v>
      </c>
    </row>
    <row r="347" spans="1:206" ht="19.5">
      <c r="E347" t="s">
        <v>16</v>
      </c>
      <c r="F347">
        <v>10</v>
      </c>
      <c r="CH347">
        <v>33</v>
      </c>
      <c r="CI347" t="s">
        <v>38</v>
      </c>
      <c r="CJ347" s="8">
        <v>43949</v>
      </c>
      <c r="CK347">
        <v>53</v>
      </c>
      <c r="CL347">
        <v>381</v>
      </c>
      <c r="CM347">
        <v>4</v>
      </c>
    </row>
    <row r="348" spans="1:206" ht="19.5">
      <c r="E348" t="s">
        <v>17</v>
      </c>
      <c r="F348">
        <v>11</v>
      </c>
      <c r="CH348">
        <v>33</v>
      </c>
      <c r="CI348" t="s">
        <v>38</v>
      </c>
      <c r="CJ348" s="8">
        <v>43950</v>
      </c>
      <c r="CK348">
        <v>57</v>
      </c>
      <c r="CL348">
        <v>410</v>
      </c>
      <c r="CM348">
        <v>5</v>
      </c>
    </row>
    <row r="349" spans="1:206" ht="19.5">
      <c r="E349" t="s">
        <v>18</v>
      </c>
      <c r="F349">
        <v>12</v>
      </c>
      <c r="CH349">
        <v>33</v>
      </c>
      <c r="CI349" t="s">
        <v>38</v>
      </c>
      <c r="CJ349" s="8">
        <v>43951</v>
      </c>
      <c r="CK349">
        <v>61</v>
      </c>
      <c r="CL349">
        <v>439</v>
      </c>
      <c r="CM349">
        <v>8</v>
      </c>
    </row>
    <row r="350" spans="1:206" ht="19.5">
      <c r="E350" t="s">
        <v>19</v>
      </c>
      <c r="F350">
        <v>13</v>
      </c>
      <c r="CH350">
        <v>40</v>
      </c>
      <c r="CI350" t="s">
        <v>39</v>
      </c>
      <c r="CJ350" s="8">
        <v>43914</v>
      </c>
      <c r="CK350">
        <v>0</v>
      </c>
      <c r="CM350">
        <v>0</v>
      </c>
    </row>
    <row r="351" spans="1:206" ht="19.5">
      <c r="E351" t="s">
        <v>12</v>
      </c>
      <c r="F351" s="9">
        <v>44241</v>
      </c>
      <c r="CH351">
        <v>40</v>
      </c>
      <c r="CI351" t="s">
        <v>39</v>
      </c>
      <c r="CJ351" s="8">
        <v>43915</v>
      </c>
      <c r="CK351">
        <v>0</v>
      </c>
      <c r="CM351">
        <v>0</v>
      </c>
    </row>
    <row r="352" spans="1:206" ht="19.5">
      <c r="E352" t="s">
        <v>14</v>
      </c>
      <c r="F352">
        <v>15</v>
      </c>
      <c r="CH352">
        <v>40</v>
      </c>
      <c r="CI352" t="s">
        <v>39</v>
      </c>
      <c r="CJ352" s="8">
        <v>43916</v>
      </c>
      <c r="CK352">
        <v>1</v>
      </c>
      <c r="CM352">
        <v>0</v>
      </c>
    </row>
    <row r="353" spans="1:206" ht="19.5">
      <c r="E353" t="s">
        <v>15</v>
      </c>
      <c r="F353">
        <v>16</v>
      </c>
      <c r="CH353">
        <v>40</v>
      </c>
      <c r="CI353" t="s">
        <v>39</v>
      </c>
      <c r="CJ353" s="8">
        <v>43917</v>
      </c>
      <c r="CK353">
        <v>1</v>
      </c>
      <c r="CM353">
        <v>0</v>
      </c>
    </row>
    <row r="354" spans="1:206" ht="19.5">
      <c r="E354" t="s">
        <v>16</v>
      </c>
      <c r="F354">
        <v>17</v>
      </c>
      <c r="CH354">
        <v>40</v>
      </c>
      <c r="CI354" t="s">
        <v>39</v>
      </c>
      <c r="CJ354" s="8">
        <v>43918</v>
      </c>
      <c r="CK354">
        <v>1</v>
      </c>
      <c r="CM354">
        <v>0</v>
      </c>
    </row>
    <row r="355" spans="1:206" ht="19.5">
      <c r="E355" t="s">
        <v>17</v>
      </c>
      <c r="F355">
        <v>18</v>
      </c>
      <c r="CH355">
        <v>40</v>
      </c>
      <c r="CI355" t="s">
        <v>39</v>
      </c>
      <c r="CJ355" s="8">
        <v>43919</v>
      </c>
      <c r="CK355">
        <v>1</v>
      </c>
      <c r="CM355">
        <v>0</v>
      </c>
    </row>
    <row r="356" spans="1:206" ht="19.5">
      <c r="E356" t="s">
        <v>18</v>
      </c>
      <c r="F356">
        <v>19</v>
      </c>
      <c r="CH356">
        <v>40</v>
      </c>
      <c r="CI356" t="s">
        <v>39</v>
      </c>
      <c r="CJ356" s="8">
        <v>43920</v>
      </c>
      <c r="CK356">
        <v>1</v>
      </c>
      <c r="CM356">
        <v>0</v>
      </c>
    </row>
    <row r="357" spans="1:206" ht="19.5">
      <c r="E357" t="s">
        <v>19</v>
      </c>
      <c r="F357">
        <v>20</v>
      </c>
      <c r="CH357">
        <v>40</v>
      </c>
      <c r="CI357" t="s">
        <v>39</v>
      </c>
      <c r="CJ357" s="8">
        <v>43921</v>
      </c>
      <c r="CK357">
        <v>1</v>
      </c>
      <c r="CM357">
        <v>0</v>
      </c>
    </row>
    <row r="358" spans="1:206" ht="19.5">
      <c r="E358" t="s">
        <v>12</v>
      </c>
      <c r="F358" s="9">
        <v>44248</v>
      </c>
      <c r="CH358">
        <v>40</v>
      </c>
      <c r="CI358" t="s">
        <v>39</v>
      </c>
      <c r="CJ358" s="8">
        <v>43922</v>
      </c>
      <c r="CK358">
        <v>1</v>
      </c>
      <c r="CM358">
        <v>0</v>
      </c>
    </row>
    <row r="359" spans="1:206" ht="19.5">
      <c r="E359" t="s">
        <v>14</v>
      </c>
      <c r="F359">
        <v>22</v>
      </c>
      <c r="CH359">
        <v>40</v>
      </c>
      <c r="CI359" t="s">
        <v>39</v>
      </c>
      <c r="CJ359" s="8">
        <v>43923</v>
      </c>
      <c r="CK359">
        <v>2</v>
      </c>
      <c r="CM359">
        <v>0</v>
      </c>
    </row>
    <row r="360" spans="1:206" ht="19.5">
      <c r="E360" t="s">
        <v>15</v>
      </c>
      <c r="F360">
        <v>23</v>
      </c>
      <c r="CH360">
        <v>40</v>
      </c>
      <c r="CI360" t="s">
        <v>39</v>
      </c>
      <c r="CJ360" s="8">
        <v>43924</v>
      </c>
      <c r="CK360">
        <v>2</v>
      </c>
      <c r="CM360">
        <v>0</v>
      </c>
    </row>
    <row r="361" spans="1:206" ht="19.5">
      <c r="E361" t="s">
        <v>16</v>
      </c>
      <c r="F361">
        <v>24</v>
      </c>
      <c r="CH361">
        <v>40</v>
      </c>
      <c r="CI361" t="s">
        <v>39</v>
      </c>
      <c r="CJ361" s="8">
        <v>43925</v>
      </c>
      <c r="CK361">
        <v>2</v>
      </c>
      <c r="CM361">
        <v>0</v>
      </c>
    </row>
    <row r="362" spans="1:206" ht="19.5">
      <c r="E362" t="s">
        <v>17</v>
      </c>
      <c r="F362">
        <v>25</v>
      </c>
      <c r="CH362">
        <v>40</v>
      </c>
      <c r="CI362" t="s">
        <v>39</v>
      </c>
      <c r="CJ362" s="8">
        <v>43926</v>
      </c>
      <c r="CK362">
        <v>2</v>
      </c>
      <c r="CM362">
        <v>0</v>
      </c>
    </row>
    <row r="363" spans="1:206" ht="19.5">
      <c r="E363" t="s">
        <v>18</v>
      </c>
      <c r="F363" s="9">
        <v>44253</v>
      </c>
      <c r="CH363">
        <v>40</v>
      </c>
      <c r="CI363" t="s">
        <v>39</v>
      </c>
      <c r="CJ363" s="8">
        <v>43927</v>
      </c>
      <c r="CK363">
        <v>2</v>
      </c>
      <c r="CM363">
        <v>0</v>
      </c>
    </row>
    <row r="364" spans="1:206" ht="19.5">
      <c r="E364" t="s">
        <v>19</v>
      </c>
      <c r="F364" s="9">
        <v>44254</v>
      </c>
      <c r="CH364">
        <v>40</v>
      </c>
      <c r="CI364" t="s">
        <v>39</v>
      </c>
      <c r="CJ364" s="8">
        <v>43928</v>
      </c>
      <c r="CK364">
        <v>2</v>
      </c>
      <c r="CM364">
        <v>0</v>
      </c>
    </row>
    <row r="365" spans="1:206" ht="19.5">
      <c r="E365" t="s">
        <v>12</v>
      </c>
      <c r="F365" s="9">
        <v>44255</v>
      </c>
      <c r="CH365">
        <v>40</v>
      </c>
      <c r="CI365" t="s">
        <v>39</v>
      </c>
      <c r="CJ365" s="8">
        <v>43929</v>
      </c>
      <c r="CK365">
        <v>2</v>
      </c>
      <c r="CM365">
        <v>0</v>
      </c>
    </row>
    <row r="366" spans="1:206" ht="19.5">
      <c r="E366" t="s">
        <v>14</v>
      </c>
      <c r="F366" s="9">
        <v>44256</v>
      </c>
      <c r="CH366">
        <v>40</v>
      </c>
      <c r="CI366" t="s">
        <v>39</v>
      </c>
      <c r="CJ366" s="8">
        <v>43930</v>
      </c>
      <c r="CK366">
        <v>2</v>
      </c>
      <c r="CM366">
        <v>0</v>
      </c>
    </row>
    <row r="367" spans="1:206" ht="19.5">
      <c r="E367" t="s">
        <v>15</v>
      </c>
      <c r="F367" s="9">
        <v>44257</v>
      </c>
      <c r="CH367">
        <v>40</v>
      </c>
      <c r="CI367" t="s">
        <v>39</v>
      </c>
      <c r="CJ367" s="8">
        <v>43931</v>
      </c>
      <c r="CK367">
        <v>2</v>
      </c>
      <c r="CM367">
        <v>0</v>
      </c>
    </row>
    <row r="368" spans="1:206" ht="19.5">
      <c r="E368" t="s">
        <v>16</v>
      </c>
      <c r="F368" s="9">
        <v>44258</v>
      </c>
      <c r="CH368">
        <v>40</v>
      </c>
      <c r="CI368" t="s">
        <v>39</v>
      </c>
      <c r="CJ368" s="8">
        <v>43932</v>
      </c>
      <c r="CK368">
        <v>2</v>
      </c>
      <c r="CM368">
        <v>0</v>
      </c>
    </row>
    <row r="369" spans="1:206" ht="19.5">
      <c r="E369" t="s">
        <v>17</v>
      </c>
      <c r="F369" s="9">
        <v>44259</v>
      </c>
      <c r="CH369">
        <v>40</v>
      </c>
      <c r="CI369" t="s">
        <v>39</v>
      </c>
      <c r="CJ369" s="8">
        <v>43933</v>
      </c>
      <c r="CK369">
        <v>2</v>
      </c>
      <c r="CM369">
        <v>0</v>
      </c>
    </row>
    <row r="370" spans="1:206" ht="19.5">
      <c r="E370" t="s">
        <v>18</v>
      </c>
      <c r="F370" s="9">
        <v>44260</v>
      </c>
      <c r="CH370">
        <v>40</v>
      </c>
      <c r="CI370" t="s">
        <v>39</v>
      </c>
      <c r="CJ370" s="8">
        <v>43934</v>
      </c>
      <c r="CK370">
        <v>2</v>
      </c>
      <c r="CM370">
        <v>0</v>
      </c>
    </row>
    <row r="371" spans="1:206" ht="19.5">
      <c r="E371" t="s">
        <v>19</v>
      </c>
      <c r="F371" s="9">
        <v>44261</v>
      </c>
      <c r="CH371">
        <v>40</v>
      </c>
      <c r="CI371" t="s">
        <v>39</v>
      </c>
      <c r="CJ371" s="8">
        <v>43935</v>
      </c>
      <c r="CK371">
        <v>2</v>
      </c>
      <c r="CM371">
        <v>0</v>
      </c>
    </row>
    <row r="372" spans="1:206" ht="19.5">
      <c r="E372" t="s">
        <v>12</v>
      </c>
      <c r="F372" s="9">
        <v>44262</v>
      </c>
      <c r="CH372">
        <v>40</v>
      </c>
      <c r="CI372" t="s">
        <v>39</v>
      </c>
      <c r="CJ372" s="8">
        <v>43936</v>
      </c>
      <c r="CK372">
        <v>2</v>
      </c>
      <c r="CM372">
        <v>0</v>
      </c>
    </row>
    <row r="373" spans="1:206" ht="19.5">
      <c r="E373" t="s">
        <v>14</v>
      </c>
      <c r="F373" s="9">
        <v>44263</v>
      </c>
      <c r="CH373">
        <v>40</v>
      </c>
      <c r="CI373" t="s">
        <v>39</v>
      </c>
      <c r="CJ373" s="8">
        <v>43937</v>
      </c>
      <c r="CK373">
        <v>2</v>
      </c>
      <c r="CL373">
        <v>39</v>
      </c>
      <c r="CM373">
        <v>0</v>
      </c>
    </row>
    <row r="374" spans="1:206" ht="19.5">
      <c r="E374" t="s">
        <v>15</v>
      </c>
      <c r="F374">
        <v>9</v>
      </c>
      <c r="CH374">
        <v>40</v>
      </c>
      <c r="CI374" t="s">
        <v>39</v>
      </c>
      <c r="CJ374" s="8">
        <v>43938</v>
      </c>
      <c r="CK374">
        <v>3</v>
      </c>
      <c r="CL374">
        <v>58</v>
      </c>
      <c r="CM374">
        <v>0</v>
      </c>
    </row>
    <row r="375" spans="1:206" ht="19.5">
      <c r="E375" t="s">
        <v>16</v>
      </c>
      <c r="F375">
        <v>10</v>
      </c>
      <c r="CH375">
        <v>40</v>
      </c>
      <c r="CI375" t="s">
        <v>39</v>
      </c>
      <c r="CJ375" s="8">
        <v>43939</v>
      </c>
      <c r="CK375">
        <v>3</v>
      </c>
      <c r="CL375">
        <v>58</v>
      </c>
      <c r="CM375">
        <v>0</v>
      </c>
    </row>
    <row r="376" spans="1:206" ht="19.5">
      <c r="E376" t="s">
        <v>17</v>
      </c>
      <c r="F376">
        <v>11</v>
      </c>
      <c r="CH376">
        <v>40</v>
      </c>
      <c r="CI376" t="s">
        <v>39</v>
      </c>
      <c r="CJ376" s="8">
        <v>43940</v>
      </c>
      <c r="CK376">
        <v>3</v>
      </c>
      <c r="CL376">
        <v>58</v>
      </c>
      <c r="CM376">
        <v>0</v>
      </c>
    </row>
    <row r="377" spans="1:206" ht="19.5">
      <c r="E377" t="s">
        <v>18</v>
      </c>
      <c r="F377">
        <v>12</v>
      </c>
      <c r="CH377">
        <v>40</v>
      </c>
      <c r="CI377" t="s">
        <v>39</v>
      </c>
      <c r="CJ377" s="8">
        <v>43941</v>
      </c>
      <c r="CK377">
        <v>3</v>
      </c>
      <c r="CL377">
        <v>58</v>
      </c>
      <c r="CM377">
        <v>0</v>
      </c>
    </row>
    <row r="378" spans="1:206" ht="19.5">
      <c r="E378" t="s">
        <v>19</v>
      </c>
      <c r="F378">
        <v>13</v>
      </c>
      <c r="CH378">
        <v>40</v>
      </c>
      <c r="CI378" t="s">
        <v>39</v>
      </c>
      <c r="CJ378" s="8">
        <v>43942</v>
      </c>
      <c r="CK378">
        <v>3</v>
      </c>
      <c r="CL378">
        <v>58</v>
      </c>
      <c r="CM378">
        <v>0</v>
      </c>
    </row>
    <row r="379" spans="1:206" ht="19.5">
      <c r="E379" t="s">
        <v>12</v>
      </c>
      <c r="F379" s="9">
        <v>44269</v>
      </c>
      <c r="CH379">
        <v>40</v>
      </c>
      <c r="CI379" t="s">
        <v>39</v>
      </c>
      <c r="CJ379" s="8">
        <v>43943</v>
      </c>
      <c r="CK379">
        <v>4</v>
      </c>
      <c r="CL379">
        <v>78</v>
      </c>
      <c r="CM379">
        <v>0</v>
      </c>
    </row>
    <row r="380" spans="1:206" ht="19.5">
      <c r="E380" t="s">
        <v>14</v>
      </c>
      <c r="F380">
        <v>15</v>
      </c>
      <c r="CH380">
        <v>40</v>
      </c>
      <c r="CI380" t="s">
        <v>39</v>
      </c>
      <c r="CJ380" s="8">
        <v>43944</v>
      </c>
      <c r="CK380">
        <v>4</v>
      </c>
      <c r="CL380">
        <v>78</v>
      </c>
      <c r="CM380">
        <v>0</v>
      </c>
    </row>
    <row r="381" spans="1:206" ht="19.5">
      <c r="E381" t="s">
        <v>15</v>
      </c>
      <c r="F381">
        <v>16</v>
      </c>
      <c r="CH381">
        <v>40</v>
      </c>
      <c r="CI381" t="s">
        <v>39</v>
      </c>
      <c r="CJ381" s="8">
        <v>43945</v>
      </c>
      <c r="CK381">
        <v>5</v>
      </c>
      <c r="CL381">
        <v>97</v>
      </c>
      <c r="CM381">
        <v>0</v>
      </c>
    </row>
    <row r="382" spans="1:206" ht="19.5">
      <c r="E382" t="s">
        <v>16</v>
      </c>
      <c r="F382">
        <v>17</v>
      </c>
      <c r="CH382">
        <v>40</v>
      </c>
      <c r="CI382" t="s">
        <v>39</v>
      </c>
      <c r="CJ382" s="8">
        <v>43946</v>
      </c>
      <c r="CK382">
        <v>5</v>
      </c>
      <c r="CL382">
        <v>97</v>
      </c>
      <c r="CM382">
        <v>0</v>
      </c>
    </row>
    <row r="383" spans="1:206" ht="19.5">
      <c r="E383" t="s">
        <v>17</v>
      </c>
      <c r="F383">
        <v>18</v>
      </c>
      <c r="CH383">
        <v>40</v>
      </c>
      <c r="CI383" t="s">
        <v>39</v>
      </c>
      <c r="CJ383" s="8">
        <v>43947</v>
      </c>
      <c r="CK383">
        <v>5</v>
      </c>
      <c r="CL383">
        <v>97</v>
      </c>
      <c r="CM383">
        <v>0</v>
      </c>
    </row>
    <row r="384" spans="1:206" ht="19.5">
      <c r="E384" t="s">
        <v>18</v>
      </c>
      <c r="F384">
        <v>19</v>
      </c>
      <c r="CH384">
        <v>40</v>
      </c>
      <c r="CI384" t="s">
        <v>39</v>
      </c>
      <c r="CJ384" s="8">
        <v>43948</v>
      </c>
      <c r="CK384">
        <v>5</v>
      </c>
      <c r="CL384">
        <v>97</v>
      </c>
      <c r="CM384">
        <v>0</v>
      </c>
    </row>
    <row r="385" spans="1:206" ht="19.5">
      <c r="E385" t="s">
        <v>19</v>
      </c>
      <c r="F385">
        <v>20</v>
      </c>
      <c r="CH385">
        <v>40</v>
      </c>
      <c r="CI385" t="s">
        <v>39</v>
      </c>
      <c r="CJ385" s="8">
        <v>43949</v>
      </c>
      <c r="CK385">
        <v>4</v>
      </c>
      <c r="CL385">
        <v>78</v>
      </c>
      <c r="CM385">
        <v>0</v>
      </c>
    </row>
    <row r="386" spans="1:206" ht="19.5">
      <c r="E386" t="s">
        <v>12</v>
      </c>
      <c r="F386" s="9">
        <v>44276</v>
      </c>
      <c r="CH386">
        <v>40</v>
      </c>
      <c r="CI386" t="s">
        <v>39</v>
      </c>
      <c r="CJ386" s="8">
        <v>43950</v>
      </c>
      <c r="CK386">
        <v>4</v>
      </c>
      <c r="CL386">
        <v>78</v>
      </c>
      <c r="CM386">
        <v>0</v>
      </c>
    </row>
    <row r="387" spans="1:206" ht="19.5">
      <c r="E387" t="s">
        <v>14</v>
      </c>
      <c r="F387">
        <v>22</v>
      </c>
      <c r="CH387">
        <v>40</v>
      </c>
      <c r="CI387" t="s">
        <v>39</v>
      </c>
      <c r="CJ387" s="8">
        <v>43951</v>
      </c>
      <c r="CK387">
        <v>4</v>
      </c>
      <c r="CL387">
        <v>78</v>
      </c>
      <c r="CM387">
        <v>0</v>
      </c>
    </row>
    <row r="388" spans="1:206" ht="19.5">
      <c r="E388" t="s">
        <v>15</v>
      </c>
      <c r="F388">
        <v>23</v>
      </c>
      <c r="CH388">
        <v>42</v>
      </c>
      <c r="CI388" t="s">
        <v>40</v>
      </c>
      <c r="CJ388" s="8">
        <v>43914</v>
      </c>
      <c r="CK388">
        <v>1</v>
      </c>
      <c r="CM388">
        <v>0</v>
      </c>
    </row>
    <row r="389" spans="1:206" ht="19.5">
      <c r="E389" t="s">
        <v>16</v>
      </c>
      <c r="F389">
        <v>24</v>
      </c>
      <c r="CH389">
        <v>42</v>
      </c>
      <c r="CI389" t="s">
        <v>40</v>
      </c>
      <c r="CJ389" s="8">
        <v>43915</v>
      </c>
      <c r="CK389">
        <v>2</v>
      </c>
      <c r="CM389">
        <v>0</v>
      </c>
    </row>
    <row r="390" spans="1:206" ht="19.5">
      <c r="E390" t="s">
        <v>17</v>
      </c>
      <c r="F390">
        <v>25</v>
      </c>
      <c r="CH390">
        <v>42</v>
      </c>
      <c r="CI390" t="s">
        <v>40</v>
      </c>
      <c r="CJ390" s="8">
        <v>43916</v>
      </c>
      <c r="CK390">
        <v>1</v>
      </c>
      <c r="CM390">
        <v>0</v>
      </c>
    </row>
    <row r="391" spans="1:206" ht="19.5">
      <c r="E391" t="s">
        <v>18</v>
      </c>
      <c r="F391">
        <v>26</v>
      </c>
      <c r="CH391">
        <v>42</v>
      </c>
      <c r="CI391" t="s">
        <v>40</v>
      </c>
      <c r="CJ391" s="8">
        <v>43917</v>
      </c>
      <c r="CK391">
        <v>1</v>
      </c>
      <c r="CM391">
        <v>0</v>
      </c>
    </row>
    <row r="392" spans="1:206" ht="19.5">
      <c r="E392" t="s">
        <v>19</v>
      </c>
      <c r="F392" s="9">
        <v>44282</v>
      </c>
      <c r="CH392">
        <v>42</v>
      </c>
      <c r="CI392" t="s">
        <v>40</v>
      </c>
      <c r="CJ392" s="8">
        <v>43918</v>
      </c>
      <c r="CK392">
        <v>2</v>
      </c>
      <c r="CM392">
        <v>0</v>
      </c>
    </row>
    <row r="393" spans="1:206" ht="19.5">
      <c r="E393" t="s">
        <v>12</v>
      </c>
      <c r="F393" s="9">
        <v>44283</v>
      </c>
      <c r="CH393">
        <v>42</v>
      </c>
      <c r="CI393" t="s">
        <v>40</v>
      </c>
      <c r="CJ393" s="8">
        <v>43919</v>
      </c>
      <c r="CK393">
        <v>3</v>
      </c>
      <c r="CM393">
        <v>0</v>
      </c>
    </row>
    <row r="394" spans="1:206" ht="19.5">
      <c r="E394" t="s">
        <v>14</v>
      </c>
      <c r="F394" s="9">
        <v>44284</v>
      </c>
      <c r="CH394">
        <v>42</v>
      </c>
      <c r="CI394" t="s">
        <v>40</v>
      </c>
      <c r="CJ394" s="8">
        <v>43920</v>
      </c>
      <c r="CK394">
        <v>3</v>
      </c>
      <c r="CM394">
        <v>0</v>
      </c>
    </row>
    <row r="395" spans="1:206" ht="19.5">
      <c r="E395" t="s">
        <v>15</v>
      </c>
      <c r="F395" s="9">
        <v>44285</v>
      </c>
      <c r="CH395">
        <v>42</v>
      </c>
      <c r="CI395" t="s">
        <v>40</v>
      </c>
      <c r="CJ395" s="8">
        <v>43921</v>
      </c>
      <c r="CK395">
        <v>3</v>
      </c>
      <c r="CM395">
        <v>0</v>
      </c>
    </row>
    <row r="396" spans="1:206" ht="19.5">
      <c r="E396" t="s">
        <v>16</v>
      </c>
      <c r="F396" s="9">
        <v>44286</v>
      </c>
      <c r="CH396">
        <v>42</v>
      </c>
      <c r="CI396" t="s">
        <v>40</v>
      </c>
      <c r="CJ396" s="8">
        <v>43922</v>
      </c>
      <c r="CK396">
        <v>4</v>
      </c>
      <c r="CM396">
        <v>0</v>
      </c>
    </row>
    <row r="397" spans="1:206" ht="19.5">
      <c r="E397" t="s">
        <v>17</v>
      </c>
      <c r="F397" s="9">
        <v>44287</v>
      </c>
      <c r="CH397">
        <v>42</v>
      </c>
      <c r="CI397" t="s">
        <v>40</v>
      </c>
      <c r="CJ397" s="8">
        <v>43923</v>
      </c>
      <c r="CK397">
        <v>4</v>
      </c>
      <c r="CM397">
        <v>0</v>
      </c>
    </row>
    <row r="398" spans="1:206" ht="19.5">
      <c r="E398" t="s">
        <v>18</v>
      </c>
      <c r="F398" s="9">
        <v>44288</v>
      </c>
      <c r="CH398">
        <v>42</v>
      </c>
      <c r="CI398" t="s">
        <v>40</v>
      </c>
      <c r="CJ398" s="8">
        <v>43924</v>
      </c>
      <c r="CK398">
        <v>4</v>
      </c>
      <c r="CM398">
        <v>0</v>
      </c>
    </row>
    <row r="399" spans="1:206" ht="19.5">
      <c r="E399" t="s">
        <v>19</v>
      </c>
      <c r="F399" s="9">
        <v>44289</v>
      </c>
      <c r="CH399">
        <v>42</v>
      </c>
      <c r="CI399" t="s">
        <v>40</v>
      </c>
      <c r="CJ399" s="8">
        <v>43925</v>
      </c>
      <c r="CK399">
        <v>4</v>
      </c>
      <c r="CM399">
        <v>0</v>
      </c>
    </row>
    <row r="400" spans="1:206" ht="19.5">
      <c r="E400" t="s">
        <v>12</v>
      </c>
      <c r="F400" s="9">
        <v>44290</v>
      </c>
      <c r="CH400">
        <v>42</v>
      </c>
      <c r="CI400" t="s">
        <v>40</v>
      </c>
      <c r="CJ400" s="8">
        <v>43926</v>
      </c>
      <c r="CK400">
        <v>4</v>
      </c>
      <c r="CM400">
        <v>0</v>
      </c>
    </row>
    <row r="401" spans="1:206" ht="19.5">
      <c r="E401" t="s">
        <v>14</v>
      </c>
      <c r="F401">
        <v>5</v>
      </c>
      <c r="CH401">
        <v>42</v>
      </c>
      <c r="CI401" t="s">
        <v>40</v>
      </c>
      <c r="CJ401" s="8">
        <v>43927</v>
      </c>
      <c r="CK401">
        <v>5</v>
      </c>
      <c r="CM401">
        <v>0</v>
      </c>
    </row>
    <row r="402" spans="1:206" ht="19.5">
      <c r="E402" t="s">
        <v>15</v>
      </c>
      <c r="F402">
        <v>6</v>
      </c>
      <c r="CH402">
        <v>42</v>
      </c>
      <c r="CI402" t="s">
        <v>40</v>
      </c>
      <c r="CJ402" s="8">
        <v>43928</v>
      </c>
      <c r="CK402">
        <v>6</v>
      </c>
      <c r="CM402">
        <v>0</v>
      </c>
    </row>
    <row r="403" spans="1:206" ht="19.5">
      <c r="E403" t="s">
        <v>16</v>
      </c>
      <c r="F403" s="9">
        <v>44293</v>
      </c>
      <c r="CH403">
        <v>42</v>
      </c>
      <c r="CI403" t="s">
        <v>40</v>
      </c>
      <c r="CJ403" s="8">
        <v>43929</v>
      </c>
      <c r="CK403">
        <v>6</v>
      </c>
      <c r="CM403">
        <v>0</v>
      </c>
    </row>
    <row r="404" spans="1:206" ht="19.5">
      <c r="E404" t="s">
        <v>17</v>
      </c>
      <c r="F404" s="9">
        <v>44294</v>
      </c>
      <c r="CH404">
        <v>42</v>
      </c>
      <c r="CI404" t="s">
        <v>40</v>
      </c>
      <c r="CJ404" s="8">
        <v>43930</v>
      </c>
      <c r="CK404">
        <v>5</v>
      </c>
      <c r="CM404">
        <v>0</v>
      </c>
    </row>
    <row r="405" spans="1:206" ht="19.5">
      <c r="E405" t="s">
        <v>18</v>
      </c>
      <c r="F405">
        <v>9</v>
      </c>
      <c r="CH405">
        <v>42</v>
      </c>
      <c r="CI405" t="s">
        <v>40</v>
      </c>
      <c r="CJ405" s="8">
        <v>43931</v>
      </c>
      <c r="CK405">
        <v>5</v>
      </c>
      <c r="CM405">
        <v>0</v>
      </c>
    </row>
    <row r="406" spans="1:206" ht="19.5">
      <c r="E406" t="s">
        <v>19</v>
      </c>
      <c r="F406">
        <v>10</v>
      </c>
      <c r="CH406">
        <v>42</v>
      </c>
      <c r="CI406" t="s">
        <v>40</v>
      </c>
      <c r="CJ406" s="8">
        <v>43932</v>
      </c>
      <c r="CK406">
        <v>7</v>
      </c>
      <c r="CM406">
        <v>0</v>
      </c>
    </row>
    <row r="407" spans="1:206" ht="19.5">
      <c r="E407" t="s">
        <v>12</v>
      </c>
      <c r="F407" s="9">
        <v>44297</v>
      </c>
      <c r="CH407">
        <v>42</v>
      </c>
      <c r="CI407" t="s">
        <v>40</v>
      </c>
      <c r="CJ407" s="8">
        <v>43933</v>
      </c>
      <c r="CK407">
        <v>8</v>
      </c>
      <c r="CM407">
        <v>0</v>
      </c>
    </row>
    <row r="408" spans="1:206" ht="19.5">
      <c r="E408" t="s">
        <v>14</v>
      </c>
      <c r="F408">
        <v>12</v>
      </c>
      <c r="CH408">
        <v>42</v>
      </c>
      <c r="CI408" t="s">
        <v>40</v>
      </c>
      <c r="CJ408" s="8">
        <v>43934</v>
      </c>
      <c r="CK408">
        <v>12</v>
      </c>
      <c r="CM408">
        <v>0</v>
      </c>
    </row>
    <row r="409" spans="1:206" ht="19.5">
      <c r="E409" t="s">
        <v>15</v>
      </c>
      <c r="F409">
        <v>13</v>
      </c>
      <c r="CH409">
        <v>42</v>
      </c>
      <c r="CI409" t="s">
        <v>40</v>
      </c>
      <c r="CJ409" s="8">
        <v>43935</v>
      </c>
      <c r="CK409">
        <v>14</v>
      </c>
      <c r="CM409">
        <v>0</v>
      </c>
    </row>
    <row r="410" spans="1:206" ht="19.5">
      <c r="E410" t="s">
        <v>16</v>
      </c>
      <c r="F410" s="9">
        <v>44300</v>
      </c>
      <c r="CH410">
        <v>42</v>
      </c>
      <c r="CI410" t="s">
        <v>40</v>
      </c>
      <c r="CJ410" s="8">
        <v>43936</v>
      </c>
      <c r="CK410">
        <v>15</v>
      </c>
      <c r="CM410">
        <v>0</v>
      </c>
    </row>
    <row r="411" spans="1:206" ht="19.5">
      <c r="E411" t="s">
        <v>17</v>
      </c>
      <c r="F411">
        <v>15</v>
      </c>
      <c r="CH411">
        <v>42</v>
      </c>
      <c r="CI411" t="s">
        <v>40</v>
      </c>
      <c r="CJ411" s="8">
        <v>43937</v>
      </c>
      <c r="CK411">
        <v>18</v>
      </c>
      <c r="CL411">
        <v>140</v>
      </c>
      <c r="CM411">
        <v>0</v>
      </c>
    </row>
    <row r="412" spans="1:206" ht="19.5">
      <c r="E412" t="s">
        <v>18</v>
      </c>
      <c r="F412">
        <v>16</v>
      </c>
      <c r="CH412">
        <v>42</v>
      </c>
      <c r="CI412" t="s">
        <v>40</v>
      </c>
      <c r="CJ412" s="8">
        <v>43938</v>
      </c>
      <c r="CK412">
        <v>18</v>
      </c>
      <c r="CL412">
        <v>140</v>
      </c>
      <c r="CM412">
        <v>0</v>
      </c>
    </row>
    <row r="413" spans="1:206" ht="19.5">
      <c r="E413" t="s">
        <v>19</v>
      </c>
      <c r="F413">
        <v>17</v>
      </c>
      <c r="CH413">
        <v>42</v>
      </c>
      <c r="CI413" t="s">
        <v>40</v>
      </c>
      <c r="CJ413" s="8">
        <v>43939</v>
      </c>
      <c r="CK413">
        <v>19</v>
      </c>
      <c r="CL413">
        <v>148</v>
      </c>
      <c r="CM413">
        <v>0</v>
      </c>
    </row>
    <row r="414" spans="1:206" ht="19.5">
      <c r="E414" t="s">
        <v>12</v>
      </c>
      <c r="F414" s="9">
        <v>44304</v>
      </c>
      <c r="CH414">
        <v>42</v>
      </c>
      <c r="CI414" t="s">
        <v>40</v>
      </c>
      <c r="CJ414" s="8">
        <v>43940</v>
      </c>
      <c r="CK414">
        <v>20</v>
      </c>
      <c r="CL414">
        <v>156</v>
      </c>
      <c r="CM414">
        <v>0</v>
      </c>
    </row>
    <row r="415" spans="1:206" ht="19.5">
      <c r="E415" t="s">
        <v>14</v>
      </c>
      <c r="F415">
        <v>19</v>
      </c>
      <c r="CH415">
        <v>42</v>
      </c>
      <c r="CI415" t="s">
        <v>40</v>
      </c>
      <c r="CJ415" s="8">
        <v>43941</v>
      </c>
      <c r="CK415">
        <v>23</v>
      </c>
      <c r="CL415">
        <v>179</v>
      </c>
      <c r="CM415">
        <v>2</v>
      </c>
    </row>
    <row r="416" spans="1:206" ht="19.5">
      <c r="E416" t="s">
        <v>15</v>
      </c>
      <c r="F416">
        <v>20</v>
      </c>
      <c r="CH416">
        <v>42</v>
      </c>
      <c r="CI416" t="s">
        <v>40</v>
      </c>
      <c r="CJ416" s="8">
        <v>43942</v>
      </c>
      <c r="CK416">
        <v>23</v>
      </c>
      <c r="CL416">
        <v>179</v>
      </c>
      <c r="CM416">
        <v>2</v>
      </c>
    </row>
    <row r="417" spans="1:206" ht="19.5">
      <c r="E417" t="s">
        <v>16</v>
      </c>
      <c r="F417" s="9">
        <v>44307</v>
      </c>
      <c r="CH417">
        <v>42</v>
      </c>
      <c r="CI417" t="s">
        <v>40</v>
      </c>
      <c r="CJ417" s="8">
        <v>43943</v>
      </c>
      <c r="CK417">
        <v>23</v>
      </c>
      <c r="CL417">
        <v>179</v>
      </c>
      <c r="CM417">
        <v>3</v>
      </c>
    </row>
    <row r="418" spans="1:206" ht="19.5">
      <c r="E418" t="s">
        <v>17</v>
      </c>
      <c r="F418">
        <v>22</v>
      </c>
      <c r="CH418">
        <v>42</v>
      </c>
      <c r="CI418" t="s">
        <v>40</v>
      </c>
      <c r="CJ418" s="8">
        <v>43944</v>
      </c>
      <c r="CK418">
        <v>26</v>
      </c>
      <c r="CL418">
        <v>202</v>
      </c>
      <c r="CM418">
        <v>3</v>
      </c>
    </row>
    <row r="419" spans="1:206" ht="19.5">
      <c r="E419" t="s">
        <v>18</v>
      </c>
      <c r="F419">
        <v>23</v>
      </c>
      <c r="CH419">
        <v>42</v>
      </c>
      <c r="CI419" t="s">
        <v>40</v>
      </c>
      <c r="CJ419" s="8">
        <v>43945</v>
      </c>
      <c r="CK419">
        <v>27</v>
      </c>
      <c r="CL419">
        <v>210</v>
      </c>
      <c r="CM419">
        <v>3</v>
      </c>
    </row>
    <row r="420" spans="1:206" ht="19.5">
      <c r="E420" t="s">
        <v>19</v>
      </c>
      <c r="F420">
        <v>24</v>
      </c>
      <c r="CH420">
        <v>42</v>
      </c>
      <c r="CI420" t="s">
        <v>40</v>
      </c>
      <c r="CJ420" s="8">
        <v>43946</v>
      </c>
      <c r="CK420">
        <v>28</v>
      </c>
      <c r="CL420">
        <v>218</v>
      </c>
      <c r="CM420">
        <v>3</v>
      </c>
    </row>
    <row r="421" spans="1:206" ht="19.5">
      <c r="E421" t="s">
        <v>12</v>
      </c>
      <c r="F421" s="9">
        <v>44311</v>
      </c>
      <c r="CH421">
        <v>42</v>
      </c>
      <c r="CI421" t="s">
        <v>40</v>
      </c>
      <c r="CJ421" s="8">
        <v>43947</v>
      </c>
      <c r="CK421">
        <v>29</v>
      </c>
      <c r="CL421">
        <v>226</v>
      </c>
      <c r="CM421">
        <v>3</v>
      </c>
    </row>
    <row r="422" spans="1:206" ht="19.5">
      <c r="E422" t="s">
        <v>14</v>
      </c>
      <c r="F422">
        <v>26</v>
      </c>
      <c r="CH422">
        <v>42</v>
      </c>
      <c r="CI422" t="s">
        <v>40</v>
      </c>
      <c r="CJ422" s="8">
        <v>43948</v>
      </c>
      <c r="CK422">
        <v>30</v>
      </c>
      <c r="CL422">
        <v>233</v>
      </c>
      <c r="CM422">
        <v>3</v>
      </c>
    </row>
    <row r="423" spans="1:206" ht="19.5">
      <c r="E423" t="s">
        <v>15</v>
      </c>
      <c r="F423">
        <v>27</v>
      </c>
      <c r="CH423">
        <v>42</v>
      </c>
      <c r="CI423" t="s">
        <v>40</v>
      </c>
      <c r="CJ423" s="8">
        <v>43949</v>
      </c>
      <c r="CK423">
        <v>30</v>
      </c>
      <c r="CL423">
        <v>233</v>
      </c>
      <c r="CM423">
        <v>3</v>
      </c>
    </row>
    <row r="424" spans="1:206" ht="19.5">
      <c r="E424" t="s">
        <v>16</v>
      </c>
      <c r="F424" s="9">
        <v>44314</v>
      </c>
      <c r="CH424">
        <v>42</v>
      </c>
      <c r="CI424" t="s">
        <v>40</v>
      </c>
      <c r="CJ424" s="8">
        <v>43950</v>
      </c>
      <c r="CK424">
        <v>30</v>
      </c>
      <c r="CL424">
        <v>233</v>
      </c>
      <c r="CM424">
        <v>3</v>
      </c>
    </row>
    <row r="425" spans="1:206" ht="19.5">
      <c r="E425" t="s">
        <v>17</v>
      </c>
      <c r="F425" s="9">
        <v>44315</v>
      </c>
      <c r="CH425">
        <v>42</v>
      </c>
      <c r="CI425" t="s">
        <v>40</v>
      </c>
      <c r="CJ425" s="8">
        <v>43951</v>
      </c>
      <c r="CK425">
        <v>31</v>
      </c>
      <c r="CL425">
        <v>241</v>
      </c>
      <c r="CM425">
        <v>3</v>
      </c>
    </row>
    <row r="426" spans="1:206" ht="19.5">
      <c r="E426" t="s">
        <v>18</v>
      </c>
      <c r="F426" s="9">
        <v>44316</v>
      </c>
      <c r="CH426">
        <v>43</v>
      </c>
      <c r="CI426" t="s">
        <v>41</v>
      </c>
      <c r="CJ426" s="8">
        <v>43914</v>
      </c>
      <c r="CK426">
        <v>2</v>
      </c>
      <c r="CM426">
        <v>0</v>
      </c>
    </row>
    <row r="427" spans="1:206" ht="19.5">
      <c r="E427" t="s">
        <v>19</v>
      </c>
      <c r="F427" s="9">
        <v>44317</v>
      </c>
      <c r="CH427">
        <v>43</v>
      </c>
      <c r="CI427" t="s">
        <v>41</v>
      </c>
      <c r="CJ427" s="8">
        <v>43915</v>
      </c>
      <c r="CK427">
        <v>4</v>
      </c>
      <c r="CM427">
        <v>0</v>
      </c>
    </row>
    <row r="428" spans="1:206" ht="19.5">
      <c r="E428" t="s">
        <v>12</v>
      </c>
      <c r="F428" s="9">
        <v>44318</v>
      </c>
      <c r="CH428">
        <v>43</v>
      </c>
      <c r="CI428" t="s">
        <v>41</v>
      </c>
      <c r="CJ428" s="8">
        <v>43916</v>
      </c>
      <c r="CK428">
        <v>4</v>
      </c>
      <c r="CM428">
        <v>0</v>
      </c>
    </row>
    <row r="429" spans="1:206" ht="19.5">
      <c r="E429" t="s">
        <v>14</v>
      </c>
      <c r="F429" s="9">
        <v>44319</v>
      </c>
      <c r="CH429">
        <v>43</v>
      </c>
      <c r="CI429" t="s">
        <v>41</v>
      </c>
      <c r="CJ429" s="8">
        <v>43917</v>
      </c>
      <c r="CK429">
        <v>3</v>
      </c>
      <c r="CM429">
        <v>0</v>
      </c>
    </row>
    <row r="430" spans="1:206" ht="19.5">
      <c r="E430" t="s">
        <v>15</v>
      </c>
      <c r="F430" s="9">
        <v>44320</v>
      </c>
      <c r="CH430">
        <v>43</v>
      </c>
      <c r="CI430" t="s">
        <v>41</v>
      </c>
      <c r="CJ430" s="8">
        <v>43918</v>
      </c>
      <c r="CK430">
        <v>5</v>
      </c>
      <c r="CM430">
        <v>0</v>
      </c>
    </row>
    <row r="431" spans="1:206" ht="19.5">
      <c r="E431" t="s">
        <v>16</v>
      </c>
      <c r="F431" s="9">
        <v>44321</v>
      </c>
      <c r="CH431">
        <v>43</v>
      </c>
      <c r="CI431" t="s">
        <v>41</v>
      </c>
      <c r="CJ431" s="8">
        <v>43919</v>
      </c>
      <c r="CK431">
        <v>11</v>
      </c>
      <c r="CM431">
        <v>0</v>
      </c>
    </row>
    <row r="432" spans="1:206" ht="19.5">
      <c r="E432" t="s">
        <v>17</v>
      </c>
      <c r="F432" s="9">
        <v>44322</v>
      </c>
      <c r="CH432">
        <v>43</v>
      </c>
      <c r="CI432" t="s">
        <v>41</v>
      </c>
      <c r="CJ432" s="8">
        <v>43920</v>
      </c>
      <c r="CK432">
        <v>17</v>
      </c>
      <c r="CM432">
        <v>0</v>
      </c>
    </row>
    <row r="433" spans="1:206" ht="19.5">
      <c r="E433" t="s">
        <v>18</v>
      </c>
      <c r="F433" s="9">
        <v>44323</v>
      </c>
      <c r="CH433">
        <v>43</v>
      </c>
      <c r="CI433" t="s">
        <v>41</v>
      </c>
      <c r="CJ433" s="8">
        <v>43921</v>
      </c>
      <c r="CK433">
        <v>21</v>
      </c>
      <c r="CM433">
        <v>0</v>
      </c>
    </row>
    <row r="434" spans="1:206" ht="19.5">
      <c r="E434" t="s">
        <v>19</v>
      </c>
      <c r="F434">
        <v>8</v>
      </c>
      <c r="CH434">
        <v>43</v>
      </c>
      <c r="CI434" t="s">
        <v>41</v>
      </c>
      <c r="CJ434" s="8">
        <v>43922</v>
      </c>
      <c r="CK434">
        <v>23</v>
      </c>
      <c r="CM434">
        <v>1</v>
      </c>
    </row>
    <row r="435" spans="1:206" ht="19.5">
      <c r="E435" t="s">
        <v>12</v>
      </c>
      <c r="F435" s="9">
        <v>44325</v>
      </c>
      <c r="CH435">
        <v>43</v>
      </c>
      <c r="CI435" t="s">
        <v>41</v>
      </c>
      <c r="CJ435" s="8">
        <v>43923</v>
      </c>
      <c r="CK435">
        <v>26</v>
      </c>
      <c r="CM435">
        <v>2</v>
      </c>
    </row>
    <row r="436" spans="1:206" ht="19.5">
      <c r="E436" t="s">
        <v>14</v>
      </c>
      <c r="F436">
        <v>10</v>
      </c>
      <c r="CH436">
        <v>43</v>
      </c>
      <c r="CI436" t="s">
        <v>41</v>
      </c>
      <c r="CJ436" s="8">
        <v>43924</v>
      </c>
      <c r="CK436">
        <v>34</v>
      </c>
      <c r="CM436">
        <v>2</v>
      </c>
    </row>
    <row r="437" spans="1:206" ht="19.5">
      <c r="E437" t="s">
        <v>15</v>
      </c>
      <c r="F437">
        <v>11</v>
      </c>
      <c r="CH437">
        <v>43</v>
      </c>
      <c r="CI437" t="s">
        <v>41</v>
      </c>
      <c r="CJ437" s="8">
        <v>43925</v>
      </c>
      <c r="CK437">
        <v>39</v>
      </c>
      <c r="CM437">
        <v>2</v>
      </c>
    </row>
    <row r="438" spans="1:206" ht="19.5">
      <c r="E438" t="s">
        <v>16</v>
      </c>
      <c r="F438">
        <v>12</v>
      </c>
      <c r="CH438">
        <v>43</v>
      </c>
      <c r="CI438" t="s">
        <v>41</v>
      </c>
      <c r="CJ438" s="8">
        <v>43926</v>
      </c>
      <c r="CK438">
        <v>40</v>
      </c>
      <c r="CM438">
        <v>2</v>
      </c>
    </row>
    <row r="439" spans="1:206" ht="19.5">
      <c r="E439" t="s">
        <v>17</v>
      </c>
      <c r="F439">
        <v>13</v>
      </c>
      <c r="CH439">
        <v>43</v>
      </c>
      <c r="CI439" t="s">
        <v>41</v>
      </c>
      <c r="CJ439" s="8">
        <v>43927</v>
      </c>
      <c r="CK439">
        <v>48</v>
      </c>
      <c r="CM439">
        <v>1</v>
      </c>
    </row>
    <row r="440" spans="1:206" ht="19.5">
      <c r="E440" t="s">
        <v>18</v>
      </c>
      <c r="F440" s="9">
        <v>44330</v>
      </c>
      <c r="CH440">
        <v>43</v>
      </c>
      <c r="CI440" t="s">
        <v>41</v>
      </c>
      <c r="CJ440" s="8">
        <v>43928</v>
      </c>
      <c r="CK440">
        <v>60</v>
      </c>
      <c r="CM440">
        <v>3</v>
      </c>
    </row>
    <row r="441" spans="1:206" ht="19.5">
      <c r="E441" t="s">
        <v>19</v>
      </c>
      <c r="F441" s="9">
        <v>44331</v>
      </c>
      <c r="CH441">
        <v>43</v>
      </c>
      <c r="CI441" t="s">
        <v>41</v>
      </c>
      <c r="CJ441" s="8">
        <v>43929</v>
      </c>
      <c r="CK441">
        <v>79</v>
      </c>
      <c r="CM441">
        <v>4</v>
      </c>
    </row>
    <row r="442" spans="1:206" ht="19.5">
      <c r="E442" t="s">
        <v>12</v>
      </c>
      <c r="F442">
        <v>16</v>
      </c>
      <c r="CH442">
        <v>43</v>
      </c>
      <c r="CI442" t="s">
        <v>41</v>
      </c>
      <c r="CJ442" s="8">
        <v>43930</v>
      </c>
      <c r="CK442">
        <v>86</v>
      </c>
      <c r="CM442">
        <v>4</v>
      </c>
    </row>
    <row r="443" spans="1:206" ht="19.5">
      <c r="E443" t="s">
        <v>14</v>
      </c>
      <c r="F443">
        <v>17</v>
      </c>
      <c r="CH443">
        <v>43</v>
      </c>
      <c r="CI443" t="s">
        <v>41</v>
      </c>
      <c r="CJ443" s="8">
        <v>43931</v>
      </c>
      <c r="CK443">
        <v>92</v>
      </c>
      <c r="CM443">
        <v>4</v>
      </c>
    </row>
    <row r="444" spans="1:206" ht="19.5">
      <c r="E444" t="s">
        <v>15</v>
      </c>
      <c r="F444">
        <v>18</v>
      </c>
      <c r="CH444">
        <v>43</v>
      </c>
      <c r="CI444" t="s">
        <v>41</v>
      </c>
      <c r="CJ444" s="8">
        <v>43932</v>
      </c>
      <c r="CK444">
        <v>102</v>
      </c>
      <c r="CM444">
        <v>6</v>
      </c>
    </row>
    <row r="445" spans="1:206" ht="19.5">
      <c r="E445" t="s">
        <v>16</v>
      </c>
      <c r="F445">
        <v>19</v>
      </c>
      <c r="CH445">
        <v>43</v>
      </c>
      <c r="CI445" t="s">
        <v>41</v>
      </c>
      <c r="CJ445" s="8">
        <v>43933</v>
      </c>
      <c r="CK445">
        <v>111</v>
      </c>
      <c r="CM445">
        <v>9</v>
      </c>
    </row>
    <row r="446" spans="1:206" ht="19.5">
      <c r="E446" t="s">
        <v>17</v>
      </c>
      <c r="F446">
        <v>20</v>
      </c>
      <c r="CH446">
        <v>43</v>
      </c>
      <c r="CI446" t="s">
        <v>41</v>
      </c>
      <c r="CJ446" s="8">
        <v>43934</v>
      </c>
      <c r="CK446">
        <v>137</v>
      </c>
      <c r="CM446">
        <v>11</v>
      </c>
    </row>
    <row r="447" spans="1:206" ht="19.5">
      <c r="E447" t="s">
        <v>18</v>
      </c>
      <c r="F447">
        <v>21</v>
      </c>
      <c r="CH447">
        <v>43</v>
      </c>
      <c r="CI447" t="s">
        <v>41</v>
      </c>
      <c r="CJ447" s="8">
        <v>43935</v>
      </c>
      <c r="CK447">
        <v>145</v>
      </c>
      <c r="CM447">
        <v>12</v>
      </c>
    </row>
    <row r="448" spans="1:206" ht="19.5">
      <c r="E448" t="s">
        <v>19</v>
      </c>
      <c r="F448">
        <v>22</v>
      </c>
      <c r="CH448">
        <v>43</v>
      </c>
      <c r="CI448" t="s">
        <v>41</v>
      </c>
      <c r="CJ448" s="8">
        <v>43936</v>
      </c>
      <c r="CK448">
        <v>152</v>
      </c>
      <c r="CM448">
        <v>16</v>
      </c>
    </row>
    <row r="449" spans="1:206" ht="19.5">
      <c r="E449" t="s">
        <v>12</v>
      </c>
      <c r="F449">
        <v>23</v>
      </c>
      <c r="CH449">
        <v>43</v>
      </c>
      <c r="CI449" t="s">
        <v>41</v>
      </c>
      <c r="CJ449" s="8">
        <v>43937</v>
      </c>
      <c r="CK449">
        <v>188</v>
      </c>
      <c r="CL449">
        <v>376</v>
      </c>
      <c r="CM449">
        <v>19</v>
      </c>
    </row>
    <row r="450" spans="1:206" ht="19.5">
      <c r="E450" t="s">
        <v>14</v>
      </c>
      <c r="F450">
        <v>24</v>
      </c>
      <c r="CH450">
        <v>43</v>
      </c>
      <c r="CI450" t="s">
        <v>41</v>
      </c>
      <c r="CJ450" s="8">
        <v>43938</v>
      </c>
      <c r="CK450">
        <v>205</v>
      </c>
      <c r="CL450">
        <v>410</v>
      </c>
      <c r="CM450">
        <v>21</v>
      </c>
    </row>
    <row r="451" spans="1:206" ht="19.5">
      <c r="E451" t="s">
        <v>15</v>
      </c>
      <c r="F451">
        <v>25</v>
      </c>
      <c r="CH451">
        <v>43</v>
      </c>
      <c r="CI451" t="s">
        <v>41</v>
      </c>
      <c r="CJ451" s="8">
        <v>43939</v>
      </c>
      <c r="CK451">
        <v>222</v>
      </c>
      <c r="CL451">
        <v>444</v>
      </c>
      <c r="CM451">
        <v>25</v>
      </c>
    </row>
    <row r="452" spans="1:206" ht="19.5">
      <c r="E452" t="s">
        <v>16</v>
      </c>
      <c r="F452">
        <v>26</v>
      </c>
      <c r="CH452">
        <v>43</v>
      </c>
      <c r="CI452" t="s">
        <v>41</v>
      </c>
      <c r="CJ452" s="8">
        <v>43940</v>
      </c>
      <c r="CK452">
        <v>233</v>
      </c>
      <c r="CL452">
        <v>466</v>
      </c>
      <c r="CM452">
        <v>26</v>
      </c>
    </row>
    <row r="453" spans="1:206" ht="19.5">
      <c r="E453" t="s">
        <v>17</v>
      </c>
      <c r="F453">
        <v>27</v>
      </c>
      <c r="CH453">
        <v>43</v>
      </c>
      <c r="CI453" t="s">
        <v>41</v>
      </c>
      <c r="CJ453" s="8">
        <v>43941</v>
      </c>
      <c r="CK453">
        <v>260</v>
      </c>
      <c r="CL453">
        <v>520</v>
      </c>
      <c r="CM453">
        <v>31</v>
      </c>
    </row>
    <row r="454" spans="1:206" ht="19.5">
      <c r="E454" t="s">
        <v>18</v>
      </c>
      <c r="F454">
        <v>28</v>
      </c>
      <c r="CH454">
        <v>43</v>
      </c>
      <c r="CI454" t="s">
        <v>41</v>
      </c>
      <c r="CJ454" s="8">
        <v>43942</v>
      </c>
      <c r="CK454">
        <v>274</v>
      </c>
      <c r="CL454">
        <v>548</v>
      </c>
      <c r="CM454">
        <v>33</v>
      </c>
    </row>
    <row r="455" spans="1:206" ht="19.5">
      <c r="E455" t="s">
        <v>19</v>
      </c>
      <c r="F455">
        <v>29</v>
      </c>
      <c r="CH455">
        <v>43</v>
      </c>
      <c r="CI455" t="s">
        <v>41</v>
      </c>
      <c r="CJ455" s="8">
        <v>43943</v>
      </c>
      <c r="CK455">
        <v>285</v>
      </c>
      <c r="CL455">
        <v>570</v>
      </c>
      <c r="CM455">
        <v>37</v>
      </c>
    </row>
    <row r="456" spans="1:206" ht="19.5">
      <c r="E456" t="s">
        <v>12</v>
      </c>
      <c r="F456" s="9">
        <v>44346</v>
      </c>
      <c r="CH456">
        <v>43</v>
      </c>
      <c r="CI456" t="s">
        <v>41</v>
      </c>
      <c r="CJ456" s="8">
        <v>43944</v>
      </c>
      <c r="CK456">
        <v>301</v>
      </c>
      <c r="CL456">
        <v>602</v>
      </c>
      <c r="CM456">
        <v>40</v>
      </c>
    </row>
    <row r="457" spans="1:206" ht="19.5">
      <c r="E457" t="s">
        <v>14</v>
      </c>
      <c r="F457" s="9">
        <v>44347</v>
      </c>
      <c r="CH457">
        <v>43</v>
      </c>
      <c r="CI457" t="s">
        <v>41</v>
      </c>
      <c r="CJ457" s="8">
        <v>43945</v>
      </c>
      <c r="CK457">
        <v>337</v>
      </c>
      <c r="CL457">
        <v>674</v>
      </c>
      <c r="CM457">
        <v>45</v>
      </c>
    </row>
    <row r="458" spans="1:206" ht="19.5">
      <c r="E458" t="s">
        <v>15</v>
      </c>
      <c r="F458" s="9">
        <v>44348</v>
      </c>
      <c r="CH458">
        <v>43</v>
      </c>
      <c r="CI458" t="s">
        <v>41</v>
      </c>
      <c r="CJ458" s="8">
        <v>43946</v>
      </c>
      <c r="CK458">
        <v>363</v>
      </c>
      <c r="CL458">
        <v>726</v>
      </c>
      <c r="CM458">
        <v>48</v>
      </c>
    </row>
    <row r="459" spans="1:206" ht="19.5">
      <c r="E459" t="s">
        <v>16</v>
      </c>
      <c r="F459">
        <v>2</v>
      </c>
      <c r="CH459">
        <v>43</v>
      </c>
      <c r="CI459" t="s">
        <v>41</v>
      </c>
      <c r="CJ459" s="8">
        <v>43947</v>
      </c>
      <c r="CK459">
        <v>392</v>
      </c>
      <c r="CL459">
        <v>784</v>
      </c>
      <c r="CM459">
        <v>49</v>
      </c>
    </row>
    <row r="460" spans="1:206" ht="19.5">
      <c r="E460" t="s">
        <v>17</v>
      </c>
      <c r="F460">
        <v>3</v>
      </c>
      <c r="CH460">
        <v>43</v>
      </c>
      <c r="CI460" t="s">
        <v>41</v>
      </c>
      <c r="CJ460" s="8">
        <v>43948</v>
      </c>
      <c r="CK460">
        <v>417</v>
      </c>
      <c r="CL460">
        <v>834</v>
      </c>
      <c r="CM460">
        <v>52</v>
      </c>
    </row>
    <row r="461" spans="1:206" ht="19.5">
      <c r="E461" t="s">
        <v>18</v>
      </c>
      <c r="F461">
        <v>4</v>
      </c>
      <c r="CH461">
        <v>43</v>
      </c>
      <c r="CI461" t="s">
        <v>41</v>
      </c>
      <c r="CJ461" s="8">
        <v>43949</v>
      </c>
      <c r="CK461">
        <v>423</v>
      </c>
      <c r="CL461">
        <v>846</v>
      </c>
      <c r="CM461">
        <v>53</v>
      </c>
    </row>
    <row r="462" spans="1:206" ht="19.5">
      <c r="E462" t="s">
        <v>19</v>
      </c>
      <c r="F462">
        <v>5</v>
      </c>
      <c r="CH462">
        <v>43</v>
      </c>
      <c r="CI462" t="s">
        <v>41</v>
      </c>
      <c r="CJ462" s="8">
        <v>43950</v>
      </c>
      <c r="CK462">
        <v>440</v>
      </c>
      <c r="CL462">
        <v>880</v>
      </c>
      <c r="CM462">
        <v>54</v>
      </c>
    </row>
    <row r="463" spans="1:206" ht="19.5">
      <c r="E463" t="s">
        <v>12</v>
      </c>
      <c r="F463" s="9">
        <v>44353</v>
      </c>
      <c r="CH463">
        <v>43</v>
      </c>
      <c r="CI463" t="s">
        <v>41</v>
      </c>
      <c r="CJ463" s="8">
        <v>43951</v>
      </c>
      <c r="CK463">
        <v>458</v>
      </c>
      <c r="CL463">
        <v>916</v>
      </c>
      <c r="CM463">
        <v>57</v>
      </c>
    </row>
    <row r="464" spans="1:206" ht="19.5">
      <c r="E464" t="s">
        <v>14</v>
      </c>
      <c r="F464" s="9">
        <v>44354</v>
      </c>
      <c r="CH464">
        <v>45</v>
      </c>
      <c r="CI464" t="s">
        <v>42</v>
      </c>
      <c r="CJ464" s="8">
        <v>43914</v>
      </c>
      <c r="CK464">
        <v>1</v>
      </c>
      <c r="CM464">
        <v>0</v>
      </c>
    </row>
    <row r="465" spans="1:206" ht="19.5">
      <c r="E465" t="s">
        <v>15</v>
      </c>
      <c r="F465">
        <v>8</v>
      </c>
      <c r="CH465">
        <v>45</v>
      </c>
      <c r="CI465" t="s">
        <v>42</v>
      </c>
      <c r="CJ465" s="8">
        <v>43915</v>
      </c>
      <c r="CK465">
        <v>1</v>
      </c>
      <c r="CM465">
        <v>0</v>
      </c>
    </row>
    <row r="466" spans="1:206" ht="19.5">
      <c r="E466" t="s">
        <v>16</v>
      </c>
      <c r="F466">
        <v>9</v>
      </c>
      <c r="CH466">
        <v>45</v>
      </c>
      <c r="CI466" t="s">
        <v>42</v>
      </c>
      <c r="CJ466" s="8">
        <v>43916</v>
      </c>
      <c r="CK466">
        <v>2</v>
      </c>
      <c r="CM466">
        <v>0</v>
      </c>
    </row>
    <row r="467" spans="1:206" ht="19.5">
      <c r="E467" t="s">
        <v>17</v>
      </c>
      <c r="F467">
        <v>10</v>
      </c>
      <c r="CH467">
        <v>45</v>
      </c>
      <c r="CI467" t="s">
        <v>42</v>
      </c>
      <c r="CJ467" s="8">
        <v>43917</v>
      </c>
      <c r="CK467">
        <v>2</v>
      </c>
      <c r="CM467">
        <v>0</v>
      </c>
    </row>
    <row r="468" spans="1:206" ht="19.5">
      <c r="E468" t="s">
        <v>18</v>
      </c>
      <c r="F468">
        <v>11</v>
      </c>
      <c r="CH468">
        <v>45</v>
      </c>
      <c r="CI468" t="s">
        <v>42</v>
      </c>
      <c r="CJ468" s="8">
        <v>43918</v>
      </c>
      <c r="CK468">
        <v>2</v>
      </c>
      <c r="CM468">
        <v>0</v>
      </c>
    </row>
    <row r="469" spans="1:206" ht="19.5">
      <c r="E469" t="s">
        <v>19</v>
      </c>
      <c r="F469">
        <v>12</v>
      </c>
      <c r="CH469">
        <v>45</v>
      </c>
      <c r="CI469" t="s">
        <v>42</v>
      </c>
      <c r="CJ469" s="8">
        <v>43919</v>
      </c>
      <c r="CK469">
        <v>2</v>
      </c>
      <c r="CM469">
        <v>0</v>
      </c>
    </row>
    <row r="470" spans="1:206" ht="19.5">
      <c r="E470" t="s">
        <v>12</v>
      </c>
      <c r="F470">
        <v>13</v>
      </c>
      <c r="CH470">
        <v>45</v>
      </c>
      <c r="CI470" t="s">
        <v>42</v>
      </c>
      <c r="CJ470" s="8">
        <v>43920</v>
      </c>
      <c r="CK470">
        <v>2</v>
      </c>
      <c r="CM470">
        <v>0</v>
      </c>
    </row>
    <row r="471" spans="1:206" ht="19.5">
      <c r="E471" t="s">
        <v>14</v>
      </c>
      <c r="F471">
        <v>14</v>
      </c>
      <c r="CH471">
        <v>45</v>
      </c>
      <c r="CI471" t="s">
        <v>42</v>
      </c>
      <c r="CJ471" s="8">
        <v>43921</v>
      </c>
      <c r="CK471">
        <v>2</v>
      </c>
      <c r="CM471">
        <v>0</v>
      </c>
    </row>
    <row r="472" spans="1:206" ht="19.5">
      <c r="E472" t="s">
        <v>15</v>
      </c>
      <c r="F472" s="9">
        <v>44362</v>
      </c>
      <c r="CH472">
        <v>45</v>
      </c>
      <c r="CI472" t="s">
        <v>42</v>
      </c>
      <c r="CJ472" s="8">
        <v>43922</v>
      </c>
      <c r="CK472">
        <v>2</v>
      </c>
      <c r="CM472">
        <v>0</v>
      </c>
    </row>
    <row r="473" spans="1:206" ht="19.5">
      <c r="E473" t="s">
        <v>16</v>
      </c>
      <c r="F473">
        <v>16</v>
      </c>
      <c r="CH473">
        <v>45</v>
      </c>
      <c r="CI473" t="s">
        <v>42</v>
      </c>
      <c r="CJ473" s="8">
        <v>43923</v>
      </c>
      <c r="CK473">
        <v>2</v>
      </c>
      <c r="CM473">
        <v>0</v>
      </c>
    </row>
    <row r="474" spans="1:206" ht="19.5">
      <c r="E474" t="s">
        <v>17</v>
      </c>
      <c r="F474">
        <v>17</v>
      </c>
      <c r="CH474">
        <v>45</v>
      </c>
      <c r="CI474" t="s">
        <v>42</v>
      </c>
      <c r="CJ474" s="8">
        <v>43924</v>
      </c>
      <c r="CK474">
        <v>3</v>
      </c>
      <c r="CM474">
        <v>0</v>
      </c>
    </row>
    <row r="475" spans="1:206" ht="19.5">
      <c r="E475" t="s">
        <v>18</v>
      </c>
      <c r="F475">
        <v>18</v>
      </c>
      <c r="CH475">
        <v>45</v>
      </c>
      <c r="CI475" t="s">
        <v>42</v>
      </c>
      <c r="CJ475" s="8">
        <v>43925</v>
      </c>
      <c r="CK475">
        <v>3</v>
      </c>
      <c r="CM475">
        <v>0</v>
      </c>
    </row>
    <row r="476" spans="1:206" ht="19.5">
      <c r="E476" t="s">
        <v>19</v>
      </c>
      <c r="F476">
        <v>19</v>
      </c>
      <c r="CH476">
        <v>45</v>
      </c>
      <c r="CI476" t="s">
        <v>42</v>
      </c>
      <c r="CJ476" s="8">
        <v>43926</v>
      </c>
      <c r="CK476">
        <v>3</v>
      </c>
      <c r="CM476">
        <v>0</v>
      </c>
    </row>
    <row r="477" spans="1:206" ht="19.5">
      <c r="E477" t="s">
        <v>12</v>
      </c>
      <c r="F477">
        <v>20</v>
      </c>
      <c r="CH477">
        <v>45</v>
      </c>
      <c r="CI477" t="s">
        <v>42</v>
      </c>
      <c r="CJ477" s="8">
        <v>43927</v>
      </c>
      <c r="CK477">
        <v>3</v>
      </c>
      <c r="CM477">
        <v>0</v>
      </c>
    </row>
    <row r="478" spans="1:206" ht="19.5">
      <c r="E478" t="s">
        <v>14</v>
      </c>
      <c r="F478">
        <v>21</v>
      </c>
      <c r="CH478">
        <v>45</v>
      </c>
      <c r="CI478" t="s">
        <v>42</v>
      </c>
      <c r="CJ478" s="8">
        <v>43928</v>
      </c>
      <c r="CK478">
        <v>5</v>
      </c>
      <c r="CM478">
        <v>0</v>
      </c>
    </row>
    <row r="479" spans="1:206" ht="19.5">
      <c r="E479" t="s">
        <v>15</v>
      </c>
      <c r="F479">
        <v>22</v>
      </c>
      <c r="CH479">
        <v>45</v>
      </c>
      <c r="CI479" t="s">
        <v>42</v>
      </c>
      <c r="CJ479" s="8">
        <v>43929</v>
      </c>
      <c r="CK479">
        <v>6</v>
      </c>
      <c r="CM479">
        <v>0</v>
      </c>
    </row>
    <row r="480" spans="1:206" ht="19.5">
      <c r="E480" t="s">
        <v>16</v>
      </c>
      <c r="F480">
        <v>23</v>
      </c>
      <c r="CH480">
        <v>45</v>
      </c>
      <c r="CI480" t="s">
        <v>42</v>
      </c>
      <c r="CJ480" s="8">
        <v>43930</v>
      </c>
      <c r="CK480">
        <v>8</v>
      </c>
      <c r="CM480">
        <v>0</v>
      </c>
    </row>
    <row r="481" spans="1:206" ht="19.5">
      <c r="E481" t="s">
        <v>17</v>
      </c>
      <c r="F481">
        <v>24</v>
      </c>
      <c r="CH481">
        <v>45</v>
      </c>
      <c r="CI481" t="s">
        <v>42</v>
      </c>
      <c r="CJ481" s="8">
        <v>43931</v>
      </c>
      <c r="CK481">
        <v>9</v>
      </c>
      <c r="CM481">
        <v>0</v>
      </c>
    </row>
    <row r="482" spans="1:206" ht="19.5">
      <c r="E482" t="s">
        <v>18</v>
      </c>
      <c r="F482">
        <v>25</v>
      </c>
      <c r="CH482">
        <v>45</v>
      </c>
      <c r="CI482" t="s">
        <v>42</v>
      </c>
      <c r="CJ482" s="8">
        <v>43932</v>
      </c>
      <c r="CK482">
        <v>10</v>
      </c>
      <c r="CM482">
        <v>0</v>
      </c>
    </row>
    <row r="483" spans="1:206" ht="19.5">
      <c r="E483" t="s">
        <v>19</v>
      </c>
      <c r="F483">
        <v>26</v>
      </c>
      <c r="CH483">
        <v>45</v>
      </c>
      <c r="CI483" t="s">
        <v>42</v>
      </c>
      <c r="CJ483" s="8">
        <v>43933</v>
      </c>
      <c r="CK483">
        <v>12</v>
      </c>
      <c r="CM483">
        <v>0</v>
      </c>
    </row>
    <row r="484" spans="1:206" ht="19.5">
      <c r="E484" t="s">
        <v>12</v>
      </c>
      <c r="F484">
        <v>27</v>
      </c>
      <c r="CH484">
        <v>45</v>
      </c>
      <c r="CI484" t="s">
        <v>42</v>
      </c>
      <c r="CJ484" s="8">
        <v>43934</v>
      </c>
      <c r="CK484">
        <v>14</v>
      </c>
      <c r="CM484">
        <v>0</v>
      </c>
    </row>
    <row r="485" spans="1:206" ht="19.5">
      <c r="E485" t="s">
        <v>14</v>
      </c>
      <c r="F485">
        <v>28</v>
      </c>
      <c r="CH485">
        <v>45</v>
      </c>
      <c r="CI485" t="s">
        <v>42</v>
      </c>
      <c r="CJ485" s="8">
        <v>43935</v>
      </c>
      <c r="CK485">
        <v>14</v>
      </c>
      <c r="CM485">
        <v>0</v>
      </c>
    </row>
    <row r="486" spans="1:206" ht="19.5">
      <c r="E486" t="s">
        <v>15</v>
      </c>
      <c r="F486">
        <v>29</v>
      </c>
      <c r="CH486">
        <v>45</v>
      </c>
      <c r="CI486" t="s">
        <v>42</v>
      </c>
      <c r="CJ486" s="8">
        <v>43936</v>
      </c>
      <c r="CK486">
        <v>13</v>
      </c>
      <c r="CM486">
        <v>0</v>
      </c>
    </row>
    <row r="487" spans="1:206" ht="19.5">
      <c r="E487" t="s">
        <v>16</v>
      </c>
      <c r="F487" s="9">
        <v>44377</v>
      </c>
      <c r="CH487">
        <v>45</v>
      </c>
      <c r="CI487" t="s">
        <v>42</v>
      </c>
      <c r="CJ487" s="8">
        <v>43937</v>
      </c>
      <c r="CK487">
        <v>15</v>
      </c>
      <c r="CL487">
        <v>80</v>
      </c>
      <c r="CM487">
        <v>0</v>
      </c>
    </row>
    <row r="488" spans="1:206" ht="19.5">
      <c r="E488" t="s">
        <v>17</v>
      </c>
      <c r="F488" s="9">
        <v>44378</v>
      </c>
      <c r="CH488">
        <v>45</v>
      </c>
      <c r="CI488" t="s">
        <v>42</v>
      </c>
      <c r="CJ488" s="8">
        <v>43938</v>
      </c>
      <c r="CK488">
        <v>17</v>
      </c>
      <c r="CL488">
        <v>91</v>
      </c>
      <c r="CM488">
        <v>0</v>
      </c>
    </row>
    <row r="489" spans="1:206" ht="19.5">
      <c r="E489" t="s">
        <v>18</v>
      </c>
      <c r="F489">
        <v>2</v>
      </c>
      <c r="CH489">
        <v>45</v>
      </c>
      <c r="CI489" t="s">
        <v>42</v>
      </c>
      <c r="CJ489" s="8">
        <v>43939</v>
      </c>
      <c r="CK489">
        <v>18</v>
      </c>
      <c r="CL489">
        <v>97</v>
      </c>
      <c r="CM489">
        <v>0</v>
      </c>
    </row>
    <row r="490" spans="1:206" ht="19.5">
      <c r="E490" t="s">
        <v>19</v>
      </c>
      <c r="F490">
        <v>3</v>
      </c>
      <c r="CH490">
        <v>45</v>
      </c>
      <c r="CI490" t="s">
        <v>42</v>
      </c>
      <c r="CJ490" s="8">
        <v>43940</v>
      </c>
      <c r="CK490">
        <v>21</v>
      </c>
      <c r="CL490">
        <v>113</v>
      </c>
      <c r="CM490">
        <v>0</v>
      </c>
    </row>
    <row r="491" spans="1:206" ht="19.5">
      <c r="E491" t="s">
        <v>12</v>
      </c>
      <c r="F491">
        <v>4</v>
      </c>
      <c r="CH491">
        <v>45</v>
      </c>
      <c r="CI491" t="s">
        <v>42</v>
      </c>
      <c r="CJ491" s="8">
        <v>43941</v>
      </c>
      <c r="CK491">
        <v>24</v>
      </c>
      <c r="CL491">
        <v>129</v>
      </c>
      <c r="CM491">
        <v>0</v>
      </c>
    </row>
    <row r="492" spans="1:206" ht="19.5">
      <c r="E492" t="s">
        <v>14</v>
      </c>
      <c r="F492">
        <v>5</v>
      </c>
      <c r="CH492">
        <v>45</v>
      </c>
      <c r="CI492" t="s">
        <v>42</v>
      </c>
      <c r="CJ492" s="8">
        <v>43942</v>
      </c>
      <c r="CK492">
        <v>24</v>
      </c>
      <c r="CL492">
        <v>129</v>
      </c>
      <c r="CM492">
        <v>0</v>
      </c>
    </row>
    <row r="493" spans="1:206" ht="19.5">
      <c r="E493" t="s">
        <v>15</v>
      </c>
      <c r="F493">
        <v>6</v>
      </c>
      <c r="CH493">
        <v>45</v>
      </c>
      <c r="CI493" t="s">
        <v>42</v>
      </c>
      <c r="CJ493" s="8">
        <v>43943</v>
      </c>
      <c r="CK493">
        <v>35</v>
      </c>
      <c r="CL493">
        <v>188</v>
      </c>
      <c r="CM493">
        <v>0</v>
      </c>
    </row>
    <row r="494" spans="1:206" ht="19.5">
      <c r="E494" t="s">
        <v>16</v>
      </c>
      <c r="F494">
        <v>7</v>
      </c>
      <c r="CH494">
        <v>45</v>
      </c>
      <c r="CI494" t="s">
        <v>42</v>
      </c>
      <c r="CJ494" s="8">
        <v>43944</v>
      </c>
      <c r="CK494">
        <v>37</v>
      </c>
      <c r="CL494">
        <v>198</v>
      </c>
      <c r="CM494">
        <v>0</v>
      </c>
    </row>
    <row r="495" spans="1:206" ht="19.5">
      <c r="E495" t="s">
        <v>17</v>
      </c>
      <c r="F495">
        <v>8</v>
      </c>
      <c r="CH495">
        <v>45</v>
      </c>
      <c r="CI495" t="s">
        <v>42</v>
      </c>
      <c r="CJ495" s="8">
        <v>43945</v>
      </c>
      <c r="CK495">
        <v>43</v>
      </c>
      <c r="CL495">
        <v>231</v>
      </c>
      <c r="CM495">
        <v>1</v>
      </c>
    </row>
    <row r="496" spans="1:206" ht="19.5">
      <c r="E496" t="s">
        <v>18</v>
      </c>
      <c r="F496">
        <v>9</v>
      </c>
      <c r="CH496">
        <v>45</v>
      </c>
      <c r="CI496" t="s">
        <v>42</v>
      </c>
      <c r="CJ496" s="8">
        <v>43946</v>
      </c>
      <c r="CK496">
        <v>46</v>
      </c>
      <c r="CL496">
        <v>247</v>
      </c>
      <c r="CM496">
        <v>1</v>
      </c>
    </row>
    <row r="497" spans="1:206" ht="19.5">
      <c r="E497" t="s">
        <v>19</v>
      </c>
      <c r="F497">
        <v>10</v>
      </c>
      <c r="CH497">
        <v>45</v>
      </c>
      <c r="CI497" t="s">
        <v>42</v>
      </c>
      <c r="CJ497" s="8">
        <v>43947</v>
      </c>
      <c r="CK497">
        <v>51</v>
      </c>
      <c r="CL497">
        <v>274</v>
      </c>
      <c r="CM497">
        <v>1</v>
      </c>
    </row>
    <row r="498" spans="1:206" ht="19.5">
      <c r="E498" t="s">
        <v>12</v>
      </c>
      <c r="F498">
        <v>11</v>
      </c>
      <c r="CH498">
        <v>45</v>
      </c>
      <c r="CI498" t="s">
        <v>42</v>
      </c>
      <c r="CJ498" s="8">
        <v>43948</v>
      </c>
      <c r="CK498">
        <v>54</v>
      </c>
      <c r="CL498">
        <v>290</v>
      </c>
      <c r="CM498">
        <v>2</v>
      </c>
    </row>
    <row r="499" spans="1:206" ht="19.5">
      <c r="E499" t="s">
        <v>14</v>
      </c>
      <c r="F499">
        <v>12</v>
      </c>
      <c r="CH499">
        <v>45</v>
      </c>
      <c r="CI499" t="s">
        <v>42</v>
      </c>
      <c r="CJ499" s="8">
        <v>43949</v>
      </c>
      <c r="CK499">
        <v>56</v>
      </c>
      <c r="CL499">
        <v>300</v>
      </c>
      <c r="CM499">
        <v>3</v>
      </c>
    </row>
    <row r="500" spans="1:206" ht="19.5">
      <c r="E500" t="s">
        <v>15</v>
      </c>
      <c r="F500">
        <v>13</v>
      </c>
      <c r="CH500">
        <v>45</v>
      </c>
      <c r="CI500" t="s">
        <v>42</v>
      </c>
      <c r="CJ500" s="8">
        <v>43950</v>
      </c>
      <c r="CK500">
        <v>62</v>
      </c>
      <c r="CL500">
        <v>333</v>
      </c>
      <c r="CM500">
        <v>4</v>
      </c>
    </row>
    <row r="501" spans="1:206" ht="19.5">
      <c r="E501" t="s">
        <v>16</v>
      </c>
      <c r="F501">
        <v>14</v>
      </c>
      <c r="CH501">
        <v>45</v>
      </c>
      <c r="CI501" t="s">
        <v>42</v>
      </c>
      <c r="CJ501" s="8">
        <v>43951</v>
      </c>
      <c r="CK501">
        <v>69</v>
      </c>
      <c r="CL501">
        <v>370</v>
      </c>
      <c r="CM501">
        <v>4</v>
      </c>
    </row>
    <row r="502" spans="1:206" ht="19.5">
      <c r="E502" t="s">
        <v>17</v>
      </c>
      <c r="F502">
        <v>15</v>
      </c>
      <c r="CH502">
        <v>47</v>
      </c>
      <c r="CI502" t="s">
        <v>43</v>
      </c>
      <c r="CJ502" s="8">
        <v>43914</v>
      </c>
      <c r="CK502">
        <v>0</v>
      </c>
      <c r="CM502">
        <v>0</v>
      </c>
    </row>
    <row r="503" spans="1:206" ht="19.5">
      <c r="E503" t="s">
        <v>18</v>
      </c>
      <c r="F503">
        <v>16</v>
      </c>
      <c r="CH503">
        <v>47</v>
      </c>
      <c r="CI503" t="s">
        <v>43</v>
      </c>
      <c r="CJ503" s="8">
        <v>43915</v>
      </c>
      <c r="CK503">
        <v>0</v>
      </c>
      <c r="CM503">
        <v>0</v>
      </c>
    </row>
    <row r="504" spans="1:206" ht="19.5">
      <c r="E504" t="s">
        <v>19</v>
      </c>
      <c r="F504">
        <v>17</v>
      </c>
      <c r="CH504">
        <v>47</v>
      </c>
      <c r="CI504" t="s">
        <v>43</v>
      </c>
      <c r="CJ504" s="8">
        <v>43916</v>
      </c>
      <c r="CK504">
        <v>0</v>
      </c>
      <c r="CM504">
        <v>0</v>
      </c>
    </row>
    <row r="505" spans="1:206" ht="19.5">
      <c r="E505" t="s">
        <v>12</v>
      </c>
      <c r="F505">
        <v>18</v>
      </c>
      <c r="CH505">
        <v>47</v>
      </c>
      <c r="CI505" t="s">
        <v>43</v>
      </c>
      <c r="CJ505" s="8">
        <v>43917</v>
      </c>
      <c r="CK505">
        <v>0</v>
      </c>
      <c r="CM505">
        <v>0</v>
      </c>
    </row>
    <row r="506" spans="1:206" ht="19.5">
      <c r="E506" t="s">
        <v>14</v>
      </c>
      <c r="F506">
        <v>19</v>
      </c>
      <c r="CH506">
        <v>47</v>
      </c>
      <c r="CI506" t="s">
        <v>43</v>
      </c>
      <c r="CJ506" s="8">
        <v>43918</v>
      </c>
      <c r="CK506">
        <v>0</v>
      </c>
      <c r="CM506">
        <v>0</v>
      </c>
    </row>
    <row r="507" spans="1:206" ht="19.5">
      <c r="E507" t="s">
        <v>15</v>
      </c>
      <c r="F507">
        <v>20</v>
      </c>
      <c r="CH507">
        <v>47</v>
      </c>
      <c r="CI507" t="s">
        <v>43</v>
      </c>
      <c r="CJ507" s="8">
        <v>43919</v>
      </c>
      <c r="CK507">
        <v>0</v>
      </c>
      <c r="CM507">
        <v>0</v>
      </c>
    </row>
    <row r="508" spans="1:206" ht="19.5">
      <c r="E508" t="s">
        <v>16</v>
      </c>
      <c r="F508">
        <v>21</v>
      </c>
      <c r="CH508">
        <v>47</v>
      </c>
      <c r="CI508" t="s">
        <v>43</v>
      </c>
      <c r="CJ508" s="8">
        <v>43920</v>
      </c>
      <c r="CK508">
        <v>0</v>
      </c>
      <c r="CM508">
        <v>0</v>
      </c>
    </row>
    <row r="509" spans="1:206" ht="19.5">
      <c r="E509" t="s">
        <v>17</v>
      </c>
      <c r="F509">
        <v>22</v>
      </c>
      <c r="CH509">
        <v>47</v>
      </c>
      <c r="CI509" t="s">
        <v>43</v>
      </c>
      <c r="CJ509" s="8">
        <v>43921</v>
      </c>
      <c r="CK509">
        <v>2</v>
      </c>
      <c r="CM509">
        <v>0</v>
      </c>
    </row>
    <row r="510" spans="1:206" ht="19.5">
      <c r="E510" t="s">
        <v>18</v>
      </c>
      <c r="F510">
        <v>23</v>
      </c>
      <c r="CH510">
        <v>47</v>
      </c>
      <c r="CI510" t="s">
        <v>43</v>
      </c>
      <c r="CJ510" s="8">
        <v>43922</v>
      </c>
      <c r="CK510">
        <v>2</v>
      </c>
      <c r="CM510">
        <v>0</v>
      </c>
    </row>
    <row r="511" spans="1:206" ht="19.5">
      <c r="F511">
        <v>24</v>
      </c>
      <c r="CH511">
        <v>47</v>
      </c>
      <c r="CI511" t="s">
        <v>43</v>
      </c>
      <c r="CJ511" s="8">
        <v>43923</v>
      </c>
      <c r="CK511">
        <v>2</v>
      </c>
      <c r="CM511">
        <v>0</v>
      </c>
    </row>
    <row r="512" spans="1:206" ht="19.5">
      <c r="F512">
        <v>25</v>
      </c>
      <c r="CH512">
        <v>47</v>
      </c>
      <c r="CI512" t="s">
        <v>43</v>
      </c>
      <c r="CJ512" s="8">
        <v>43924</v>
      </c>
      <c r="CK512">
        <v>3</v>
      </c>
      <c r="CM512">
        <v>0</v>
      </c>
    </row>
    <row r="513" spans="1:206" ht="19.5">
      <c r="F513">
        <v>26</v>
      </c>
      <c r="CH513">
        <v>47</v>
      </c>
      <c r="CI513" t="s">
        <v>43</v>
      </c>
      <c r="CJ513" s="8">
        <v>43925</v>
      </c>
      <c r="CK513">
        <v>4</v>
      </c>
      <c r="CM513">
        <v>0</v>
      </c>
    </row>
    <row r="514" spans="1:206" ht="19.5">
      <c r="F514">
        <v>27</v>
      </c>
      <c r="CH514">
        <v>47</v>
      </c>
      <c r="CI514" t="s">
        <v>43</v>
      </c>
      <c r="CJ514" s="8">
        <v>43926</v>
      </c>
      <c r="CK514">
        <v>4</v>
      </c>
      <c r="CM514">
        <v>0</v>
      </c>
    </row>
    <row r="515" spans="1:206" ht="19.5">
      <c r="F515">
        <v>28</v>
      </c>
      <c r="CH515">
        <v>47</v>
      </c>
      <c r="CI515" t="s">
        <v>43</v>
      </c>
      <c r="CJ515" s="8">
        <v>43927</v>
      </c>
      <c r="CK515">
        <v>4</v>
      </c>
      <c r="CM515">
        <v>0</v>
      </c>
    </row>
    <row r="516" spans="1:206" ht="19.5">
      <c r="F516">
        <v>29</v>
      </c>
      <c r="CH516">
        <v>47</v>
      </c>
      <c r="CI516" t="s">
        <v>43</v>
      </c>
      <c r="CJ516" s="8">
        <v>43928</v>
      </c>
      <c r="CK516">
        <v>4</v>
      </c>
      <c r="CM516">
        <v>0</v>
      </c>
    </row>
    <row r="517" spans="1:206" ht="19.5">
      <c r="F517">
        <v>30</v>
      </c>
      <c r="CH517">
        <v>47</v>
      </c>
      <c r="CI517" t="s">
        <v>43</v>
      </c>
      <c r="CJ517" s="8">
        <v>43929</v>
      </c>
      <c r="CK517">
        <v>8</v>
      </c>
      <c r="CM517">
        <v>0</v>
      </c>
    </row>
    <row r="518" spans="1:206" ht="19.5">
      <c r="F518">
        <v>31</v>
      </c>
      <c r="CH518">
        <v>47</v>
      </c>
      <c r="CI518" t="s">
        <v>43</v>
      </c>
      <c r="CJ518" s="8">
        <v>43930</v>
      </c>
      <c r="CK518">
        <v>10</v>
      </c>
      <c r="CM518">
        <v>1</v>
      </c>
    </row>
    <row r="519" spans="1:206" ht="19.5">
      <c r="CH519">
        <v>47</v>
      </c>
      <c r="CI519" t="s">
        <v>43</v>
      </c>
      <c r="CJ519" s="8">
        <v>43931</v>
      </c>
      <c r="CK519">
        <v>11</v>
      </c>
      <c r="CM519">
        <v>2</v>
      </c>
    </row>
    <row r="520" spans="1:206" ht="19.5">
      <c r="CH520">
        <v>47</v>
      </c>
      <c r="CI520" t="s">
        <v>43</v>
      </c>
      <c r="CJ520" s="8">
        <v>43932</v>
      </c>
      <c r="CK520">
        <v>11</v>
      </c>
      <c r="CM520">
        <v>2</v>
      </c>
    </row>
    <row r="521" spans="1:206" ht="19.5">
      <c r="CH521">
        <v>47</v>
      </c>
      <c r="CI521" t="s">
        <v>43</v>
      </c>
      <c r="CJ521" s="8">
        <v>43933</v>
      </c>
      <c r="CK521">
        <v>13</v>
      </c>
      <c r="CM521">
        <v>1</v>
      </c>
    </row>
    <row r="522" spans="1:206" ht="19.5">
      <c r="CH522">
        <v>47</v>
      </c>
      <c r="CI522" t="s">
        <v>43</v>
      </c>
      <c r="CJ522" s="8">
        <v>43934</v>
      </c>
      <c r="CK522">
        <v>18</v>
      </c>
      <c r="CM522">
        <v>1</v>
      </c>
    </row>
    <row r="523" spans="1:206" ht="19.5">
      <c r="CH523">
        <v>47</v>
      </c>
      <c r="CI523" t="s">
        <v>43</v>
      </c>
      <c r="CJ523" s="8">
        <v>43935</v>
      </c>
      <c r="CK523">
        <v>21</v>
      </c>
      <c r="CM523">
        <v>1</v>
      </c>
    </row>
    <row r="524" spans="1:206" ht="19.5">
      <c r="CH524">
        <v>47</v>
      </c>
      <c r="CI524" t="s">
        <v>43</v>
      </c>
      <c r="CJ524" s="8">
        <v>43936</v>
      </c>
      <c r="CK524">
        <v>21</v>
      </c>
      <c r="CM524">
        <v>2</v>
      </c>
    </row>
    <row r="525" spans="1:206" ht="19.5">
      <c r="CH525">
        <v>47</v>
      </c>
      <c r="CI525" t="s">
        <v>43</v>
      </c>
      <c r="CJ525" s="8">
        <v>43937</v>
      </c>
      <c r="CK525">
        <v>20</v>
      </c>
      <c r="CL525">
        <v>176</v>
      </c>
      <c r="CM525">
        <v>2</v>
      </c>
    </row>
    <row r="526" spans="1:206" ht="19.5">
      <c r="CH526">
        <v>47</v>
      </c>
      <c r="CI526" t="s">
        <v>43</v>
      </c>
      <c r="CJ526" s="8">
        <v>43938</v>
      </c>
      <c r="CK526">
        <v>20</v>
      </c>
      <c r="CL526">
        <v>176</v>
      </c>
      <c r="CM526">
        <v>2</v>
      </c>
    </row>
    <row r="527" spans="1:206" ht="19.5">
      <c r="CH527">
        <v>47</v>
      </c>
      <c r="CI527" t="s">
        <v>43</v>
      </c>
      <c r="CJ527" s="8">
        <v>43939</v>
      </c>
      <c r="CK527">
        <v>20</v>
      </c>
      <c r="CL527">
        <v>176</v>
      </c>
      <c r="CM527">
        <v>2</v>
      </c>
    </row>
    <row r="528" spans="1:206" ht="19.5">
      <c r="CH528">
        <v>47</v>
      </c>
      <c r="CI528" t="s">
        <v>43</v>
      </c>
      <c r="CJ528" s="8">
        <v>43940</v>
      </c>
      <c r="CK528">
        <v>21</v>
      </c>
      <c r="CL528">
        <v>185</v>
      </c>
      <c r="CM528">
        <v>2</v>
      </c>
    </row>
    <row r="529" spans="1:206" ht="19.5">
      <c r="CH529">
        <v>47</v>
      </c>
      <c r="CI529" t="s">
        <v>43</v>
      </c>
      <c r="CJ529" s="8">
        <v>43941</v>
      </c>
      <c r="CK529">
        <v>21</v>
      </c>
      <c r="CL529">
        <v>185</v>
      </c>
      <c r="CM529">
        <v>2</v>
      </c>
    </row>
    <row r="530" spans="1:206" ht="19.5">
      <c r="CH530">
        <v>47</v>
      </c>
      <c r="CI530" t="s">
        <v>43</v>
      </c>
      <c r="CJ530" s="8">
        <v>43942</v>
      </c>
      <c r="CK530">
        <v>21</v>
      </c>
      <c r="CL530">
        <v>185</v>
      </c>
      <c r="CM530">
        <v>2</v>
      </c>
    </row>
    <row r="531" spans="1:206" ht="19.5">
      <c r="CH531">
        <v>47</v>
      </c>
      <c r="CI531" t="s">
        <v>43</v>
      </c>
      <c r="CJ531" s="8">
        <v>43943</v>
      </c>
      <c r="CK531">
        <v>22</v>
      </c>
      <c r="CL531">
        <v>193</v>
      </c>
      <c r="CM531">
        <v>1</v>
      </c>
    </row>
    <row r="532" spans="1:206" ht="19.5">
      <c r="CH532">
        <v>47</v>
      </c>
      <c r="CI532" t="s">
        <v>43</v>
      </c>
      <c r="CJ532" s="8">
        <v>43944</v>
      </c>
      <c r="CK532">
        <v>27</v>
      </c>
      <c r="CL532">
        <v>237</v>
      </c>
      <c r="CM532">
        <v>1</v>
      </c>
    </row>
    <row r="533" spans="1:206" ht="19.5">
      <c r="CH533">
        <v>47</v>
      </c>
      <c r="CI533" t="s">
        <v>43</v>
      </c>
      <c r="CJ533" s="8">
        <v>43945</v>
      </c>
      <c r="CK533">
        <v>33</v>
      </c>
      <c r="CL533">
        <v>290</v>
      </c>
      <c r="CM533">
        <v>0</v>
      </c>
    </row>
    <row r="534" spans="1:206" ht="19.5">
      <c r="CH534">
        <v>47</v>
      </c>
      <c r="CI534" t="s">
        <v>43</v>
      </c>
      <c r="CJ534" s="8">
        <v>43946</v>
      </c>
      <c r="CK534">
        <v>35</v>
      </c>
      <c r="CL534">
        <v>308</v>
      </c>
      <c r="CM534">
        <v>1</v>
      </c>
    </row>
    <row r="535" spans="1:206" ht="19.5">
      <c r="CH535">
        <v>47</v>
      </c>
      <c r="CI535" t="s">
        <v>43</v>
      </c>
      <c r="CJ535" s="8">
        <v>43947</v>
      </c>
      <c r="CK535">
        <v>36</v>
      </c>
      <c r="CL535">
        <v>316</v>
      </c>
      <c r="CM535">
        <v>1</v>
      </c>
    </row>
    <row r="536" spans="1:206" ht="19.5">
      <c r="CH536">
        <v>47</v>
      </c>
      <c r="CI536" t="s">
        <v>43</v>
      </c>
      <c r="CJ536" s="8">
        <v>43948</v>
      </c>
      <c r="CK536">
        <v>39</v>
      </c>
      <c r="CL536">
        <v>343</v>
      </c>
      <c r="CM536">
        <v>4</v>
      </c>
    </row>
    <row r="537" spans="1:206" ht="19.5">
      <c r="CH537">
        <v>47</v>
      </c>
      <c r="CI537" t="s">
        <v>43</v>
      </c>
      <c r="CJ537" s="8">
        <v>43949</v>
      </c>
      <c r="CK537">
        <v>40</v>
      </c>
      <c r="CL537">
        <v>352</v>
      </c>
      <c r="CM537">
        <v>4</v>
      </c>
    </row>
    <row r="538" spans="1:206" ht="19.5">
      <c r="CH538">
        <v>47</v>
      </c>
      <c r="CI538" t="s">
        <v>43</v>
      </c>
      <c r="CJ538" s="8">
        <v>43950</v>
      </c>
      <c r="CK538">
        <v>41</v>
      </c>
      <c r="CL538">
        <v>360</v>
      </c>
      <c r="CM538">
        <v>4</v>
      </c>
    </row>
    <row r="539" spans="1:206" ht="19.5">
      <c r="CH539">
        <v>47</v>
      </c>
      <c r="CI539" t="s">
        <v>43</v>
      </c>
      <c r="CJ539" s="8">
        <v>43951</v>
      </c>
      <c r="CK539">
        <v>46</v>
      </c>
      <c r="CL539">
        <v>404</v>
      </c>
      <c r="CM539">
        <v>4</v>
      </c>
    </row>
    <row r="540" spans="1:206" ht="19.5">
      <c r="CH540">
        <v>52</v>
      </c>
      <c r="CI540" t="s">
        <v>44</v>
      </c>
      <c r="CJ540" s="8">
        <v>43914</v>
      </c>
      <c r="CK540">
        <v>5</v>
      </c>
      <c r="CM540">
        <v>0</v>
      </c>
    </row>
    <row r="541" spans="1:206" ht="19.5">
      <c r="CH541">
        <v>52</v>
      </c>
      <c r="CI541" t="s">
        <v>44</v>
      </c>
      <c r="CJ541" s="8">
        <v>43915</v>
      </c>
      <c r="CK541">
        <v>8</v>
      </c>
      <c r="CM541">
        <v>0</v>
      </c>
    </row>
    <row r="542" spans="1:206" ht="19.5">
      <c r="CH542">
        <v>52</v>
      </c>
      <c r="CI542" t="s">
        <v>44</v>
      </c>
      <c r="CJ542" s="8">
        <v>43916</v>
      </c>
      <c r="CK542">
        <v>8</v>
      </c>
      <c r="CM542">
        <v>0</v>
      </c>
    </row>
    <row r="543" spans="1:206" ht="19.5">
      <c r="CH543">
        <v>52</v>
      </c>
      <c r="CI543" t="s">
        <v>44</v>
      </c>
      <c r="CJ543" s="8">
        <v>43917</v>
      </c>
      <c r="CK543">
        <v>11</v>
      </c>
      <c r="CM543">
        <v>0</v>
      </c>
    </row>
    <row r="544" spans="1:206" ht="19.5">
      <c r="CH544">
        <v>52</v>
      </c>
      <c r="CI544" t="s">
        <v>44</v>
      </c>
      <c r="CJ544" s="8">
        <v>43918</v>
      </c>
      <c r="CK544">
        <v>11</v>
      </c>
      <c r="CM544">
        <v>0</v>
      </c>
    </row>
    <row r="545" spans="1:206" ht="19.5">
      <c r="CH545">
        <v>52</v>
      </c>
      <c r="CI545" t="s">
        <v>44</v>
      </c>
      <c r="CJ545" s="8">
        <v>43919</v>
      </c>
      <c r="CK545">
        <v>12</v>
      </c>
      <c r="CM545">
        <v>0</v>
      </c>
    </row>
    <row r="546" spans="1:206" ht="19.5">
      <c r="CH546">
        <v>52</v>
      </c>
      <c r="CI546" t="s">
        <v>44</v>
      </c>
      <c r="CJ546" s="8">
        <v>43920</v>
      </c>
      <c r="CK546">
        <v>15</v>
      </c>
      <c r="CM546">
        <v>0</v>
      </c>
    </row>
    <row r="547" spans="1:206" ht="19.5">
      <c r="CH547">
        <v>52</v>
      </c>
      <c r="CI547" t="s">
        <v>44</v>
      </c>
      <c r="CJ547" s="8">
        <v>43921</v>
      </c>
      <c r="CK547">
        <v>15</v>
      </c>
      <c r="CM547">
        <v>0</v>
      </c>
    </row>
    <row r="548" spans="1:206" ht="19.5">
      <c r="CH548">
        <v>52</v>
      </c>
      <c r="CI548" t="s">
        <v>44</v>
      </c>
      <c r="CJ548" s="8">
        <v>43922</v>
      </c>
      <c r="CK548">
        <v>15</v>
      </c>
      <c r="CM548">
        <v>0</v>
      </c>
    </row>
    <row r="549" spans="1:206" ht="19.5">
      <c r="CH549">
        <v>52</v>
      </c>
      <c r="CI549" t="s">
        <v>44</v>
      </c>
      <c r="CJ549" s="8">
        <v>43923</v>
      </c>
      <c r="CK549">
        <v>16</v>
      </c>
      <c r="CM549">
        <v>0</v>
      </c>
    </row>
    <row r="550" spans="1:206" ht="19.5">
      <c r="CH550">
        <v>52</v>
      </c>
      <c r="CI550" t="s">
        <v>44</v>
      </c>
      <c r="CJ550" s="8">
        <v>43924</v>
      </c>
      <c r="CK550">
        <v>20</v>
      </c>
      <c r="CM550">
        <v>1</v>
      </c>
    </row>
    <row r="551" spans="1:206" ht="19.5">
      <c r="CH551">
        <v>52</v>
      </c>
      <c r="CI551" t="s">
        <v>44</v>
      </c>
      <c r="CJ551" s="8">
        <v>43925</v>
      </c>
      <c r="CK551">
        <v>21</v>
      </c>
      <c r="CM551">
        <v>1</v>
      </c>
    </row>
    <row r="552" spans="1:206" ht="19.5">
      <c r="CH552">
        <v>52</v>
      </c>
      <c r="CI552" t="s">
        <v>44</v>
      </c>
      <c r="CJ552" s="8">
        <v>43926</v>
      </c>
      <c r="CK552">
        <v>23</v>
      </c>
      <c r="CM552">
        <v>1</v>
      </c>
    </row>
    <row r="553" spans="1:206" ht="19.5">
      <c r="CH553">
        <v>52</v>
      </c>
      <c r="CI553" t="s">
        <v>44</v>
      </c>
      <c r="CJ553" s="8">
        <v>43927</v>
      </c>
      <c r="CK553">
        <v>30</v>
      </c>
      <c r="CM553">
        <v>1</v>
      </c>
    </row>
    <row r="554" spans="1:206" ht="19.5">
      <c r="CH554">
        <v>52</v>
      </c>
      <c r="CI554" t="s">
        <v>44</v>
      </c>
      <c r="CJ554" s="8">
        <v>43928</v>
      </c>
      <c r="CK554">
        <v>33</v>
      </c>
      <c r="CM554">
        <v>1</v>
      </c>
    </row>
    <row r="555" spans="1:206" ht="19.5">
      <c r="CH555">
        <v>52</v>
      </c>
      <c r="CI555" t="s">
        <v>44</v>
      </c>
      <c r="CJ555" s="8">
        <v>43929</v>
      </c>
      <c r="CK555">
        <v>35</v>
      </c>
      <c r="CM555">
        <v>1</v>
      </c>
    </row>
    <row r="556" spans="1:206" ht="19.5">
      <c r="CH556">
        <v>52</v>
      </c>
      <c r="CI556" t="s">
        <v>44</v>
      </c>
      <c r="CJ556" s="8">
        <v>43930</v>
      </c>
      <c r="CK556">
        <v>47</v>
      </c>
      <c r="CM556">
        <v>1</v>
      </c>
    </row>
    <row r="557" spans="1:206" ht="19.5">
      <c r="CH557">
        <v>52</v>
      </c>
      <c r="CI557" t="s">
        <v>44</v>
      </c>
      <c r="CJ557" s="8">
        <v>43931</v>
      </c>
      <c r="CK557">
        <v>51</v>
      </c>
      <c r="CM557">
        <v>2</v>
      </c>
    </row>
    <row r="558" spans="1:206" ht="19.5">
      <c r="CH558">
        <v>52</v>
      </c>
      <c r="CI558" t="s">
        <v>44</v>
      </c>
      <c r="CJ558" s="8">
        <v>43932</v>
      </c>
      <c r="CK558">
        <v>56</v>
      </c>
      <c r="CM558">
        <v>1</v>
      </c>
    </row>
    <row r="559" spans="1:206" ht="19.5">
      <c r="CH559">
        <v>52</v>
      </c>
      <c r="CI559" t="s">
        <v>44</v>
      </c>
      <c r="CJ559" s="8">
        <v>43933</v>
      </c>
      <c r="CK559">
        <v>56</v>
      </c>
      <c r="CM559">
        <v>2</v>
      </c>
    </row>
    <row r="560" spans="1:206" ht="19.5">
      <c r="CH560">
        <v>52</v>
      </c>
      <c r="CI560" t="s">
        <v>44</v>
      </c>
      <c r="CJ560" s="8">
        <v>43934</v>
      </c>
      <c r="CK560">
        <v>56</v>
      </c>
      <c r="CM560">
        <v>2</v>
      </c>
    </row>
    <row r="561" spans="1:206" ht="19.5">
      <c r="CH561">
        <v>52</v>
      </c>
      <c r="CI561" t="s">
        <v>44</v>
      </c>
      <c r="CJ561" s="8">
        <v>43935</v>
      </c>
      <c r="CK561">
        <v>57</v>
      </c>
      <c r="CM561">
        <v>2</v>
      </c>
    </row>
    <row r="562" spans="1:206" ht="19.5">
      <c r="CH562">
        <v>52</v>
      </c>
      <c r="CI562" t="s">
        <v>44</v>
      </c>
      <c r="CJ562" s="8">
        <v>43936</v>
      </c>
      <c r="CK562">
        <v>60</v>
      </c>
      <c r="CM562">
        <v>2</v>
      </c>
    </row>
    <row r="563" spans="1:206" ht="19.5">
      <c r="CH563">
        <v>52</v>
      </c>
      <c r="CI563" t="s">
        <v>44</v>
      </c>
      <c r="CJ563" s="8">
        <v>43937</v>
      </c>
      <c r="CK563">
        <v>60</v>
      </c>
      <c r="CL563">
        <v>235</v>
      </c>
      <c r="CM563">
        <v>3</v>
      </c>
    </row>
    <row r="564" spans="1:206" ht="19.5">
      <c r="CH564">
        <v>52</v>
      </c>
      <c r="CI564" t="s">
        <v>44</v>
      </c>
      <c r="CJ564" s="8">
        <v>43938</v>
      </c>
      <c r="CK564">
        <v>62</v>
      </c>
      <c r="CL564">
        <v>243</v>
      </c>
      <c r="CM564">
        <v>3</v>
      </c>
    </row>
    <row r="565" spans="1:206" ht="19.5">
      <c r="CH565">
        <v>52</v>
      </c>
      <c r="CI565" t="s">
        <v>44</v>
      </c>
      <c r="CJ565" s="8">
        <v>43939</v>
      </c>
      <c r="CK565">
        <v>65</v>
      </c>
      <c r="CL565">
        <v>255</v>
      </c>
      <c r="CM565">
        <v>6</v>
      </c>
    </row>
    <row r="566" spans="1:206" ht="19.5">
      <c r="CH566">
        <v>52</v>
      </c>
      <c r="CI566" t="s">
        <v>44</v>
      </c>
      <c r="CJ566" s="8">
        <v>43940</v>
      </c>
      <c r="CK566">
        <v>65</v>
      </c>
      <c r="CL566">
        <v>255</v>
      </c>
      <c r="CM566">
        <v>7</v>
      </c>
    </row>
    <row r="567" spans="1:206" ht="19.5">
      <c r="CH567">
        <v>52</v>
      </c>
      <c r="CI567" t="s">
        <v>44</v>
      </c>
      <c r="CJ567" s="8">
        <v>43941</v>
      </c>
      <c r="CK567">
        <v>90</v>
      </c>
      <c r="CL567">
        <v>353</v>
      </c>
      <c r="CM567">
        <v>13</v>
      </c>
    </row>
    <row r="568" spans="1:206" ht="19.5">
      <c r="CH568">
        <v>52</v>
      </c>
      <c r="CI568" t="s">
        <v>44</v>
      </c>
      <c r="CJ568" s="8">
        <v>43942</v>
      </c>
      <c r="CK568">
        <v>96</v>
      </c>
      <c r="CL568">
        <v>376</v>
      </c>
      <c r="CM568">
        <v>13</v>
      </c>
    </row>
    <row r="569" spans="1:206" ht="19.5">
      <c r="CH569">
        <v>52</v>
      </c>
      <c r="CI569" t="s">
        <v>44</v>
      </c>
      <c r="CJ569" s="8">
        <v>43943</v>
      </c>
      <c r="CK569">
        <v>97</v>
      </c>
      <c r="CL569">
        <v>380</v>
      </c>
      <c r="CM569">
        <v>16</v>
      </c>
    </row>
    <row r="570" spans="1:206" ht="19.5">
      <c r="CH570">
        <v>52</v>
      </c>
      <c r="CI570" t="s">
        <v>44</v>
      </c>
      <c r="CJ570" s="8">
        <v>43944</v>
      </c>
      <c r="CK570">
        <v>108</v>
      </c>
      <c r="CL570">
        <v>423</v>
      </c>
      <c r="CM570">
        <v>16</v>
      </c>
    </row>
    <row r="571" spans="1:206" ht="19.5">
      <c r="CH571">
        <v>52</v>
      </c>
      <c r="CI571" t="s">
        <v>44</v>
      </c>
      <c r="CJ571" s="8">
        <v>43945</v>
      </c>
      <c r="CK571">
        <v>127</v>
      </c>
      <c r="CL571">
        <v>498</v>
      </c>
      <c r="CM571">
        <v>17</v>
      </c>
    </row>
    <row r="572" spans="1:206" ht="19.5">
      <c r="CH572">
        <v>52</v>
      </c>
      <c r="CI572" t="s">
        <v>44</v>
      </c>
      <c r="CJ572" s="8">
        <v>43946</v>
      </c>
      <c r="CK572">
        <v>131</v>
      </c>
      <c r="CL572">
        <v>514</v>
      </c>
      <c r="CM572">
        <v>17</v>
      </c>
    </row>
    <row r="573" spans="1:206" ht="19.5">
      <c r="CH573">
        <v>52</v>
      </c>
      <c r="CI573" t="s">
        <v>44</v>
      </c>
      <c r="CJ573" s="8">
        <v>43947</v>
      </c>
      <c r="CK573">
        <v>147</v>
      </c>
      <c r="CL573">
        <v>576</v>
      </c>
      <c r="CM573">
        <v>17</v>
      </c>
    </row>
    <row r="574" spans="1:206" ht="19.5">
      <c r="CH574">
        <v>52</v>
      </c>
      <c r="CI574" t="s">
        <v>44</v>
      </c>
      <c r="CJ574" s="8">
        <v>43948</v>
      </c>
      <c r="CK574">
        <v>148</v>
      </c>
      <c r="CL574">
        <v>580</v>
      </c>
      <c r="CM574">
        <v>17</v>
      </c>
    </row>
    <row r="575" spans="1:206" ht="19.5">
      <c r="CH575">
        <v>52</v>
      </c>
      <c r="CI575" t="s">
        <v>44</v>
      </c>
      <c r="CJ575" s="8">
        <v>43949</v>
      </c>
      <c r="CK575">
        <v>148</v>
      </c>
      <c r="CL575">
        <v>580</v>
      </c>
      <c r="CM575">
        <v>18</v>
      </c>
    </row>
    <row r="576" spans="1:206" ht="19.5">
      <c r="CH576">
        <v>52</v>
      </c>
      <c r="CI576" t="s">
        <v>44</v>
      </c>
      <c r="CJ576" s="8">
        <v>43950</v>
      </c>
      <c r="CK576">
        <v>150</v>
      </c>
      <c r="CL576">
        <v>588</v>
      </c>
      <c r="CM576">
        <v>18</v>
      </c>
    </row>
    <row r="577" spans="1:206" ht="19.5">
      <c r="CH577">
        <v>52</v>
      </c>
      <c r="CI577" t="s">
        <v>44</v>
      </c>
      <c r="CJ577" s="8">
        <v>43951</v>
      </c>
      <c r="CK577">
        <v>155</v>
      </c>
      <c r="CL577">
        <v>608</v>
      </c>
      <c r="CM577">
        <v>19</v>
      </c>
    </row>
    <row r="578" spans="1:206" ht="19.5">
      <c r="CH578">
        <v>54</v>
      </c>
      <c r="CI578" t="s">
        <v>45</v>
      </c>
      <c r="CJ578" s="8">
        <v>43914</v>
      </c>
      <c r="CK578">
        <v>6</v>
      </c>
      <c r="CM578">
        <v>0</v>
      </c>
    </row>
    <row r="579" spans="1:206" ht="19.5">
      <c r="CH579">
        <v>54</v>
      </c>
      <c r="CI579" t="s">
        <v>45</v>
      </c>
      <c r="CJ579" s="8">
        <v>43915</v>
      </c>
      <c r="CK579">
        <v>7</v>
      </c>
      <c r="CM579">
        <v>0</v>
      </c>
    </row>
    <row r="580" spans="1:206" ht="19.5">
      <c r="CH580">
        <v>54</v>
      </c>
      <c r="CI580" t="s">
        <v>45</v>
      </c>
      <c r="CJ580" s="8">
        <v>43916</v>
      </c>
      <c r="CK580">
        <v>8</v>
      </c>
      <c r="CM580">
        <v>0</v>
      </c>
    </row>
    <row r="581" spans="1:206" ht="19.5">
      <c r="CH581">
        <v>54</v>
      </c>
      <c r="CI581" t="s">
        <v>45</v>
      </c>
      <c r="CJ581" s="8">
        <v>43917</v>
      </c>
      <c r="CK581">
        <v>8</v>
      </c>
      <c r="CM581">
        <v>0</v>
      </c>
    </row>
    <row r="582" spans="1:206" ht="19.5">
      <c r="CH582">
        <v>54</v>
      </c>
      <c r="CI582" t="s">
        <v>45</v>
      </c>
      <c r="CJ582" s="8">
        <v>43918</v>
      </c>
      <c r="CK582">
        <v>8</v>
      </c>
      <c r="CM582">
        <v>0</v>
      </c>
    </row>
    <row r="583" spans="1:206" ht="19.5">
      <c r="CH583">
        <v>54</v>
      </c>
      <c r="CI583" t="s">
        <v>45</v>
      </c>
      <c r="CJ583" s="8">
        <v>43919</v>
      </c>
      <c r="CK583">
        <v>11</v>
      </c>
      <c r="CM583">
        <v>0</v>
      </c>
    </row>
    <row r="584" spans="1:206" ht="19.5">
      <c r="CH584">
        <v>54</v>
      </c>
      <c r="CI584" t="s">
        <v>45</v>
      </c>
      <c r="CJ584" s="8">
        <v>43920</v>
      </c>
      <c r="CK584">
        <v>12</v>
      </c>
      <c r="CM584">
        <v>0</v>
      </c>
    </row>
    <row r="585" spans="1:206" ht="19.5">
      <c r="CH585">
        <v>54</v>
      </c>
      <c r="CI585" t="s">
        <v>45</v>
      </c>
      <c r="CJ585" s="8">
        <v>43921</v>
      </c>
      <c r="CK585">
        <v>12</v>
      </c>
      <c r="CM585">
        <v>0</v>
      </c>
    </row>
    <row r="586" spans="1:206" ht="19.5">
      <c r="CH586">
        <v>54</v>
      </c>
      <c r="CI586" t="s">
        <v>45</v>
      </c>
      <c r="CJ586" s="8">
        <v>43922</v>
      </c>
      <c r="CK586">
        <v>13</v>
      </c>
      <c r="CM586">
        <v>1</v>
      </c>
    </row>
    <row r="587" spans="1:206" ht="19.5">
      <c r="CH587">
        <v>54</v>
      </c>
      <c r="CI587" t="s">
        <v>45</v>
      </c>
      <c r="CJ587" s="8">
        <v>43923</v>
      </c>
      <c r="CK587">
        <v>14</v>
      </c>
      <c r="CM587">
        <v>1</v>
      </c>
    </row>
    <row r="588" spans="1:206" ht="19.5">
      <c r="CH588">
        <v>54</v>
      </c>
      <c r="CI588" t="s">
        <v>45</v>
      </c>
      <c r="CJ588" s="8">
        <v>43924</v>
      </c>
      <c r="CK588">
        <v>18</v>
      </c>
      <c r="CM588">
        <v>1</v>
      </c>
    </row>
    <row r="589" spans="1:206" ht="19.5">
      <c r="CH589">
        <v>54</v>
      </c>
      <c r="CI589" t="s">
        <v>45</v>
      </c>
      <c r="CJ589" s="8">
        <v>43925</v>
      </c>
      <c r="CK589">
        <v>20</v>
      </c>
      <c r="CM589">
        <v>1</v>
      </c>
    </row>
    <row r="590" spans="1:206" ht="19.5">
      <c r="CH590">
        <v>54</v>
      </c>
      <c r="CI590" t="s">
        <v>45</v>
      </c>
      <c r="CJ590" s="8">
        <v>43926</v>
      </c>
      <c r="CK590">
        <v>21</v>
      </c>
      <c r="CM590">
        <v>1</v>
      </c>
    </row>
    <row r="591" spans="1:206" ht="19.5">
      <c r="CH591">
        <v>54</v>
      </c>
      <c r="CI591" t="s">
        <v>45</v>
      </c>
      <c r="CJ591" s="8">
        <v>43927</v>
      </c>
      <c r="CK591">
        <v>26</v>
      </c>
      <c r="CM591">
        <v>1</v>
      </c>
    </row>
    <row r="592" spans="1:206" ht="19.5">
      <c r="CH592">
        <v>54</v>
      </c>
      <c r="CI592" t="s">
        <v>45</v>
      </c>
      <c r="CJ592" s="8">
        <v>43928</v>
      </c>
      <c r="CK592">
        <v>35</v>
      </c>
      <c r="CM592">
        <v>2</v>
      </c>
    </row>
    <row r="593" spans="1:206" ht="19.5">
      <c r="CH593">
        <v>54</v>
      </c>
      <c r="CI593" t="s">
        <v>45</v>
      </c>
      <c r="CJ593" s="8">
        <v>43929</v>
      </c>
      <c r="CK593">
        <v>38</v>
      </c>
      <c r="CM593">
        <v>2</v>
      </c>
    </row>
    <row r="594" spans="1:206" ht="19.5">
      <c r="CH594">
        <v>54</v>
      </c>
      <c r="CI594" t="s">
        <v>45</v>
      </c>
      <c r="CJ594" s="8">
        <v>43930</v>
      </c>
      <c r="CK594">
        <v>43</v>
      </c>
      <c r="CM594">
        <v>2</v>
      </c>
    </row>
    <row r="595" spans="1:206" ht="19.5">
      <c r="CH595">
        <v>54</v>
      </c>
      <c r="CI595" t="s">
        <v>45</v>
      </c>
      <c r="CJ595" s="8">
        <v>43931</v>
      </c>
      <c r="CK595">
        <v>49</v>
      </c>
      <c r="CM595">
        <v>2</v>
      </c>
    </row>
    <row r="596" spans="1:206" ht="19.5">
      <c r="CH596">
        <v>54</v>
      </c>
      <c r="CI596" t="s">
        <v>45</v>
      </c>
      <c r="CJ596" s="8">
        <v>43932</v>
      </c>
      <c r="CK596">
        <v>58</v>
      </c>
      <c r="CM596">
        <v>5</v>
      </c>
    </row>
    <row r="597" spans="1:206" ht="19.5">
      <c r="CH597">
        <v>54</v>
      </c>
      <c r="CI597" t="s">
        <v>45</v>
      </c>
      <c r="CJ597" s="8">
        <v>43933</v>
      </c>
      <c r="CK597">
        <v>59</v>
      </c>
      <c r="CM597">
        <v>6</v>
      </c>
    </row>
    <row r="598" spans="1:206" ht="19.5">
      <c r="CH598">
        <v>54</v>
      </c>
      <c r="CI598" t="s">
        <v>45</v>
      </c>
      <c r="CJ598" s="8">
        <v>43934</v>
      </c>
      <c r="CK598">
        <v>69</v>
      </c>
      <c r="CM598">
        <v>6</v>
      </c>
    </row>
    <row r="599" spans="1:206" ht="19.5">
      <c r="CH599">
        <v>54</v>
      </c>
      <c r="CI599" t="s">
        <v>45</v>
      </c>
      <c r="CJ599" s="8">
        <v>43935</v>
      </c>
      <c r="CK599">
        <v>72</v>
      </c>
      <c r="CM599">
        <v>6</v>
      </c>
    </row>
    <row r="600" spans="1:206" ht="19.5">
      <c r="CH600">
        <v>54</v>
      </c>
      <c r="CI600" t="s">
        <v>45</v>
      </c>
      <c r="CJ600" s="8">
        <v>43936</v>
      </c>
      <c r="CK600">
        <v>84</v>
      </c>
      <c r="CM600">
        <v>11</v>
      </c>
    </row>
    <row r="601" spans="1:206" ht="19.5">
      <c r="CH601">
        <v>54</v>
      </c>
      <c r="CI601" t="s">
        <v>45</v>
      </c>
      <c r="CJ601" s="8">
        <v>43937</v>
      </c>
      <c r="CK601">
        <v>86</v>
      </c>
      <c r="CL601">
        <v>249</v>
      </c>
      <c r="CM601">
        <v>12</v>
      </c>
    </row>
    <row r="602" spans="1:206" ht="19.5">
      <c r="CH602">
        <v>54</v>
      </c>
      <c r="CI602" t="s">
        <v>45</v>
      </c>
      <c r="CJ602" s="8">
        <v>43938</v>
      </c>
      <c r="CK602">
        <v>90</v>
      </c>
      <c r="CL602">
        <v>261</v>
      </c>
      <c r="CM602">
        <v>14</v>
      </c>
    </row>
    <row r="603" spans="1:206" ht="19.5">
      <c r="CH603">
        <v>54</v>
      </c>
      <c r="CI603" t="s">
        <v>45</v>
      </c>
      <c r="CJ603" s="8">
        <v>43939</v>
      </c>
      <c r="CK603">
        <v>98</v>
      </c>
      <c r="CL603">
        <v>284</v>
      </c>
      <c r="CM603">
        <v>15</v>
      </c>
    </row>
    <row r="604" spans="1:206" ht="19.5">
      <c r="CH604">
        <v>54</v>
      </c>
      <c r="CI604" t="s">
        <v>45</v>
      </c>
      <c r="CJ604" s="8">
        <v>43940</v>
      </c>
      <c r="CK604">
        <v>106</v>
      </c>
      <c r="CL604">
        <v>307</v>
      </c>
      <c r="CM604">
        <v>15</v>
      </c>
    </row>
    <row r="605" spans="1:206" ht="19.5">
      <c r="CH605">
        <v>54</v>
      </c>
      <c r="CI605" t="s">
        <v>45</v>
      </c>
      <c r="CJ605" s="8">
        <v>43941</v>
      </c>
      <c r="CK605">
        <v>124</v>
      </c>
      <c r="CL605">
        <v>360</v>
      </c>
      <c r="CM605">
        <v>20</v>
      </c>
    </row>
    <row r="606" spans="1:206" ht="19.5">
      <c r="CH606">
        <v>54</v>
      </c>
      <c r="CI606" t="s">
        <v>45</v>
      </c>
      <c r="CJ606" s="8">
        <v>43942</v>
      </c>
      <c r="CK606">
        <v>131</v>
      </c>
      <c r="CL606">
        <v>380</v>
      </c>
      <c r="CM606">
        <v>25</v>
      </c>
    </row>
    <row r="607" spans="1:206" ht="19.5">
      <c r="CH607">
        <v>54</v>
      </c>
      <c r="CI607" t="s">
        <v>45</v>
      </c>
      <c r="CJ607" s="8">
        <v>43943</v>
      </c>
      <c r="CK607">
        <v>133</v>
      </c>
      <c r="CL607">
        <v>386</v>
      </c>
      <c r="CM607">
        <v>27</v>
      </c>
    </row>
    <row r="608" spans="1:206" ht="19.5">
      <c r="CH608">
        <v>54</v>
      </c>
      <c r="CI608" t="s">
        <v>45</v>
      </c>
      <c r="CJ608" s="8">
        <v>43944</v>
      </c>
      <c r="CK608">
        <v>137</v>
      </c>
      <c r="CL608">
        <v>397</v>
      </c>
      <c r="CM608">
        <v>27</v>
      </c>
    </row>
    <row r="609" spans="1:206" ht="19.5">
      <c r="CH609">
        <v>54</v>
      </c>
      <c r="CI609" t="s">
        <v>45</v>
      </c>
      <c r="CJ609" s="8">
        <v>43945</v>
      </c>
      <c r="CK609">
        <v>142</v>
      </c>
      <c r="CL609">
        <v>412</v>
      </c>
      <c r="CM609">
        <v>28</v>
      </c>
    </row>
    <row r="610" spans="1:206" ht="19.5">
      <c r="CH610">
        <v>54</v>
      </c>
      <c r="CI610" t="s">
        <v>45</v>
      </c>
      <c r="CJ610" s="8">
        <v>43946</v>
      </c>
      <c r="CK610">
        <v>149</v>
      </c>
      <c r="CL610">
        <v>432</v>
      </c>
      <c r="CM610">
        <v>31</v>
      </c>
    </row>
    <row r="611" spans="1:206" ht="19.5">
      <c r="CH611">
        <v>54</v>
      </c>
      <c r="CI611" t="s">
        <v>45</v>
      </c>
      <c r="CJ611" s="8">
        <v>43947</v>
      </c>
      <c r="CK611">
        <v>152</v>
      </c>
      <c r="CL611">
        <v>441</v>
      </c>
      <c r="CM611">
        <v>35</v>
      </c>
    </row>
    <row r="612" spans="1:206" ht="19.5">
      <c r="CH612">
        <v>54</v>
      </c>
      <c r="CI612" t="s">
        <v>45</v>
      </c>
      <c r="CJ612" s="8">
        <v>43948</v>
      </c>
      <c r="CK612">
        <v>157</v>
      </c>
      <c r="CL612">
        <v>455</v>
      </c>
      <c r="CM612">
        <v>37</v>
      </c>
    </row>
    <row r="613" spans="1:206" ht="19.5">
      <c r="CH613">
        <v>54</v>
      </c>
      <c r="CI613" t="s">
        <v>45</v>
      </c>
      <c r="CJ613" s="8">
        <v>43949</v>
      </c>
      <c r="CK613">
        <v>158</v>
      </c>
      <c r="CL613">
        <v>458</v>
      </c>
      <c r="CM613">
        <v>40</v>
      </c>
    </row>
    <row r="614" spans="1:206" ht="19.5">
      <c r="CH614">
        <v>54</v>
      </c>
      <c r="CI614" t="s">
        <v>45</v>
      </c>
      <c r="CJ614" s="8">
        <v>43950</v>
      </c>
      <c r="CK614">
        <v>161</v>
      </c>
      <c r="CL614">
        <v>467</v>
      </c>
      <c r="CM614">
        <v>43</v>
      </c>
    </row>
    <row r="615" spans="1:206" ht="19.5">
      <c r="CH615">
        <v>54</v>
      </c>
      <c r="CI615" t="s">
        <v>45</v>
      </c>
      <c r="CJ615" s="8">
        <v>43951</v>
      </c>
      <c r="CK615">
        <v>170</v>
      </c>
      <c r="CL615">
        <v>493</v>
      </c>
      <c r="CM615">
        <v>44</v>
      </c>
    </row>
    <row r="616" spans="1:206" ht="19.5">
      <c r="CH616">
        <v>55</v>
      </c>
      <c r="CI616" t="s">
        <v>46</v>
      </c>
      <c r="CJ616" s="8">
        <v>43914</v>
      </c>
      <c r="CK616">
        <v>0</v>
      </c>
      <c r="CM616">
        <v>0</v>
      </c>
    </row>
    <row r="617" spans="1:206" ht="19.5">
      <c r="CH617">
        <v>55</v>
      </c>
      <c r="CI617" t="s">
        <v>46</v>
      </c>
      <c r="CJ617" s="8">
        <v>43915</v>
      </c>
      <c r="CK617">
        <v>0</v>
      </c>
      <c r="CM617">
        <v>0</v>
      </c>
    </row>
    <row r="618" spans="1:206" ht="19.5">
      <c r="CH618">
        <v>55</v>
      </c>
      <c r="CI618" t="s">
        <v>46</v>
      </c>
      <c r="CJ618" s="8">
        <v>43916</v>
      </c>
      <c r="CK618">
        <v>0</v>
      </c>
      <c r="CM618">
        <v>0</v>
      </c>
    </row>
    <row r="619" spans="1:206" ht="19.5">
      <c r="CH619">
        <v>55</v>
      </c>
      <c r="CI619" t="s">
        <v>46</v>
      </c>
      <c r="CJ619" s="8">
        <v>43917</v>
      </c>
      <c r="CK619">
        <v>0</v>
      </c>
      <c r="CM619">
        <v>0</v>
      </c>
    </row>
    <row r="620" spans="1:206" ht="19.5">
      <c r="CH620">
        <v>55</v>
      </c>
      <c r="CI620" t="s">
        <v>46</v>
      </c>
      <c r="CJ620" s="8">
        <v>43918</v>
      </c>
      <c r="CK620">
        <v>0</v>
      </c>
      <c r="CM620">
        <v>0</v>
      </c>
    </row>
    <row r="621" spans="1:206" ht="19.5">
      <c r="CH621">
        <v>55</v>
      </c>
      <c r="CI621" t="s">
        <v>46</v>
      </c>
      <c r="CJ621" s="8">
        <v>43919</v>
      </c>
      <c r="CK621">
        <v>0</v>
      </c>
      <c r="CM621">
        <v>0</v>
      </c>
    </row>
    <row r="622" spans="1:206" ht="19.5">
      <c r="CH622">
        <v>55</v>
      </c>
      <c r="CI622" t="s">
        <v>46</v>
      </c>
      <c r="CJ622" s="8">
        <v>43920</v>
      </c>
      <c r="CK622">
        <v>0</v>
      </c>
      <c r="CM622">
        <v>0</v>
      </c>
    </row>
    <row r="623" spans="1:206" ht="19.5">
      <c r="CH623">
        <v>55</v>
      </c>
      <c r="CI623" t="s">
        <v>46</v>
      </c>
      <c r="CJ623" s="8">
        <v>43921</v>
      </c>
      <c r="CK623">
        <v>1</v>
      </c>
      <c r="CM623">
        <v>0</v>
      </c>
    </row>
    <row r="624" spans="1:206" ht="19.5">
      <c r="CH624">
        <v>55</v>
      </c>
      <c r="CI624" t="s">
        <v>46</v>
      </c>
      <c r="CJ624" s="8">
        <v>43922</v>
      </c>
      <c r="CK624">
        <v>1</v>
      </c>
      <c r="CM624">
        <v>0</v>
      </c>
    </row>
    <row r="625" spans="1:206" ht="19.5">
      <c r="CH625">
        <v>55</v>
      </c>
      <c r="CI625" t="s">
        <v>46</v>
      </c>
      <c r="CJ625" s="8">
        <v>43923</v>
      </c>
      <c r="CK625">
        <v>1</v>
      </c>
      <c r="CM625">
        <v>0</v>
      </c>
    </row>
    <row r="626" spans="1:206" ht="19.5">
      <c r="CH626">
        <v>55</v>
      </c>
      <c r="CI626" t="s">
        <v>46</v>
      </c>
      <c r="CJ626" s="8">
        <v>43924</v>
      </c>
      <c r="CK626">
        <v>1</v>
      </c>
      <c r="CM626">
        <v>0</v>
      </c>
    </row>
    <row r="627" spans="1:206" ht="19.5">
      <c r="CH627">
        <v>55</v>
      </c>
      <c r="CI627" t="s">
        <v>46</v>
      </c>
      <c r="CJ627" s="8">
        <v>43925</v>
      </c>
      <c r="CK627">
        <v>1</v>
      </c>
      <c r="CM627">
        <v>0</v>
      </c>
    </row>
    <row r="628" spans="1:206" ht="19.5">
      <c r="CH628">
        <v>55</v>
      </c>
      <c r="CI628" t="s">
        <v>46</v>
      </c>
      <c r="CJ628" s="8">
        <v>43926</v>
      </c>
      <c r="CK628">
        <v>1</v>
      </c>
      <c r="CM628">
        <v>0</v>
      </c>
    </row>
    <row r="629" spans="1:206" ht="19.5">
      <c r="CH629">
        <v>55</v>
      </c>
      <c r="CI629" t="s">
        <v>46</v>
      </c>
      <c r="CJ629" s="8">
        <v>43927</v>
      </c>
      <c r="CK629">
        <v>1</v>
      </c>
      <c r="CM629">
        <v>0</v>
      </c>
    </row>
    <row r="630" spans="1:206" ht="19.5">
      <c r="CH630">
        <v>55</v>
      </c>
      <c r="CI630" t="s">
        <v>46</v>
      </c>
      <c r="CJ630" s="8">
        <v>43928</v>
      </c>
      <c r="CK630">
        <v>1</v>
      </c>
      <c r="CM630">
        <v>0</v>
      </c>
    </row>
    <row r="631" spans="1:206" ht="19.5">
      <c r="CH631">
        <v>55</v>
      </c>
      <c r="CI631" t="s">
        <v>46</v>
      </c>
      <c r="CJ631" s="8">
        <v>43929</v>
      </c>
      <c r="CK631">
        <v>1</v>
      </c>
      <c r="CM631">
        <v>0</v>
      </c>
    </row>
    <row r="632" spans="1:206" ht="19.5">
      <c r="CH632">
        <v>55</v>
      </c>
      <c r="CI632" t="s">
        <v>46</v>
      </c>
      <c r="CJ632" s="8">
        <v>43930</v>
      </c>
      <c r="CK632">
        <v>1</v>
      </c>
      <c r="CM632">
        <v>0</v>
      </c>
    </row>
    <row r="633" spans="1:206" ht="19.5">
      <c r="CH633">
        <v>55</v>
      </c>
      <c r="CI633" t="s">
        <v>46</v>
      </c>
      <c r="CJ633" s="8">
        <v>43931</v>
      </c>
      <c r="CK633">
        <v>1</v>
      </c>
      <c r="CM633">
        <v>0</v>
      </c>
    </row>
    <row r="634" spans="1:206" ht="19.5">
      <c r="CH634">
        <v>55</v>
      </c>
      <c r="CI634" t="s">
        <v>46</v>
      </c>
      <c r="CJ634" s="8">
        <v>43932</v>
      </c>
      <c r="CK634">
        <v>2</v>
      </c>
      <c r="CM634">
        <v>0</v>
      </c>
    </row>
    <row r="635" spans="1:206" ht="19.5">
      <c r="CH635">
        <v>55</v>
      </c>
      <c r="CI635" t="s">
        <v>46</v>
      </c>
      <c r="CJ635" s="8">
        <v>43933</v>
      </c>
      <c r="CK635">
        <v>2</v>
      </c>
      <c r="CM635">
        <v>0</v>
      </c>
    </row>
    <row r="636" spans="1:206" ht="19.5">
      <c r="CH636">
        <v>55</v>
      </c>
      <c r="CI636" t="s">
        <v>46</v>
      </c>
      <c r="CJ636" s="8">
        <v>43934</v>
      </c>
      <c r="CK636">
        <v>2</v>
      </c>
      <c r="CM636">
        <v>0</v>
      </c>
    </row>
    <row r="637" spans="1:206" ht="19.5">
      <c r="CH637">
        <v>55</v>
      </c>
      <c r="CI637" t="s">
        <v>46</v>
      </c>
      <c r="CJ637" s="8">
        <v>43935</v>
      </c>
      <c r="CK637">
        <v>2</v>
      </c>
      <c r="CM637">
        <v>0</v>
      </c>
    </row>
    <row r="638" spans="1:206" ht="19.5">
      <c r="CH638">
        <v>55</v>
      </c>
      <c r="CI638" t="s">
        <v>46</v>
      </c>
      <c r="CJ638" s="8">
        <v>43936</v>
      </c>
      <c r="CK638">
        <v>2</v>
      </c>
      <c r="CM638">
        <v>0</v>
      </c>
    </row>
    <row r="639" spans="1:206" ht="19.5">
      <c r="CH639">
        <v>55</v>
      </c>
      <c r="CI639" t="s">
        <v>46</v>
      </c>
      <c r="CJ639" s="8">
        <v>43937</v>
      </c>
      <c r="CK639">
        <v>2</v>
      </c>
      <c r="CL639">
        <v>69</v>
      </c>
      <c r="CM639">
        <v>0</v>
      </c>
    </row>
    <row r="640" spans="1:206" ht="19.5">
      <c r="CH640">
        <v>55</v>
      </c>
      <c r="CI640" t="s">
        <v>46</v>
      </c>
      <c r="CJ640" s="8">
        <v>43938</v>
      </c>
      <c r="CK640">
        <v>2</v>
      </c>
      <c r="CL640">
        <v>69</v>
      </c>
      <c r="CM640">
        <v>0</v>
      </c>
    </row>
    <row r="641" spans="1:206" ht="19.5">
      <c r="CH641">
        <v>55</v>
      </c>
      <c r="CI641" t="s">
        <v>46</v>
      </c>
      <c r="CJ641" s="8">
        <v>43939</v>
      </c>
      <c r="CK641">
        <v>2</v>
      </c>
      <c r="CL641">
        <v>69</v>
      </c>
      <c r="CM641">
        <v>0</v>
      </c>
    </row>
    <row r="642" spans="1:206" ht="19.5">
      <c r="CH642">
        <v>55</v>
      </c>
      <c r="CI642" t="s">
        <v>46</v>
      </c>
      <c r="CJ642" s="8">
        <v>43940</v>
      </c>
      <c r="CK642">
        <v>4</v>
      </c>
      <c r="CL642">
        <v>139</v>
      </c>
      <c r="CM642">
        <v>0</v>
      </c>
    </row>
    <row r="643" spans="1:206" ht="19.5">
      <c r="CH643">
        <v>55</v>
      </c>
      <c r="CI643" t="s">
        <v>46</v>
      </c>
      <c r="CJ643" s="8">
        <v>43941</v>
      </c>
      <c r="CK643">
        <v>4</v>
      </c>
      <c r="CL643">
        <v>139</v>
      </c>
      <c r="CM643">
        <v>0</v>
      </c>
    </row>
    <row r="644" spans="1:206" ht="19.5">
      <c r="CH644">
        <v>55</v>
      </c>
      <c r="CI644" t="s">
        <v>46</v>
      </c>
      <c r="CJ644" s="8">
        <v>43942</v>
      </c>
      <c r="CK644">
        <v>4</v>
      </c>
      <c r="CL644">
        <v>139</v>
      </c>
      <c r="CM644">
        <v>0</v>
      </c>
    </row>
    <row r="645" spans="1:206" ht="19.5">
      <c r="CH645">
        <v>55</v>
      </c>
      <c r="CI645" t="s">
        <v>46</v>
      </c>
      <c r="CJ645" s="8">
        <v>43943</v>
      </c>
      <c r="CK645">
        <v>4</v>
      </c>
      <c r="CL645">
        <v>139</v>
      </c>
      <c r="CM645">
        <v>0</v>
      </c>
    </row>
    <row r="646" spans="1:206" ht="19.5">
      <c r="CH646">
        <v>55</v>
      </c>
      <c r="CI646" t="s">
        <v>46</v>
      </c>
      <c r="CJ646" s="8">
        <v>43944</v>
      </c>
      <c r="CK646">
        <v>6</v>
      </c>
      <c r="CL646">
        <v>208</v>
      </c>
      <c r="CM646">
        <v>0</v>
      </c>
    </row>
    <row r="647" spans="1:206" ht="19.5">
      <c r="CH647">
        <v>55</v>
      </c>
      <c r="CI647" t="s">
        <v>46</v>
      </c>
      <c r="CJ647" s="8">
        <v>43945</v>
      </c>
      <c r="CK647">
        <v>6</v>
      </c>
      <c r="CL647">
        <v>208</v>
      </c>
      <c r="CM647">
        <v>0</v>
      </c>
    </row>
    <row r="648" spans="1:206" ht="19.5">
      <c r="CH648">
        <v>55</v>
      </c>
      <c r="CI648" t="s">
        <v>46</v>
      </c>
      <c r="CJ648" s="8">
        <v>43946</v>
      </c>
      <c r="CK648">
        <v>7</v>
      </c>
      <c r="CL648">
        <v>243</v>
      </c>
      <c r="CM648">
        <v>0</v>
      </c>
    </row>
    <row r="649" spans="1:206" ht="19.5">
      <c r="CH649">
        <v>55</v>
      </c>
      <c r="CI649" t="s">
        <v>46</v>
      </c>
      <c r="CJ649" s="8">
        <v>43947</v>
      </c>
      <c r="CK649">
        <v>7</v>
      </c>
      <c r="CL649">
        <v>243</v>
      </c>
      <c r="CM649">
        <v>0</v>
      </c>
    </row>
    <row r="650" spans="1:206" ht="19.5">
      <c r="CH650">
        <v>55</v>
      </c>
      <c r="CI650" t="s">
        <v>46</v>
      </c>
      <c r="CJ650" s="8">
        <v>43948</v>
      </c>
      <c r="CK650">
        <v>7</v>
      </c>
      <c r="CL650">
        <v>243</v>
      </c>
      <c r="CM650">
        <v>0</v>
      </c>
    </row>
    <row r="651" spans="1:206" ht="19.5">
      <c r="CH651">
        <v>55</v>
      </c>
      <c r="CI651" t="s">
        <v>46</v>
      </c>
      <c r="CJ651" s="8">
        <v>43949</v>
      </c>
      <c r="CK651">
        <v>7</v>
      </c>
      <c r="CL651">
        <v>243</v>
      </c>
      <c r="CM651">
        <v>0</v>
      </c>
    </row>
    <row r="652" spans="1:206" ht="19.5">
      <c r="CH652">
        <v>55</v>
      </c>
      <c r="CI652" t="s">
        <v>46</v>
      </c>
      <c r="CJ652" s="8">
        <v>43950</v>
      </c>
      <c r="CK652">
        <v>7</v>
      </c>
      <c r="CL652">
        <v>243</v>
      </c>
      <c r="CM652">
        <v>0</v>
      </c>
    </row>
    <row r="653" spans="1:206" ht="19.5">
      <c r="CH653">
        <v>55</v>
      </c>
      <c r="CI653" t="s">
        <v>46</v>
      </c>
      <c r="CJ653" s="8">
        <v>43951</v>
      </c>
      <c r="CK653">
        <v>7</v>
      </c>
      <c r="CL653">
        <v>243</v>
      </c>
      <c r="CM653">
        <v>0</v>
      </c>
    </row>
    <row r="654" spans="1:206" ht="19.5">
      <c r="CH654">
        <v>56</v>
      </c>
      <c r="CI654" t="s">
        <v>47</v>
      </c>
      <c r="CJ654" s="8">
        <v>43914</v>
      </c>
      <c r="CK654">
        <v>0</v>
      </c>
      <c r="CM654">
        <v>0</v>
      </c>
    </row>
    <row r="655" spans="1:206" ht="19.5">
      <c r="CH655">
        <v>56</v>
      </c>
      <c r="CI655" t="s">
        <v>47</v>
      </c>
      <c r="CJ655" s="8">
        <v>43915</v>
      </c>
      <c r="CK655">
        <v>0</v>
      </c>
      <c r="CM655">
        <v>0</v>
      </c>
    </row>
    <row r="656" spans="1:206" ht="19.5">
      <c r="CH656">
        <v>56</v>
      </c>
      <c r="CI656" t="s">
        <v>47</v>
      </c>
      <c r="CJ656" s="8">
        <v>43916</v>
      </c>
      <c r="CK656">
        <v>0</v>
      </c>
      <c r="CM656">
        <v>0</v>
      </c>
    </row>
    <row r="657" spans="1:206" ht="19.5">
      <c r="CH657">
        <v>56</v>
      </c>
      <c r="CI657" t="s">
        <v>47</v>
      </c>
      <c r="CJ657" s="8">
        <v>43917</v>
      </c>
      <c r="CK657">
        <v>0</v>
      </c>
      <c r="CM657">
        <v>0</v>
      </c>
    </row>
    <row r="658" spans="1:206" ht="19.5">
      <c r="CH658">
        <v>56</v>
      </c>
      <c r="CI658" t="s">
        <v>47</v>
      </c>
      <c r="CJ658" s="8">
        <v>43918</v>
      </c>
      <c r="CK658">
        <v>0</v>
      </c>
      <c r="CM658">
        <v>0</v>
      </c>
    </row>
    <row r="659" spans="1:206" ht="19.5">
      <c r="CH659">
        <v>56</v>
      </c>
      <c r="CI659" t="s">
        <v>47</v>
      </c>
      <c r="CJ659" s="8">
        <v>43919</v>
      </c>
      <c r="CK659">
        <v>0</v>
      </c>
      <c r="CM659">
        <v>0</v>
      </c>
    </row>
    <row r="660" spans="1:206" ht="19.5">
      <c r="CH660">
        <v>56</v>
      </c>
      <c r="CI660" t="s">
        <v>47</v>
      </c>
      <c r="CJ660" s="8">
        <v>43920</v>
      </c>
      <c r="CK660">
        <v>0</v>
      </c>
      <c r="CM660">
        <v>0</v>
      </c>
    </row>
    <row r="661" spans="1:206" ht="19.5">
      <c r="CH661">
        <v>56</v>
      </c>
      <c r="CI661" t="s">
        <v>47</v>
      </c>
      <c r="CJ661" s="8">
        <v>43921</v>
      </c>
      <c r="CK661">
        <v>1</v>
      </c>
      <c r="CM661">
        <v>0</v>
      </c>
    </row>
    <row r="662" spans="1:206" ht="19.5">
      <c r="CH662">
        <v>56</v>
      </c>
      <c r="CI662" t="s">
        <v>47</v>
      </c>
      <c r="CJ662" s="8">
        <v>43922</v>
      </c>
      <c r="CK662">
        <v>1</v>
      </c>
      <c r="CM662">
        <v>0</v>
      </c>
    </row>
    <row r="663" spans="1:206" ht="19.5">
      <c r="CH663">
        <v>56</v>
      </c>
      <c r="CI663" t="s">
        <v>47</v>
      </c>
      <c r="CJ663" s="8">
        <v>43923</v>
      </c>
      <c r="CK663">
        <v>1</v>
      </c>
      <c r="CM663">
        <v>0</v>
      </c>
    </row>
    <row r="664" spans="1:206" ht="19.5">
      <c r="CH664">
        <v>56</v>
      </c>
      <c r="CI664" t="s">
        <v>47</v>
      </c>
      <c r="CJ664" s="8">
        <v>43924</v>
      </c>
      <c r="CK664">
        <v>1</v>
      </c>
      <c r="CM664">
        <v>0</v>
      </c>
    </row>
    <row r="665" spans="1:206" ht="19.5">
      <c r="CH665">
        <v>56</v>
      </c>
      <c r="CI665" t="s">
        <v>47</v>
      </c>
      <c r="CJ665" s="8">
        <v>43925</v>
      </c>
      <c r="CK665">
        <v>2</v>
      </c>
      <c r="CM665">
        <v>0</v>
      </c>
    </row>
    <row r="666" spans="1:206" ht="19.5">
      <c r="CH666">
        <v>56</v>
      </c>
      <c r="CI666" t="s">
        <v>47</v>
      </c>
      <c r="CJ666" s="8">
        <v>43926</v>
      </c>
      <c r="CK666">
        <v>2</v>
      </c>
      <c r="CM666">
        <v>0</v>
      </c>
    </row>
    <row r="667" spans="1:206" ht="19.5">
      <c r="CH667">
        <v>56</v>
      </c>
      <c r="CI667" t="s">
        <v>47</v>
      </c>
      <c r="CJ667" s="8">
        <v>43927</v>
      </c>
      <c r="CK667">
        <v>3</v>
      </c>
      <c r="CM667">
        <v>0</v>
      </c>
    </row>
    <row r="668" spans="1:206" ht="19.5">
      <c r="CH668">
        <v>56</v>
      </c>
      <c r="CI668" t="s">
        <v>47</v>
      </c>
      <c r="CJ668" s="8">
        <v>43928</v>
      </c>
      <c r="CK668">
        <v>3</v>
      </c>
      <c r="CM668">
        <v>0</v>
      </c>
    </row>
    <row r="669" spans="1:206" ht="19.5">
      <c r="CH669">
        <v>56</v>
      </c>
      <c r="CI669" t="s">
        <v>47</v>
      </c>
      <c r="CJ669" s="8">
        <v>43929</v>
      </c>
      <c r="CK669">
        <v>7</v>
      </c>
      <c r="CM669">
        <v>0</v>
      </c>
    </row>
    <row r="670" spans="1:206" ht="19.5">
      <c r="CH670">
        <v>56</v>
      </c>
      <c r="CI670" t="s">
        <v>47</v>
      </c>
      <c r="CJ670" s="8">
        <v>43930</v>
      </c>
      <c r="CK670">
        <v>7</v>
      </c>
      <c r="CM670">
        <v>0</v>
      </c>
    </row>
    <row r="671" spans="1:206" ht="19.5">
      <c r="CH671">
        <v>56</v>
      </c>
      <c r="CI671" t="s">
        <v>47</v>
      </c>
      <c r="CJ671" s="8">
        <v>43931</v>
      </c>
      <c r="CK671">
        <v>7</v>
      </c>
      <c r="CM671">
        <v>0</v>
      </c>
    </row>
    <row r="672" spans="1:206" ht="19.5">
      <c r="CH672">
        <v>56</v>
      </c>
      <c r="CI672" t="s">
        <v>47</v>
      </c>
      <c r="CJ672" s="8">
        <v>43932</v>
      </c>
      <c r="CK672">
        <v>7</v>
      </c>
      <c r="CM672">
        <v>0</v>
      </c>
    </row>
    <row r="673" spans="1:206" ht="19.5">
      <c r="CH673">
        <v>56</v>
      </c>
      <c r="CI673" t="s">
        <v>47</v>
      </c>
      <c r="CJ673" s="8">
        <v>43933</v>
      </c>
      <c r="CK673">
        <v>7</v>
      </c>
      <c r="CM673">
        <v>0</v>
      </c>
    </row>
    <row r="674" spans="1:206" ht="19.5">
      <c r="CH674">
        <v>56</v>
      </c>
      <c r="CI674" t="s">
        <v>47</v>
      </c>
      <c r="CJ674" s="8">
        <v>43934</v>
      </c>
      <c r="CK674">
        <v>7</v>
      </c>
      <c r="CM674">
        <v>0</v>
      </c>
    </row>
    <row r="675" spans="1:206" ht="19.5">
      <c r="CH675">
        <v>56</v>
      </c>
      <c r="CI675" t="s">
        <v>47</v>
      </c>
      <c r="CJ675" s="8">
        <v>43935</v>
      </c>
      <c r="CK675">
        <v>8</v>
      </c>
      <c r="CM675">
        <v>1</v>
      </c>
    </row>
    <row r="676" spans="1:206" ht="19.5">
      <c r="CH676">
        <v>56</v>
      </c>
      <c r="CI676" t="s">
        <v>47</v>
      </c>
      <c r="CJ676" s="8">
        <v>43936</v>
      </c>
      <c r="CK676">
        <v>7</v>
      </c>
      <c r="CM676">
        <v>1</v>
      </c>
    </row>
    <row r="677" spans="1:206" ht="19.5">
      <c r="CH677">
        <v>56</v>
      </c>
      <c r="CI677" t="s">
        <v>47</v>
      </c>
      <c r="CJ677" s="8">
        <v>43937</v>
      </c>
      <c r="CK677">
        <v>7</v>
      </c>
      <c r="CL677">
        <v>62</v>
      </c>
      <c r="CM677">
        <v>1</v>
      </c>
    </row>
    <row r="678" spans="1:206" ht="19.5">
      <c r="CH678">
        <v>56</v>
      </c>
      <c r="CI678" t="s">
        <v>47</v>
      </c>
      <c r="CJ678" s="8">
        <v>43938</v>
      </c>
      <c r="CK678">
        <v>7</v>
      </c>
      <c r="CL678">
        <v>62</v>
      </c>
      <c r="CM678">
        <v>1</v>
      </c>
    </row>
    <row r="679" spans="1:206" ht="19.5">
      <c r="CH679">
        <v>56</v>
      </c>
      <c r="CI679" t="s">
        <v>47</v>
      </c>
      <c r="CJ679" s="8">
        <v>43939</v>
      </c>
      <c r="CK679">
        <v>7</v>
      </c>
      <c r="CL679">
        <v>62</v>
      </c>
      <c r="CM679">
        <v>1</v>
      </c>
    </row>
    <row r="680" spans="1:206" ht="19.5">
      <c r="CH680">
        <v>56</v>
      </c>
      <c r="CI680" t="s">
        <v>47</v>
      </c>
      <c r="CJ680" s="8">
        <v>43940</v>
      </c>
      <c r="CK680">
        <v>8</v>
      </c>
      <c r="CL680">
        <v>70</v>
      </c>
      <c r="CM680">
        <v>1</v>
      </c>
    </row>
    <row r="681" spans="1:206" ht="19.5">
      <c r="CH681">
        <v>56</v>
      </c>
      <c r="CI681" t="s">
        <v>47</v>
      </c>
      <c r="CJ681" s="8">
        <v>43941</v>
      </c>
      <c r="CK681">
        <v>8</v>
      </c>
      <c r="CL681">
        <v>70</v>
      </c>
      <c r="CM681">
        <v>1</v>
      </c>
    </row>
    <row r="682" spans="1:206" ht="19.5">
      <c r="CH682">
        <v>56</v>
      </c>
      <c r="CI682" t="s">
        <v>47</v>
      </c>
      <c r="CJ682" s="8">
        <v>43942</v>
      </c>
      <c r="CK682">
        <v>8</v>
      </c>
      <c r="CL682">
        <v>70</v>
      </c>
      <c r="CM682">
        <v>1</v>
      </c>
    </row>
    <row r="683" spans="1:206" ht="19.5">
      <c r="CH683">
        <v>56</v>
      </c>
      <c r="CI683" t="s">
        <v>47</v>
      </c>
      <c r="CJ683" s="8">
        <v>43943</v>
      </c>
      <c r="CK683">
        <v>8</v>
      </c>
      <c r="CL683">
        <v>70</v>
      </c>
      <c r="CM683">
        <v>1</v>
      </c>
    </row>
    <row r="684" spans="1:206" ht="19.5">
      <c r="CH684">
        <v>56</v>
      </c>
      <c r="CI684" t="s">
        <v>47</v>
      </c>
      <c r="CJ684" s="8">
        <v>43944</v>
      </c>
      <c r="CK684">
        <v>8</v>
      </c>
      <c r="CL684">
        <v>70</v>
      </c>
      <c r="CM684">
        <v>1</v>
      </c>
    </row>
    <row r="685" spans="1:206" ht="19.5">
      <c r="CH685">
        <v>56</v>
      </c>
      <c r="CI685" t="s">
        <v>47</v>
      </c>
      <c r="CJ685" s="8">
        <v>43945</v>
      </c>
      <c r="CK685">
        <v>9</v>
      </c>
      <c r="CL685">
        <v>79</v>
      </c>
      <c r="CM685">
        <v>1</v>
      </c>
    </row>
    <row r="686" spans="1:206" ht="19.5">
      <c r="CH686">
        <v>56</v>
      </c>
      <c r="CI686" t="s">
        <v>47</v>
      </c>
      <c r="CJ686" s="8">
        <v>43946</v>
      </c>
      <c r="CK686">
        <v>10</v>
      </c>
      <c r="CL686">
        <v>88</v>
      </c>
      <c r="CM686">
        <v>1</v>
      </c>
    </row>
    <row r="687" spans="1:206" ht="19.5">
      <c r="CH687">
        <v>56</v>
      </c>
      <c r="CI687" t="s">
        <v>47</v>
      </c>
      <c r="CJ687" s="8">
        <v>43947</v>
      </c>
      <c r="CK687">
        <v>13</v>
      </c>
      <c r="CL687">
        <v>114</v>
      </c>
      <c r="CM687">
        <v>1</v>
      </c>
    </row>
    <row r="688" spans="1:206" ht="19.5">
      <c r="CH688">
        <v>56</v>
      </c>
      <c r="CI688" t="s">
        <v>47</v>
      </c>
      <c r="CJ688" s="8">
        <v>43948</v>
      </c>
      <c r="CK688">
        <v>13</v>
      </c>
      <c r="CL688">
        <v>114</v>
      </c>
      <c r="CM688">
        <v>1</v>
      </c>
    </row>
    <row r="689" spans="1:206" ht="19.5">
      <c r="CH689">
        <v>56</v>
      </c>
      <c r="CI689" t="s">
        <v>47</v>
      </c>
      <c r="CJ689" s="8">
        <v>43949</v>
      </c>
      <c r="CK689">
        <v>13</v>
      </c>
      <c r="CL689">
        <v>114</v>
      </c>
      <c r="CM689">
        <v>1</v>
      </c>
    </row>
    <row r="690" spans="1:206" ht="19.5">
      <c r="CH690">
        <v>56</v>
      </c>
      <c r="CI690" t="s">
        <v>47</v>
      </c>
      <c r="CJ690" s="8">
        <v>43950</v>
      </c>
      <c r="CK690">
        <v>13</v>
      </c>
      <c r="CL690">
        <v>114</v>
      </c>
      <c r="CM690">
        <v>1</v>
      </c>
    </row>
    <row r="691" spans="1:206" ht="19.5">
      <c r="CH691">
        <v>56</v>
      </c>
      <c r="CI691" t="s">
        <v>47</v>
      </c>
      <c r="CJ691" s="8">
        <v>43951</v>
      </c>
      <c r="CK691">
        <v>13</v>
      </c>
      <c r="CL691">
        <v>114</v>
      </c>
      <c r="CM691">
        <v>1</v>
      </c>
    </row>
    <row r="692" spans="1:206" ht="19.5">
      <c r="CH692">
        <v>59</v>
      </c>
      <c r="CI692" t="s">
        <v>48</v>
      </c>
      <c r="CJ692" s="8">
        <v>43914</v>
      </c>
      <c r="CK692">
        <v>0</v>
      </c>
      <c r="CM692">
        <v>0</v>
      </c>
    </row>
    <row r="693" spans="1:206" ht="19.5">
      <c r="CH693">
        <v>59</v>
      </c>
      <c r="CI693" t="s">
        <v>48</v>
      </c>
      <c r="CJ693" s="8">
        <v>43915</v>
      </c>
      <c r="CK693">
        <v>1</v>
      </c>
      <c r="CM693">
        <v>0</v>
      </c>
    </row>
    <row r="694" spans="1:206" ht="19.5">
      <c r="CH694">
        <v>59</v>
      </c>
      <c r="CI694" t="s">
        <v>48</v>
      </c>
      <c r="CJ694" s="8">
        <v>43916</v>
      </c>
      <c r="CK694">
        <v>1</v>
      </c>
      <c r="CM694">
        <v>0</v>
      </c>
    </row>
    <row r="695" spans="1:206" ht="19.5">
      <c r="CH695">
        <v>59</v>
      </c>
      <c r="CI695" t="s">
        <v>48</v>
      </c>
      <c r="CJ695" s="8">
        <v>43917</v>
      </c>
      <c r="CK695">
        <v>1</v>
      </c>
      <c r="CM695">
        <v>0</v>
      </c>
    </row>
    <row r="696" spans="1:206" ht="19.5">
      <c r="CH696">
        <v>59</v>
      </c>
      <c r="CI696" t="s">
        <v>48</v>
      </c>
      <c r="CJ696" s="8">
        <v>43918</v>
      </c>
      <c r="CK696">
        <v>2</v>
      </c>
      <c r="CM696">
        <v>0</v>
      </c>
    </row>
    <row r="697" spans="1:206" ht="19.5">
      <c r="CH697">
        <v>59</v>
      </c>
      <c r="CI697" t="s">
        <v>48</v>
      </c>
      <c r="CJ697" s="8">
        <v>43919</v>
      </c>
      <c r="CK697">
        <v>2</v>
      </c>
      <c r="CM697">
        <v>0</v>
      </c>
    </row>
    <row r="698" spans="1:206" ht="19.5">
      <c r="CH698">
        <v>59</v>
      </c>
      <c r="CI698" t="s">
        <v>48</v>
      </c>
      <c r="CJ698" s="8">
        <v>43920</v>
      </c>
      <c r="CK698">
        <v>2</v>
      </c>
      <c r="CM698">
        <v>0</v>
      </c>
    </row>
    <row r="699" spans="1:206" ht="19.5">
      <c r="CH699">
        <v>59</v>
      </c>
      <c r="CI699" t="s">
        <v>48</v>
      </c>
      <c r="CJ699" s="8">
        <v>43921</v>
      </c>
      <c r="CK699">
        <v>2</v>
      </c>
      <c r="CM699">
        <v>0</v>
      </c>
    </row>
    <row r="700" spans="1:206" ht="19.5">
      <c r="CH700">
        <v>59</v>
      </c>
      <c r="CI700" t="s">
        <v>48</v>
      </c>
      <c r="CJ700" s="8">
        <v>43922</v>
      </c>
      <c r="CK700">
        <v>2</v>
      </c>
      <c r="CM700">
        <v>0</v>
      </c>
    </row>
    <row r="701" spans="1:206" ht="19.5">
      <c r="CH701">
        <v>59</v>
      </c>
      <c r="CI701" t="s">
        <v>48</v>
      </c>
      <c r="CJ701" s="8">
        <v>43923</v>
      </c>
      <c r="CK701">
        <v>2</v>
      </c>
      <c r="CM701">
        <v>0</v>
      </c>
    </row>
    <row r="702" spans="1:206" ht="19.5">
      <c r="CH702">
        <v>59</v>
      </c>
      <c r="CI702" t="s">
        <v>48</v>
      </c>
      <c r="CJ702" s="8">
        <v>43924</v>
      </c>
      <c r="CK702">
        <v>3</v>
      </c>
      <c r="CM702">
        <v>0</v>
      </c>
    </row>
    <row r="703" spans="1:206" ht="19.5">
      <c r="CH703">
        <v>59</v>
      </c>
      <c r="CI703" t="s">
        <v>48</v>
      </c>
      <c r="CJ703" s="8">
        <v>43925</v>
      </c>
      <c r="CK703">
        <v>5</v>
      </c>
      <c r="CM703">
        <v>0</v>
      </c>
    </row>
    <row r="704" spans="1:206" ht="19.5">
      <c r="CH704">
        <v>59</v>
      </c>
      <c r="CI704" t="s">
        <v>48</v>
      </c>
      <c r="CJ704" s="8">
        <v>43926</v>
      </c>
      <c r="CK704">
        <v>5</v>
      </c>
      <c r="CM704">
        <v>0</v>
      </c>
    </row>
    <row r="705" spans="1:206" ht="19.5">
      <c r="CH705">
        <v>59</v>
      </c>
      <c r="CI705" t="s">
        <v>48</v>
      </c>
      <c r="CJ705" s="8">
        <v>43927</v>
      </c>
      <c r="CK705">
        <v>6</v>
      </c>
      <c r="CM705">
        <v>0</v>
      </c>
    </row>
    <row r="706" spans="1:206" ht="19.5">
      <c r="CH706">
        <v>59</v>
      </c>
      <c r="CI706" t="s">
        <v>48</v>
      </c>
      <c r="CJ706" s="8">
        <v>43928</v>
      </c>
      <c r="CK706">
        <v>8</v>
      </c>
      <c r="CM706">
        <v>0</v>
      </c>
    </row>
    <row r="707" spans="1:206" ht="19.5">
      <c r="CH707">
        <v>59</v>
      </c>
      <c r="CI707" t="s">
        <v>48</v>
      </c>
      <c r="CJ707" s="8">
        <v>43929</v>
      </c>
      <c r="CK707">
        <v>11</v>
      </c>
      <c r="CM707">
        <v>0</v>
      </c>
    </row>
    <row r="708" spans="1:206" ht="19.5">
      <c r="CH708">
        <v>59</v>
      </c>
      <c r="CI708" t="s">
        <v>48</v>
      </c>
      <c r="CJ708" s="8">
        <v>43930</v>
      </c>
      <c r="CK708">
        <v>13</v>
      </c>
      <c r="CM708">
        <v>0</v>
      </c>
    </row>
    <row r="709" spans="1:206" ht="19.5">
      <c r="CH709">
        <v>59</v>
      </c>
      <c r="CI709" t="s">
        <v>48</v>
      </c>
      <c r="CJ709" s="8">
        <v>43931</v>
      </c>
      <c r="CK709">
        <v>13</v>
      </c>
      <c r="CM709">
        <v>0</v>
      </c>
    </row>
    <row r="710" spans="1:206" ht="19.5">
      <c r="CH710">
        <v>59</v>
      </c>
      <c r="CI710" t="s">
        <v>48</v>
      </c>
      <c r="CJ710" s="8">
        <v>43932</v>
      </c>
      <c r="CK710">
        <v>17</v>
      </c>
      <c r="CM710">
        <v>0</v>
      </c>
    </row>
    <row r="711" spans="1:206" ht="19.5">
      <c r="CH711">
        <v>59</v>
      </c>
      <c r="CI711" t="s">
        <v>48</v>
      </c>
      <c r="CJ711" s="8">
        <v>43933</v>
      </c>
      <c r="CK711">
        <v>17</v>
      </c>
      <c r="CM711">
        <v>0</v>
      </c>
    </row>
    <row r="712" spans="1:206" ht="19.5">
      <c r="CH712">
        <v>59</v>
      </c>
      <c r="CI712" t="s">
        <v>48</v>
      </c>
      <c r="CJ712" s="8">
        <v>43934</v>
      </c>
      <c r="CK712">
        <v>21</v>
      </c>
      <c r="CM712">
        <v>0</v>
      </c>
    </row>
    <row r="713" spans="1:206" ht="19.5">
      <c r="CH713">
        <v>59</v>
      </c>
      <c r="CI713" t="s">
        <v>48</v>
      </c>
      <c r="CJ713" s="8">
        <v>43935</v>
      </c>
      <c r="CK713">
        <v>21</v>
      </c>
      <c r="CM713">
        <v>0</v>
      </c>
    </row>
    <row r="714" spans="1:206" ht="19.5">
      <c r="CH714">
        <v>59</v>
      </c>
      <c r="CI714" t="s">
        <v>48</v>
      </c>
      <c r="CJ714" s="8">
        <v>43936</v>
      </c>
      <c r="CK714">
        <v>20</v>
      </c>
      <c r="CM714">
        <v>0</v>
      </c>
    </row>
    <row r="715" spans="1:206" ht="19.5">
      <c r="CH715">
        <v>59</v>
      </c>
      <c r="CI715" t="s">
        <v>48</v>
      </c>
      <c r="CJ715" s="8">
        <v>43937</v>
      </c>
      <c r="CK715">
        <v>21</v>
      </c>
      <c r="CL715">
        <v>54</v>
      </c>
      <c r="CM715">
        <v>0</v>
      </c>
    </row>
    <row r="716" spans="1:206" ht="19.5">
      <c r="CH716">
        <v>59</v>
      </c>
      <c r="CI716" t="s">
        <v>48</v>
      </c>
      <c r="CJ716" s="8">
        <v>43938</v>
      </c>
      <c r="CK716">
        <v>28</v>
      </c>
      <c r="CL716">
        <v>72</v>
      </c>
      <c r="CM716">
        <v>0</v>
      </c>
    </row>
    <row r="717" spans="1:206" ht="19.5">
      <c r="CH717">
        <v>59</v>
      </c>
      <c r="CI717" t="s">
        <v>48</v>
      </c>
      <c r="CJ717" s="8">
        <v>43939</v>
      </c>
      <c r="CK717">
        <v>29</v>
      </c>
      <c r="CL717">
        <v>75</v>
      </c>
      <c r="CM717">
        <v>0</v>
      </c>
    </row>
    <row r="718" spans="1:206" ht="19.5">
      <c r="CH718">
        <v>59</v>
      </c>
      <c r="CI718" t="s">
        <v>48</v>
      </c>
      <c r="CJ718" s="8">
        <v>43940</v>
      </c>
      <c r="CK718">
        <v>30</v>
      </c>
      <c r="CL718">
        <v>78</v>
      </c>
      <c r="CM718">
        <v>0</v>
      </c>
    </row>
    <row r="719" spans="1:206" ht="19.5">
      <c r="CH719">
        <v>59</v>
      </c>
      <c r="CI719" t="s">
        <v>48</v>
      </c>
      <c r="CJ719" s="8">
        <v>43941</v>
      </c>
      <c r="CK719">
        <v>36</v>
      </c>
      <c r="CL719">
        <v>93</v>
      </c>
      <c r="CM719">
        <v>0</v>
      </c>
    </row>
    <row r="720" spans="1:206" ht="19.5">
      <c r="CH720">
        <v>59</v>
      </c>
      <c r="CI720" t="s">
        <v>48</v>
      </c>
      <c r="CJ720" s="8">
        <v>43942</v>
      </c>
      <c r="CK720">
        <v>35</v>
      </c>
      <c r="CL720">
        <v>90</v>
      </c>
      <c r="CM720">
        <v>0</v>
      </c>
    </row>
    <row r="721" spans="1:206" ht="19.5">
      <c r="CH721">
        <v>59</v>
      </c>
      <c r="CI721" t="s">
        <v>48</v>
      </c>
      <c r="CJ721" s="8">
        <v>43943</v>
      </c>
      <c r="CK721">
        <v>36</v>
      </c>
      <c r="CL721">
        <v>93</v>
      </c>
      <c r="CM721">
        <v>1</v>
      </c>
    </row>
    <row r="722" spans="1:206" ht="19.5">
      <c r="CH722">
        <v>59</v>
      </c>
      <c r="CI722" t="s">
        <v>48</v>
      </c>
      <c r="CJ722" s="8">
        <v>43944</v>
      </c>
      <c r="CK722">
        <v>40</v>
      </c>
      <c r="CL722">
        <v>103</v>
      </c>
      <c r="CM722">
        <v>1</v>
      </c>
    </row>
    <row r="723" spans="1:206" ht="19.5">
      <c r="CH723">
        <v>59</v>
      </c>
      <c r="CI723" t="s">
        <v>48</v>
      </c>
      <c r="CJ723" s="8">
        <v>43945</v>
      </c>
      <c r="CK723">
        <v>46</v>
      </c>
      <c r="CL723">
        <v>119</v>
      </c>
      <c r="CM723">
        <v>4</v>
      </c>
    </row>
    <row r="724" spans="1:206" ht="19.5">
      <c r="CH724">
        <v>59</v>
      </c>
      <c r="CI724" t="s">
        <v>48</v>
      </c>
      <c r="CJ724" s="8">
        <v>43946</v>
      </c>
      <c r="CK724">
        <v>48</v>
      </c>
      <c r="CL724">
        <v>124</v>
      </c>
      <c r="CM724">
        <v>7</v>
      </c>
    </row>
    <row r="725" spans="1:206" ht="19.5">
      <c r="CH725">
        <v>59</v>
      </c>
      <c r="CI725" t="s">
        <v>48</v>
      </c>
      <c r="CJ725" s="8">
        <v>43947</v>
      </c>
      <c r="CK725">
        <v>63</v>
      </c>
      <c r="CL725">
        <v>163</v>
      </c>
      <c r="CM725">
        <v>7</v>
      </c>
    </row>
    <row r="726" spans="1:206" ht="19.5">
      <c r="CH726">
        <v>59</v>
      </c>
      <c r="CI726" t="s">
        <v>48</v>
      </c>
      <c r="CJ726" s="8">
        <v>43948</v>
      </c>
      <c r="CK726">
        <v>66</v>
      </c>
      <c r="CL726">
        <v>171</v>
      </c>
      <c r="CM726">
        <v>8</v>
      </c>
    </row>
    <row r="727" spans="1:206" ht="19.5">
      <c r="CH727">
        <v>59</v>
      </c>
      <c r="CI727" t="s">
        <v>48</v>
      </c>
      <c r="CJ727" s="8">
        <v>43949</v>
      </c>
      <c r="CK727">
        <v>65</v>
      </c>
      <c r="CL727">
        <v>168</v>
      </c>
      <c r="CM727">
        <v>8</v>
      </c>
    </row>
    <row r="728" spans="1:206" ht="19.5">
      <c r="CH728">
        <v>59</v>
      </c>
      <c r="CI728" t="s">
        <v>48</v>
      </c>
      <c r="CJ728" s="8">
        <v>43950</v>
      </c>
      <c r="CK728">
        <v>66</v>
      </c>
      <c r="CL728">
        <v>171</v>
      </c>
      <c r="CM728">
        <v>8</v>
      </c>
    </row>
    <row r="729" spans="1:206" ht="19.5">
      <c r="CH729">
        <v>59</v>
      </c>
      <c r="CI729" t="s">
        <v>48</v>
      </c>
      <c r="CJ729" s="8">
        <v>43951</v>
      </c>
      <c r="CK729">
        <v>66</v>
      </c>
      <c r="CL729">
        <v>171</v>
      </c>
      <c r="CM729">
        <v>8</v>
      </c>
    </row>
    <row r="730" spans="1:206" ht="19.5">
      <c r="CH730">
        <v>64</v>
      </c>
      <c r="CI730" t="s">
        <v>49</v>
      </c>
      <c r="CJ730" s="8">
        <v>43914</v>
      </c>
      <c r="CK730">
        <v>14</v>
      </c>
      <c r="CM730">
        <v>0</v>
      </c>
    </row>
    <row r="731" spans="1:206" ht="19.5">
      <c r="CH731">
        <v>64</v>
      </c>
      <c r="CI731" t="s">
        <v>49</v>
      </c>
      <c r="CJ731" s="8">
        <v>43915</v>
      </c>
      <c r="CK731">
        <v>20</v>
      </c>
      <c r="CM731">
        <v>0</v>
      </c>
    </row>
    <row r="732" spans="1:206" ht="19.5">
      <c r="CH732">
        <v>64</v>
      </c>
      <c r="CI732" t="s">
        <v>49</v>
      </c>
      <c r="CJ732" s="8">
        <v>43916</v>
      </c>
      <c r="CK732">
        <v>21</v>
      </c>
      <c r="CM732">
        <v>0</v>
      </c>
    </row>
    <row r="733" spans="1:206" ht="19.5">
      <c r="CH733">
        <v>64</v>
      </c>
      <c r="CI733" t="s">
        <v>49</v>
      </c>
      <c r="CJ733" s="8">
        <v>43917</v>
      </c>
      <c r="CK733">
        <v>21</v>
      </c>
      <c r="CM733">
        <v>0</v>
      </c>
    </row>
    <row r="734" spans="1:206" ht="19.5">
      <c r="CH734">
        <v>64</v>
      </c>
      <c r="CI734" t="s">
        <v>49</v>
      </c>
      <c r="CJ734" s="8">
        <v>43918</v>
      </c>
      <c r="CK734">
        <v>28</v>
      </c>
      <c r="CM734">
        <v>0</v>
      </c>
    </row>
    <row r="735" spans="1:206" ht="19.5">
      <c r="CH735">
        <v>64</v>
      </c>
      <c r="CI735" t="s">
        <v>49</v>
      </c>
      <c r="CJ735" s="8">
        <v>43919</v>
      </c>
      <c r="CK735">
        <v>39</v>
      </c>
      <c r="CM735">
        <v>0</v>
      </c>
    </row>
    <row r="736" spans="1:206" ht="19.5">
      <c r="CH736">
        <v>64</v>
      </c>
      <c r="CI736" t="s">
        <v>49</v>
      </c>
      <c r="CJ736" s="8">
        <v>43920</v>
      </c>
      <c r="CK736">
        <v>49</v>
      </c>
      <c r="CM736">
        <v>0</v>
      </c>
    </row>
    <row r="737" spans="1:206" ht="19.5">
      <c r="CH737">
        <v>64</v>
      </c>
      <c r="CI737" t="s">
        <v>49</v>
      </c>
      <c r="CJ737" s="8">
        <v>43921</v>
      </c>
      <c r="CK737">
        <v>65</v>
      </c>
      <c r="CM737">
        <v>3</v>
      </c>
    </row>
    <row r="738" spans="1:206" ht="19.5">
      <c r="CH738">
        <v>64</v>
      </c>
      <c r="CI738" t="s">
        <v>49</v>
      </c>
      <c r="CJ738" s="8">
        <v>43922</v>
      </c>
      <c r="CK738">
        <v>74</v>
      </c>
      <c r="CM738">
        <v>4</v>
      </c>
    </row>
    <row r="739" spans="1:206" ht="19.5">
      <c r="CH739">
        <v>64</v>
      </c>
      <c r="CI739" t="s">
        <v>49</v>
      </c>
      <c r="CJ739" s="8">
        <v>43923</v>
      </c>
      <c r="CK739">
        <v>90</v>
      </c>
      <c r="CM739">
        <v>4</v>
      </c>
    </row>
    <row r="740" spans="1:206" ht="19.5">
      <c r="CH740">
        <v>64</v>
      </c>
      <c r="CI740" t="s">
        <v>49</v>
      </c>
      <c r="CJ740" s="8">
        <v>43924</v>
      </c>
      <c r="CK740">
        <v>125</v>
      </c>
      <c r="CM740">
        <v>3</v>
      </c>
    </row>
    <row r="741" spans="1:206" ht="19.5">
      <c r="CH741">
        <v>64</v>
      </c>
      <c r="CI741" t="s">
        <v>49</v>
      </c>
      <c r="CJ741" s="8">
        <v>43925</v>
      </c>
      <c r="CK741">
        <v>125</v>
      </c>
      <c r="CM741">
        <v>6</v>
      </c>
    </row>
    <row r="742" spans="1:206" ht="19.5">
      <c r="CH742">
        <v>64</v>
      </c>
      <c r="CI742" t="s">
        <v>49</v>
      </c>
      <c r="CJ742" s="8">
        <v>43926</v>
      </c>
      <c r="CK742">
        <v>125</v>
      </c>
      <c r="CM742">
        <v>7</v>
      </c>
    </row>
    <row r="743" spans="1:206" ht="19.5">
      <c r="CH743">
        <v>64</v>
      </c>
      <c r="CI743" t="s">
        <v>49</v>
      </c>
      <c r="CJ743" s="8">
        <v>43927</v>
      </c>
      <c r="CK743">
        <v>147</v>
      </c>
      <c r="CM743">
        <v>7</v>
      </c>
    </row>
    <row r="744" spans="1:206" ht="19.5">
      <c r="CH744">
        <v>64</v>
      </c>
      <c r="CI744" t="s">
        <v>49</v>
      </c>
      <c r="CJ744" s="8">
        <v>43928</v>
      </c>
      <c r="CK744">
        <v>165</v>
      </c>
      <c r="CM744">
        <v>8</v>
      </c>
    </row>
    <row r="745" spans="1:206" ht="19.5">
      <c r="CH745">
        <v>64</v>
      </c>
      <c r="CI745" t="s">
        <v>49</v>
      </c>
      <c r="CJ745" s="8">
        <v>43929</v>
      </c>
      <c r="CK745">
        <v>227</v>
      </c>
      <c r="CM745">
        <v>13</v>
      </c>
    </row>
    <row r="746" spans="1:206" ht="19.5">
      <c r="CH746">
        <v>64</v>
      </c>
      <c r="CI746" t="s">
        <v>49</v>
      </c>
      <c r="CJ746" s="8">
        <v>43930</v>
      </c>
      <c r="CK746">
        <v>270</v>
      </c>
      <c r="CM746">
        <v>14</v>
      </c>
    </row>
    <row r="747" spans="1:206" ht="19.5">
      <c r="CH747">
        <v>64</v>
      </c>
      <c r="CI747" t="s">
        <v>49</v>
      </c>
      <c r="CJ747" s="8">
        <v>43931</v>
      </c>
      <c r="CK747">
        <v>300</v>
      </c>
      <c r="CM747">
        <v>17</v>
      </c>
    </row>
    <row r="748" spans="1:206" ht="19.5">
      <c r="CH748">
        <v>64</v>
      </c>
      <c r="CI748" t="s">
        <v>49</v>
      </c>
      <c r="CJ748" s="8">
        <v>43932</v>
      </c>
      <c r="CK748">
        <v>357</v>
      </c>
      <c r="CM748">
        <v>18</v>
      </c>
    </row>
    <row r="749" spans="1:206" ht="19.5">
      <c r="CH749">
        <v>64</v>
      </c>
      <c r="CI749" t="s">
        <v>49</v>
      </c>
      <c r="CJ749" s="8">
        <v>43933</v>
      </c>
      <c r="CK749">
        <v>366</v>
      </c>
      <c r="CM749">
        <v>19</v>
      </c>
    </row>
    <row r="750" spans="1:206" ht="19.5">
      <c r="CH750">
        <v>64</v>
      </c>
      <c r="CI750" t="s">
        <v>49</v>
      </c>
      <c r="CJ750" s="8">
        <v>43934</v>
      </c>
      <c r="CK750">
        <v>432</v>
      </c>
      <c r="CM750">
        <v>21</v>
      </c>
    </row>
    <row r="751" spans="1:206" ht="19.5">
      <c r="CH751">
        <v>64</v>
      </c>
      <c r="CI751" t="s">
        <v>49</v>
      </c>
      <c r="CJ751" s="8">
        <v>43935</v>
      </c>
      <c r="CK751">
        <v>458</v>
      </c>
      <c r="CM751">
        <v>26</v>
      </c>
    </row>
    <row r="752" spans="1:206" ht="19.5">
      <c r="CH752">
        <v>64</v>
      </c>
      <c r="CI752" t="s">
        <v>49</v>
      </c>
      <c r="CJ752" s="8">
        <v>43936</v>
      </c>
      <c r="CK752">
        <v>492</v>
      </c>
      <c r="CM752">
        <v>31</v>
      </c>
    </row>
    <row r="753" spans="1:206" ht="19.5">
      <c r="CH753">
        <v>64</v>
      </c>
      <c r="CI753" t="s">
        <v>49</v>
      </c>
      <c r="CJ753" s="8">
        <v>43937</v>
      </c>
      <c r="CK753">
        <v>537</v>
      </c>
      <c r="CL753">
        <v>438</v>
      </c>
      <c r="CM753">
        <v>36</v>
      </c>
    </row>
    <row r="754" spans="1:206" ht="19.5">
      <c r="CH754">
        <v>64</v>
      </c>
      <c r="CI754" t="s">
        <v>49</v>
      </c>
      <c r="CJ754" s="8">
        <v>43938</v>
      </c>
      <c r="CK754">
        <v>567</v>
      </c>
      <c r="CL754">
        <v>463</v>
      </c>
      <c r="CM754">
        <v>42</v>
      </c>
    </row>
    <row r="755" spans="1:206" ht="19.5">
      <c r="CH755">
        <v>64</v>
      </c>
      <c r="CI755" t="s">
        <v>49</v>
      </c>
      <c r="CJ755" s="8">
        <v>43939</v>
      </c>
      <c r="CK755">
        <v>591</v>
      </c>
      <c r="CL755">
        <v>482</v>
      </c>
      <c r="CM755">
        <v>46</v>
      </c>
    </row>
    <row r="756" spans="1:206" ht="19.5">
      <c r="CH756">
        <v>64</v>
      </c>
      <c r="CI756" t="s">
        <v>49</v>
      </c>
      <c r="CJ756" s="8">
        <v>43940</v>
      </c>
      <c r="CK756">
        <v>616</v>
      </c>
      <c r="CL756">
        <v>503</v>
      </c>
      <c r="CM756">
        <v>46</v>
      </c>
    </row>
    <row r="757" spans="1:206" ht="19.5">
      <c r="CH757">
        <v>64</v>
      </c>
      <c r="CI757" t="s">
        <v>49</v>
      </c>
      <c r="CJ757" s="8">
        <v>43941</v>
      </c>
      <c r="CK757">
        <v>704</v>
      </c>
      <c r="CL757">
        <v>574</v>
      </c>
      <c r="CM757">
        <v>55</v>
      </c>
    </row>
    <row r="758" spans="1:206" ht="19.5">
      <c r="CH758">
        <v>64</v>
      </c>
      <c r="CI758" t="s">
        <v>49</v>
      </c>
      <c r="CJ758" s="8">
        <v>43942</v>
      </c>
      <c r="CK758">
        <v>724</v>
      </c>
      <c r="CL758">
        <v>591</v>
      </c>
      <c r="CM758">
        <v>56</v>
      </c>
    </row>
    <row r="759" spans="1:206" ht="19.5">
      <c r="CH759">
        <v>64</v>
      </c>
      <c r="CI759" t="s">
        <v>49</v>
      </c>
      <c r="CJ759" s="8">
        <v>43943</v>
      </c>
      <c r="CK759">
        <v>751</v>
      </c>
      <c r="CL759">
        <v>613</v>
      </c>
      <c r="CM759">
        <v>61</v>
      </c>
    </row>
    <row r="760" spans="1:206" ht="19.5">
      <c r="CH760">
        <v>64</v>
      </c>
      <c r="CI760" t="s">
        <v>49</v>
      </c>
      <c r="CJ760" s="8">
        <v>43944</v>
      </c>
      <c r="CK760">
        <v>783</v>
      </c>
      <c r="CL760">
        <v>639</v>
      </c>
      <c r="CM760">
        <v>68</v>
      </c>
    </row>
    <row r="761" spans="1:206" ht="19.5">
      <c r="CH761">
        <v>64</v>
      </c>
      <c r="CI761" t="s">
        <v>49</v>
      </c>
      <c r="CJ761" s="8">
        <v>43945</v>
      </c>
      <c r="CK761">
        <v>821</v>
      </c>
      <c r="CL761">
        <v>670</v>
      </c>
      <c r="CM761">
        <v>72</v>
      </c>
    </row>
    <row r="762" spans="1:206" ht="19.5">
      <c r="CH762">
        <v>64</v>
      </c>
      <c r="CI762" t="s">
        <v>49</v>
      </c>
      <c r="CJ762" s="8">
        <v>43946</v>
      </c>
      <c r="CK762">
        <v>848</v>
      </c>
      <c r="CL762">
        <v>692</v>
      </c>
      <c r="CM762">
        <v>74</v>
      </c>
    </row>
    <row r="763" spans="1:206" ht="19.5">
      <c r="CH763">
        <v>64</v>
      </c>
      <c r="CI763" t="s">
        <v>49</v>
      </c>
      <c r="CJ763" s="8">
        <v>43947</v>
      </c>
      <c r="CK763">
        <v>898</v>
      </c>
      <c r="CL763">
        <v>733</v>
      </c>
      <c r="CM763">
        <v>75</v>
      </c>
    </row>
    <row r="764" spans="1:206" ht="19.5">
      <c r="CH764">
        <v>64</v>
      </c>
      <c r="CI764" t="s">
        <v>49</v>
      </c>
      <c r="CJ764" s="8">
        <v>43948</v>
      </c>
      <c r="CK764">
        <v>924</v>
      </c>
      <c r="CL764">
        <v>754</v>
      </c>
      <c r="CM764">
        <v>77</v>
      </c>
    </row>
    <row r="765" spans="1:206" ht="19.5">
      <c r="CH765">
        <v>64</v>
      </c>
      <c r="CI765" t="s">
        <v>49</v>
      </c>
      <c r="CJ765" s="8">
        <v>43949</v>
      </c>
      <c r="CK765">
        <v>943</v>
      </c>
      <c r="CL765">
        <v>769</v>
      </c>
      <c r="CM765">
        <v>79</v>
      </c>
    </row>
    <row r="766" spans="1:206" ht="19.5">
      <c r="CH766">
        <v>64</v>
      </c>
      <c r="CI766" t="s">
        <v>49</v>
      </c>
      <c r="CJ766" s="8">
        <v>43950</v>
      </c>
      <c r="CK766">
        <v>991</v>
      </c>
      <c r="CL766">
        <v>808</v>
      </c>
      <c r="CM766">
        <v>83</v>
      </c>
    </row>
    <row r="767" spans="1:206" ht="19.5">
      <c r="CH767">
        <v>64</v>
      </c>
      <c r="CI767" t="s">
        <v>49</v>
      </c>
      <c r="CJ767" s="8">
        <v>43951</v>
      </c>
      <c r="CK767">
        <v>1025</v>
      </c>
      <c r="CL767">
        <v>836</v>
      </c>
      <c r="CM767">
        <v>86</v>
      </c>
    </row>
    <row r="768" spans="1:206" ht="19.5">
      <c r="CH768">
        <v>66</v>
      </c>
      <c r="CI768" t="s">
        <v>50</v>
      </c>
      <c r="CJ768" s="8">
        <v>43914</v>
      </c>
      <c r="CK768">
        <v>2</v>
      </c>
      <c r="CM768">
        <v>0</v>
      </c>
    </row>
    <row r="769" spans="1:206" ht="19.5">
      <c r="CH769">
        <v>66</v>
      </c>
      <c r="CI769" t="s">
        <v>50</v>
      </c>
      <c r="CJ769" s="8">
        <v>43915</v>
      </c>
      <c r="CK769">
        <v>4</v>
      </c>
      <c r="CM769">
        <v>0</v>
      </c>
    </row>
    <row r="770" spans="1:206" ht="19.5">
      <c r="CH770">
        <v>66</v>
      </c>
      <c r="CI770" t="s">
        <v>50</v>
      </c>
      <c r="CJ770" s="8">
        <v>43916</v>
      </c>
      <c r="CK770">
        <v>4</v>
      </c>
      <c r="CM770">
        <v>0</v>
      </c>
    </row>
    <row r="771" spans="1:206" ht="19.5">
      <c r="CH771">
        <v>66</v>
      </c>
      <c r="CI771" t="s">
        <v>50</v>
      </c>
      <c r="CJ771" s="8">
        <v>43917</v>
      </c>
      <c r="CK771">
        <v>4</v>
      </c>
      <c r="CM771">
        <v>0</v>
      </c>
    </row>
    <row r="772" spans="1:206" ht="19.5">
      <c r="CH772">
        <v>66</v>
      </c>
      <c r="CI772" t="s">
        <v>50</v>
      </c>
      <c r="CJ772" s="8">
        <v>43918</v>
      </c>
      <c r="CK772">
        <v>4</v>
      </c>
      <c r="CM772">
        <v>0</v>
      </c>
    </row>
    <row r="773" spans="1:206" ht="19.5">
      <c r="CH773">
        <v>66</v>
      </c>
      <c r="CI773" t="s">
        <v>50</v>
      </c>
      <c r="CJ773" s="8">
        <v>43919</v>
      </c>
      <c r="CK773">
        <v>4</v>
      </c>
      <c r="CM773">
        <v>0</v>
      </c>
    </row>
    <row r="774" spans="1:206" ht="19.5">
      <c r="CH774">
        <v>66</v>
      </c>
      <c r="CI774" t="s">
        <v>50</v>
      </c>
      <c r="CJ774" s="8">
        <v>43920</v>
      </c>
      <c r="CK774">
        <v>4</v>
      </c>
      <c r="CM774">
        <v>0</v>
      </c>
    </row>
    <row r="775" spans="1:206" ht="19.5">
      <c r="CH775">
        <v>66</v>
      </c>
      <c r="CI775" t="s">
        <v>50</v>
      </c>
      <c r="CJ775" s="8">
        <v>43921</v>
      </c>
      <c r="CK775">
        <v>4</v>
      </c>
      <c r="CM775">
        <v>0</v>
      </c>
    </row>
    <row r="776" spans="1:206" ht="19.5">
      <c r="CH776">
        <v>66</v>
      </c>
      <c r="CI776" t="s">
        <v>50</v>
      </c>
      <c r="CJ776" s="8">
        <v>43922</v>
      </c>
      <c r="CK776">
        <v>4</v>
      </c>
      <c r="CM776">
        <v>0</v>
      </c>
    </row>
    <row r="777" spans="1:206" ht="19.5">
      <c r="CH777">
        <v>66</v>
      </c>
      <c r="CI777" t="s">
        <v>50</v>
      </c>
      <c r="CJ777" s="8">
        <v>43923</v>
      </c>
      <c r="CK777">
        <v>4</v>
      </c>
      <c r="CM777">
        <v>0</v>
      </c>
    </row>
    <row r="778" spans="1:206" ht="19.5">
      <c r="CH778">
        <v>66</v>
      </c>
      <c r="CI778" t="s">
        <v>50</v>
      </c>
      <c r="CJ778" s="8">
        <v>43924</v>
      </c>
      <c r="CK778">
        <v>5</v>
      </c>
      <c r="CM778">
        <v>0</v>
      </c>
    </row>
    <row r="779" spans="1:206" ht="19.5">
      <c r="CH779">
        <v>66</v>
      </c>
      <c r="CI779" t="s">
        <v>50</v>
      </c>
      <c r="CJ779" s="8">
        <v>43925</v>
      </c>
      <c r="CK779">
        <v>5</v>
      </c>
      <c r="CM779">
        <v>0</v>
      </c>
    </row>
    <row r="780" spans="1:206" ht="19.5">
      <c r="CH780">
        <v>66</v>
      </c>
      <c r="CI780" t="s">
        <v>50</v>
      </c>
      <c r="CJ780" s="8">
        <v>43926</v>
      </c>
      <c r="CK780">
        <v>5</v>
      </c>
      <c r="CM780">
        <v>0</v>
      </c>
    </row>
    <row r="781" spans="1:206" ht="19.5">
      <c r="CH781">
        <v>66</v>
      </c>
      <c r="CI781" t="s">
        <v>50</v>
      </c>
      <c r="CJ781" s="8">
        <v>43927</v>
      </c>
      <c r="CK781">
        <v>6</v>
      </c>
      <c r="CM781">
        <v>0</v>
      </c>
    </row>
    <row r="782" spans="1:206" ht="19.5">
      <c r="CH782">
        <v>66</v>
      </c>
      <c r="CI782" t="s">
        <v>50</v>
      </c>
      <c r="CJ782" s="8">
        <v>43928</v>
      </c>
      <c r="CK782">
        <v>6</v>
      </c>
      <c r="CM782">
        <v>0</v>
      </c>
    </row>
    <row r="783" spans="1:206" ht="19.5">
      <c r="CH783">
        <v>66</v>
      </c>
      <c r="CI783" t="s">
        <v>50</v>
      </c>
      <c r="CJ783" s="8">
        <v>43929</v>
      </c>
      <c r="CK783">
        <v>7</v>
      </c>
      <c r="CM783">
        <v>0</v>
      </c>
    </row>
    <row r="784" spans="1:206" ht="19.5">
      <c r="CH784">
        <v>66</v>
      </c>
      <c r="CI784" t="s">
        <v>50</v>
      </c>
      <c r="CJ784" s="8">
        <v>43930</v>
      </c>
      <c r="CK784">
        <v>7</v>
      </c>
      <c r="CM784">
        <v>0</v>
      </c>
    </row>
    <row r="785" spans="1:206" ht="19.5">
      <c r="CH785">
        <v>66</v>
      </c>
      <c r="CI785" t="s">
        <v>50</v>
      </c>
      <c r="CJ785" s="8">
        <v>43931</v>
      </c>
      <c r="CK785">
        <v>7</v>
      </c>
      <c r="CM785">
        <v>0</v>
      </c>
    </row>
    <row r="786" spans="1:206" ht="19.5">
      <c r="CH786">
        <v>66</v>
      </c>
      <c r="CI786" t="s">
        <v>50</v>
      </c>
      <c r="CJ786" s="8">
        <v>43932</v>
      </c>
      <c r="CK786">
        <v>9</v>
      </c>
      <c r="CM786">
        <v>0</v>
      </c>
    </row>
    <row r="787" spans="1:206" ht="19.5">
      <c r="CH787">
        <v>66</v>
      </c>
      <c r="CI787" t="s">
        <v>50</v>
      </c>
      <c r="CJ787" s="8">
        <v>43933</v>
      </c>
      <c r="CK787">
        <v>9</v>
      </c>
      <c r="CM787">
        <v>0</v>
      </c>
    </row>
    <row r="788" spans="1:206" ht="19.5">
      <c r="CH788">
        <v>66</v>
      </c>
      <c r="CI788" t="s">
        <v>50</v>
      </c>
      <c r="CJ788" s="8">
        <v>43934</v>
      </c>
      <c r="CK788">
        <v>10</v>
      </c>
      <c r="CM788">
        <v>0</v>
      </c>
    </row>
    <row r="789" spans="1:206" ht="19.5">
      <c r="CH789">
        <v>66</v>
      </c>
      <c r="CI789" t="s">
        <v>50</v>
      </c>
      <c r="CJ789" s="8">
        <v>43935</v>
      </c>
      <c r="CK789">
        <v>10</v>
      </c>
      <c r="CM789">
        <v>2</v>
      </c>
    </row>
    <row r="790" spans="1:206" ht="19.5">
      <c r="CH790">
        <v>66</v>
      </c>
      <c r="CI790" t="s">
        <v>50</v>
      </c>
      <c r="CJ790" s="8">
        <v>43936</v>
      </c>
      <c r="CK790">
        <v>11</v>
      </c>
      <c r="CM790">
        <v>2</v>
      </c>
    </row>
    <row r="791" spans="1:206" ht="19.5">
      <c r="CH791">
        <v>66</v>
      </c>
      <c r="CI791" t="s">
        <v>50</v>
      </c>
      <c r="CJ791" s="8">
        <v>43937</v>
      </c>
      <c r="CK791">
        <v>13</v>
      </c>
      <c r="CL791">
        <v>239</v>
      </c>
      <c r="CM791">
        <v>2</v>
      </c>
    </row>
    <row r="792" spans="1:206" ht="19.5">
      <c r="CH792">
        <v>66</v>
      </c>
      <c r="CI792" t="s">
        <v>50</v>
      </c>
      <c r="CJ792" s="8">
        <v>43938</v>
      </c>
      <c r="CK792">
        <v>14</v>
      </c>
      <c r="CL792">
        <v>258</v>
      </c>
      <c r="CM792">
        <v>2</v>
      </c>
    </row>
    <row r="793" spans="1:206" ht="19.5">
      <c r="CH793">
        <v>66</v>
      </c>
      <c r="CI793" t="s">
        <v>50</v>
      </c>
      <c r="CJ793" s="8">
        <v>43939</v>
      </c>
      <c r="CK793">
        <v>15</v>
      </c>
      <c r="CL793">
        <v>276</v>
      </c>
      <c r="CM793">
        <v>2</v>
      </c>
    </row>
    <row r="794" spans="1:206" ht="19.5">
      <c r="CH794">
        <v>66</v>
      </c>
      <c r="CI794" t="s">
        <v>50</v>
      </c>
      <c r="CJ794" s="8">
        <v>43940</v>
      </c>
      <c r="CK794">
        <v>14</v>
      </c>
      <c r="CL794">
        <v>258</v>
      </c>
      <c r="CM794">
        <v>2</v>
      </c>
    </row>
    <row r="795" spans="1:206" ht="19.5">
      <c r="CH795">
        <v>66</v>
      </c>
      <c r="CI795" t="s">
        <v>50</v>
      </c>
      <c r="CJ795" s="8">
        <v>43941</v>
      </c>
      <c r="CK795">
        <v>18</v>
      </c>
      <c r="CL795">
        <v>331</v>
      </c>
      <c r="CM795">
        <v>2</v>
      </c>
    </row>
    <row r="796" spans="1:206" ht="19.5">
      <c r="CH796">
        <v>66</v>
      </c>
      <c r="CI796" t="s">
        <v>50</v>
      </c>
      <c r="CJ796" s="8">
        <v>43942</v>
      </c>
      <c r="CK796">
        <v>18</v>
      </c>
      <c r="CL796">
        <v>331</v>
      </c>
      <c r="CM796">
        <v>2</v>
      </c>
    </row>
    <row r="797" spans="1:206" ht="19.5">
      <c r="CH797">
        <v>66</v>
      </c>
      <c r="CI797" t="s">
        <v>50</v>
      </c>
      <c r="CJ797" s="8">
        <v>43943</v>
      </c>
      <c r="CK797">
        <v>19</v>
      </c>
      <c r="CL797">
        <v>350</v>
      </c>
      <c r="CM797">
        <v>2</v>
      </c>
    </row>
    <row r="798" spans="1:206" ht="19.5">
      <c r="CH798">
        <v>66</v>
      </c>
      <c r="CI798" t="s">
        <v>50</v>
      </c>
      <c r="CJ798" s="8">
        <v>43944</v>
      </c>
      <c r="CK798">
        <v>19</v>
      </c>
      <c r="CL798">
        <v>350</v>
      </c>
      <c r="CM798">
        <v>2</v>
      </c>
    </row>
    <row r="799" spans="1:206" ht="19.5">
      <c r="CH799">
        <v>66</v>
      </c>
      <c r="CI799" t="s">
        <v>50</v>
      </c>
      <c r="CJ799" s="8">
        <v>43945</v>
      </c>
      <c r="CK799">
        <v>20</v>
      </c>
      <c r="CL799">
        <v>368</v>
      </c>
      <c r="CM799">
        <v>2</v>
      </c>
    </row>
    <row r="800" spans="1:206" ht="19.5">
      <c r="CH800">
        <v>66</v>
      </c>
      <c r="CI800" t="s">
        <v>50</v>
      </c>
      <c r="CJ800" s="8">
        <v>43946</v>
      </c>
      <c r="CK800">
        <v>22</v>
      </c>
      <c r="CL800">
        <v>405</v>
      </c>
      <c r="CM800">
        <v>2</v>
      </c>
    </row>
    <row r="801" spans="1:206" ht="19.5">
      <c r="CH801">
        <v>66</v>
      </c>
      <c r="CI801" t="s">
        <v>50</v>
      </c>
      <c r="CJ801" s="8">
        <v>43947</v>
      </c>
      <c r="CK801">
        <v>22</v>
      </c>
      <c r="CL801">
        <v>405</v>
      </c>
      <c r="CM801">
        <v>2</v>
      </c>
    </row>
    <row r="802" spans="1:206" ht="19.5">
      <c r="CH802">
        <v>66</v>
      </c>
      <c r="CI802" t="s">
        <v>50</v>
      </c>
      <c r="CJ802" s="8">
        <v>43948</v>
      </c>
      <c r="CK802">
        <v>22</v>
      </c>
      <c r="CL802">
        <v>405</v>
      </c>
      <c r="CM802">
        <v>2</v>
      </c>
    </row>
    <row r="803" spans="1:206" ht="19.5">
      <c r="CH803">
        <v>66</v>
      </c>
      <c r="CI803" t="s">
        <v>50</v>
      </c>
      <c r="CJ803" s="8">
        <v>43949</v>
      </c>
      <c r="CK803">
        <v>22</v>
      </c>
      <c r="CL803">
        <v>405</v>
      </c>
      <c r="CM803">
        <v>2</v>
      </c>
    </row>
    <row r="804" spans="1:206" ht="19.5">
      <c r="CH804">
        <v>66</v>
      </c>
      <c r="CI804" t="s">
        <v>50</v>
      </c>
      <c r="CJ804" s="8">
        <v>43950</v>
      </c>
      <c r="CK804">
        <v>23</v>
      </c>
      <c r="CL804">
        <v>424</v>
      </c>
      <c r="CM804">
        <v>2</v>
      </c>
    </row>
    <row r="805" spans="1:206" ht="19.5">
      <c r="CH805">
        <v>66</v>
      </c>
      <c r="CI805" t="s">
        <v>50</v>
      </c>
      <c r="CJ805" s="8">
        <v>43951</v>
      </c>
      <c r="CK805">
        <v>26</v>
      </c>
      <c r="CL805">
        <v>479</v>
      </c>
      <c r="CM805">
        <v>2</v>
      </c>
    </row>
    <row r="806" spans="1:206" ht="19.5">
      <c r="CH806">
        <v>67</v>
      </c>
      <c r="CI806" t="s">
        <v>51</v>
      </c>
      <c r="CJ806" s="8">
        <v>43914</v>
      </c>
      <c r="CK806">
        <v>0</v>
      </c>
      <c r="CM806">
        <v>0</v>
      </c>
    </row>
    <row r="807" spans="1:206" ht="19.5">
      <c r="CH807">
        <v>67</v>
      </c>
      <c r="CI807" t="s">
        <v>51</v>
      </c>
      <c r="CJ807" s="8">
        <v>43915</v>
      </c>
      <c r="CK807">
        <v>0</v>
      </c>
      <c r="CM807">
        <v>0</v>
      </c>
    </row>
    <row r="808" spans="1:206" ht="19.5">
      <c r="CH808">
        <v>67</v>
      </c>
      <c r="CI808" t="s">
        <v>51</v>
      </c>
      <c r="CJ808" s="8">
        <v>43916</v>
      </c>
      <c r="CK808">
        <v>1</v>
      </c>
      <c r="CM808">
        <v>0</v>
      </c>
    </row>
    <row r="809" spans="1:206" ht="19.5">
      <c r="CH809">
        <v>67</v>
      </c>
      <c r="CI809" t="s">
        <v>51</v>
      </c>
      <c r="CJ809" s="8">
        <v>43917</v>
      </c>
      <c r="CK809">
        <v>1</v>
      </c>
      <c r="CM809">
        <v>0</v>
      </c>
    </row>
    <row r="810" spans="1:206" ht="19.5">
      <c r="CH810">
        <v>67</v>
      </c>
      <c r="CI810" t="s">
        <v>51</v>
      </c>
      <c r="CJ810" s="8">
        <v>43918</v>
      </c>
      <c r="CK810">
        <v>1</v>
      </c>
      <c r="CM810">
        <v>0</v>
      </c>
    </row>
    <row r="811" spans="1:206" ht="19.5">
      <c r="CH811">
        <v>67</v>
      </c>
      <c r="CI811" t="s">
        <v>51</v>
      </c>
      <c r="CJ811" s="8">
        <v>43919</v>
      </c>
      <c r="CK811">
        <v>1</v>
      </c>
      <c r="CM811">
        <v>0</v>
      </c>
    </row>
    <row r="812" spans="1:206" ht="19.5">
      <c r="CH812">
        <v>67</v>
      </c>
      <c r="CI812" t="s">
        <v>51</v>
      </c>
      <c r="CJ812" s="8">
        <v>43920</v>
      </c>
      <c r="CK812">
        <v>3</v>
      </c>
      <c r="CM812">
        <v>0</v>
      </c>
    </row>
    <row r="813" spans="1:206" ht="19.5">
      <c r="CH813">
        <v>67</v>
      </c>
      <c r="CI813" t="s">
        <v>51</v>
      </c>
      <c r="CJ813" s="8">
        <v>43921</v>
      </c>
      <c r="CK813">
        <v>3</v>
      </c>
      <c r="CM813">
        <v>0</v>
      </c>
    </row>
    <row r="814" spans="1:206" ht="19.5">
      <c r="CH814">
        <v>67</v>
      </c>
      <c r="CI814" t="s">
        <v>51</v>
      </c>
      <c r="CJ814" s="8">
        <v>43922</v>
      </c>
      <c r="CK814">
        <v>4</v>
      </c>
      <c r="CM814">
        <v>0</v>
      </c>
    </row>
    <row r="815" spans="1:206" ht="19.5">
      <c r="CH815">
        <v>67</v>
      </c>
      <c r="CI815" t="s">
        <v>51</v>
      </c>
      <c r="CJ815" s="8">
        <v>43923</v>
      </c>
      <c r="CK815">
        <v>4</v>
      </c>
      <c r="CM815">
        <v>0</v>
      </c>
    </row>
    <row r="816" spans="1:206" ht="19.5">
      <c r="CH816">
        <v>67</v>
      </c>
      <c r="CI816" t="s">
        <v>51</v>
      </c>
      <c r="CJ816" s="8">
        <v>43924</v>
      </c>
      <c r="CK816">
        <v>4</v>
      </c>
      <c r="CM816">
        <v>0</v>
      </c>
    </row>
    <row r="817" spans="1:206" ht="19.5">
      <c r="CH817">
        <v>67</v>
      </c>
      <c r="CI817" t="s">
        <v>51</v>
      </c>
      <c r="CJ817" s="8">
        <v>43925</v>
      </c>
      <c r="CK817">
        <v>4</v>
      </c>
      <c r="CM817">
        <v>0</v>
      </c>
    </row>
    <row r="818" spans="1:206" ht="19.5">
      <c r="CH818">
        <v>67</v>
      </c>
      <c r="CI818" t="s">
        <v>51</v>
      </c>
      <c r="CJ818" s="8">
        <v>43926</v>
      </c>
      <c r="CK818">
        <v>4</v>
      </c>
      <c r="CM818">
        <v>0</v>
      </c>
    </row>
    <row r="819" spans="1:206" ht="19.5">
      <c r="CH819">
        <v>67</v>
      </c>
      <c r="CI819" t="s">
        <v>51</v>
      </c>
      <c r="CJ819" s="8">
        <v>43927</v>
      </c>
      <c r="CK819">
        <v>5</v>
      </c>
      <c r="CM819">
        <v>0</v>
      </c>
    </row>
    <row r="820" spans="1:206" ht="19.5">
      <c r="CH820">
        <v>67</v>
      </c>
      <c r="CI820" t="s">
        <v>51</v>
      </c>
      <c r="CJ820" s="8">
        <v>43928</v>
      </c>
      <c r="CK820">
        <v>5</v>
      </c>
      <c r="CM820">
        <v>0</v>
      </c>
    </row>
    <row r="821" spans="1:206" ht="19.5">
      <c r="CH821">
        <v>67</v>
      </c>
      <c r="CI821" t="s">
        <v>51</v>
      </c>
      <c r="CJ821" s="8">
        <v>43929</v>
      </c>
      <c r="CK821">
        <v>6</v>
      </c>
      <c r="CM821">
        <v>0</v>
      </c>
    </row>
    <row r="822" spans="1:206" ht="19.5">
      <c r="CH822">
        <v>67</v>
      </c>
      <c r="CI822" t="s">
        <v>51</v>
      </c>
      <c r="CJ822" s="8">
        <v>43930</v>
      </c>
      <c r="CK822">
        <v>7</v>
      </c>
      <c r="CM822">
        <v>0</v>
      </c>
    </row>
    <row r="823" spans="1:206" ht="19.5">
      <c r="CH823">
        <v>67</v>
      </c>
      <c r="CI823" t="s">
        <v>51</v>
      </c>
      <c r="CJ823" s="8">
        <v>43931</v>
      </c>
      <c r="CK823">
        <v>7</v>
      </c>
      <c r="CM823">
        <v>0</v>
      </c>
    </row>
    <row r="824" spans="1:206" ht="19.5">
      <c r="CH824">
        <v>67</v>
      </c>
      <c r="CI824" t="s">
        <v>51</v>
      </c>
      <c r="CJ824" s="8">
        <v>43932</v>
      </c>
      <c r="CK824">
        <v>9</v>
      </c>
      <c r="CM824">
        <v>0</v>
      </c>
    </row>
    <row r="825" spans="1:206" ht="19.5">
      <c r="CH825">
        <v>67</v>
      </c>
      <c r="CI825" t="s">
        <v>51</v>
      </c>
      <c r="CJ825" s="8">
        <v>43933</v>
      </c>
      <c r="CK825">
        <v>9</v>
      </c>
      <c r="CM825">
        <v>0</v>
      </c>
    </row>
    <row r="826" spans="1:206" ht="19.5">
      <c r="CH826">
        <v>67</v>
      </c>
      <c r="CI826" t="s">
        <v>51</v>
      </c>
      <c r="CJ826" s="8">
        <v>43934</v>
      </c>
      <c r="CK826">
        <v>7</v>
      </c>
      <c r="CM826">
        <v>0</v>
      </c>
    </row>
    <row r="827" spans="1:206" ht="19.5">
      <c r="CH827">
        <v>67</v>
      </c>
      <c r="CI827" t="s">
        <v>51</v>
      </c>
      <c r="CJ827" s="8">
        <v>43935</v>
      </c>
      <c r="CK827">
        <v>7</v>
      </c>
      <c r="CM827">
        <v>0</v>
      </c>
    </row>
    <row r="828" spans="1:206" ht="19.5">
      <c r="CH828">
        <v>67</v>
      </c>
      <c r="CI828" t="s">
        <v>51</v>
      </c>
      <c r="CJ828" s="8">
        <v>43936</v>
      </c>
      <c r="CK828">
        <v>7</v>
      </c>
      <c r="CM828">
        <v>0</v>
      </c>
    </row>
    <row r="829" spans="1:206" ht="19.5">
      <c r="CH829">
        <v>67</v>
      </c>
      <c r="CI829" t="s">
        <v>51</v>
      </c>
      <c r="CJ829" s="8">
        <v>43937</v>
      </c>
      <c r="CK829">
        <v>8</v>
      </c>
      <c r="CL829">
        <v>84</v>
      </c>
      <c r="CM829">
        <v>0</v>
      </c>
    </row>
    <row r="830" spans="1:206" ht="19.5">
      <c r="CH830">
        <v>67</v>
      </c>
      <c r="CI830" t="s">
        <v>51</v>
      </c>
      <c r="CJ830" s="8">
        <v>43938</v>
      </c>
      <c r="CK830">
        <v>10</v>
      </c>
      <c r="CL830">
        <v>105</v>
      </c>
      <c r="CM830">
        <v>0</v>
      </c>
    </row>
    <row r="831" spans="1:206" ht="19.5">
      <c r="CH831">
        <v>67</v>
      </c>
      <c r="CI831" t="s">
        <v>51</v>
      </c>
      <c r="CJ831" s="8">
        <v>43939</v>
      </c>
      <c r="CK831">
        <v>10</v>
      </c>
      <c r="CL831">
        <v>105</v>
      </c>
      <c r="CM831">
        <v>0</v>
      </c>
    </row>
    <row r="832" spans="1:206" ht="19.5">
      <c r="CH832">
        <v>67</v>
      </c>
      <c r="CI832" t="s">
        <v>51</v>
      </c>
      <c r="CJ832" s="8">
        <v>43940</v>
      </c>
      <c r="CK832">
        <v>11</v>
      </c>
      <c r="CL832">
        <v>116</v>
      </c>
      <c r="CM832">
        <v>0</v>
      </c>
    </row>
    <row r="833" spans="1:206" ht="19.5">
      <c r="CH833">
        <v>67</v>
      </c>
      <c r="CI833" t="s">
        <v>51</v>
      </c>
      <c r="CJ833" s="8">
        <v>43941</v>
      </c>
      <c r="CK833">
        <v>11</v>
      </c>
      <c r="CL833">
        <v>116</v>
      </c>
      <c r="CM833">
        <v>0</v>
      </c>
    </row>
    <row r="834" spans="1:206" ht="19.5">
      <c r="CH834">
        <v>67</v>
      </c>
      <c r="CI834" t="s">
        <v>51</v>
      </c>
      <c r="CJ834" s="8">
        <v>43942</v>
      </c>
      <c r="CK834">
        <v>11</v>
      </c>
      <c r="CL834">
        <v>116</v>
      </c>
      <c r="CM834">
        <v>0</v>
      </c>
    </row>
    <row r="835" spans="1:206" ht="19.5">
      <c r="CH835">
        <v>67</v>
      </c>
      <c r="CI835" t="s">
        <v>51</v>
      </c>
      <c r="CJ835" s="8">
        <v>43943</v>
      </c>
      <c r="CK835">
        <v>11</v>
      </c>
      <c r="CL835">
        <v>116</v>
      </c>
      <c r="CM835">
        <v>0</v>
      </c>
    </row>
    <row r="836" spans="1:206" ht="19.5">
      <c r="CH836">
        <v>67</v>
      </c>
      <c r="CI836" t="s">
        <v>51</v>
      </c>
      <c r="CJ836" s="8">
        <v>43944</v>
      </c>
      <c r="CK836">
        <v>12</v>
      </c>
      <c r="CL836">
        <v>127</v>
      </c>
      <c r="CM836">
        <v>0</v>
      </c>
    </row>
    <row r="837" spans="1:206" ht="19.5">
      <c r="CH837">
        <v>67</v>
      </c>
      <c r="CI837" t="s">
        <v>51</v>
      </c>
      <c r="CJ837" s="8">
        <v>43945</v>
      </c>
      <c r="CK837">
        <v>15</v>
      </c>
      <c r="CL837">
        <v>158</v>
      </c>
      <c r="CM837">
        <v>1</v>
      </c>
    </row>
    <row r="838" spans="1:206" ht="19.5">
      <c r="CH838">
        <v>67</v>
      </c>
      <c r="CI838" t="s">
        <v>51</v>
      </c>
      <c r="CJ838" s="8">
        <v>43946</v>
      </c>
      <c r="CK838">
        <v>14</v>
      </c>
      <c r="CL838">
        <v>148</v>
      </c>
      <c r="CM838">
        <v>1</v>
      </c>
    </row>
    <row r="839" spans="1:206" ht="19.5">
      <c r="CH839">
        <v>67</v>
      </c>
      <c r="CI839" t="s">
        <v>51</v>
      </c>
      <c r="CJ839" s="8">
        <v>43947</v>
      </c>
      <c r="CK839">
        <v>14</v>
      </c>
      <c r="CL839">
        <v>148</v>
      </c>
      <c r="CM839">
        <v>1</v>
      </c>
    </row>
    <row r="840" spans="1:206" ht="19.5">
      <c r="CH840">
        <v>67</v>
      </c>
      <c r="CI840" t="s">
        <v>51</v>
      </c>
      <c r="CJ840" s="8">
        <v>43948</v>
      </c>
      <c r="CK840">
        <v>14</v>
      </c>
      <c r="CL840">
        <v>148</v>
      </c>
      <c r="CM840">
        <v>1</v>
      </c>
    </row>
    <row r="841" spans="1:206" ht="19.5">
      <c r="CH841">
        <v>67</v>
      </c>
      <c r="CI841" t="s">
        <v>51</v>
      </c>
      <c r="CJ841" s="8">
        <v>43949</v>
      </c>
      <c r="CK841">
        <v>14</v>
      </c>
      <c r="CL841">
        <v>148</v>
      </c>
      <c r="CM841">
        <v>1</v>
      </c>
    </row>
    <row r="842" spans="1:206" ht="19.5">
      <c r="CH842">
        <v>67</v>
      </c>
      <c r="CI842" t="s">
        <v>51</v>
      </c>
      <c r="CJ842" s="8">
        <v>43950</v>
      </c>
      <c r="CK842">
        <v>15</v>
      </c>
      <c r="CL842">
        <v>158</v>
      </c>
      <c r="CM842">
        <v>2</v>
      </c>
    </row>
    <row r="843" spans="1:206" ht="19.5">
      <c r="CH843">
        <v>67</v>
      </c>
      <c r="CI843" t="s">
        <v>51</v>
      </c>
      <c r="CJ843" s="8">
        <v>43951</v>
      </c>
      <c r="CK843">
        <v>15</v>
      </c>
      <c r="CL843">
        <v>158</v>
      </c>
      <c r="CM843">
        <v>2</v>
      </c>
    </row>
    <row r="844" spans="1:206" ht="19.5">
      <c r="CH844">
        <v>72</v>
      </c>
      <c r="CI844" t="s">
        <v>52</v>
      </c>
      <c r="CJ844" s="8">
        <v>43914</v>
      </c>
      <c r="CK844">
        <v>0</v>
      </c>
      <c r="CM844">
        <v>0</v>
      </c>
    </row>
    <row r="845" spans="1:206" ht="19.5">
      <c r="CH845">
        <v>72</v>
      </c>
      <c r="CI845" t="s">
        <v>52</v>
      </c>
      <c r="CJ845" s="8">
        <v>43915</v>
      </c>
      <c r="CK845">
        <v>0</v>
      </c>
      <c r="CM845">
        <v>0</v>
      </c>
    </row>
    <row r="846" spans="1:206" ht="19.5">
      <c r="CH846">
        <v>72</v>
      </c>
      <c r="CI846" t="s">
        <v>52</v>
      </c>
      <c r="CJ846" s="8">
        <v>43916</v>
      </c>
      <c r="CK846">
        <v>0</v>
      </c>
      <c r="CM846">
        <v>0</v>
      </c>
    </row>
    <row r="847" spans="1:206" ht="19.5">
      <c r="CH847">
        <v>72</v>
      </c>
      <c r="CI847" t="s">
        <v>52</v>
      </c>
      <c r="CJ847" s="8">
        <v>43917</v>
      </c>
      <c r="CK847">
        <v>1</v>
      </c>
      <c r="CM847">
        <v>0</v>
      </c>
    </row>
    <row r="848" spans="1:206" ht="19.5">
      <c r="CH848">
        <v>72</v>
      </c>
      <c r="CI848" t="s">
        <v>52</v>
      </c>
      <c r="CJ848" s="8">
        <v>43918</v>
      </c>
      <c r="CK848">
        <v>1</v>
      </c>
      <c r="CM848">
        <v>0</v>
      </c>
    </row>
    <row r="849" spans="1:206" ht="19.5">
      <c r="CH849">
        <v>72</v>
      </c>
      <c r="CI849" t="s">
        <v>52</v>
      </c>
      <c r="CJ849" s="8">
        <v>43919</v>
      </c>
      <c r="CK849">
        <v>1</v>
      </c>
      <c r="CM849">
        <v>0</v>
      </c>
    </row>
    <row r="850" spans="1:206" ht="19.5">
      <c r="CH850">
        <v>72</v>
      </c>
      <c r="CI850" t="s">
        <v>52</v>
      </c>
      <c r="CJ850" s="8">
        <v>43920</v>
      </c>
      <c r="CK850">
        <v>2</v>
      </c>
      <c r="CM850">
        <v>0</v>
      </c>
    </row>
    <row r="851" spans="1:206" ht="19.5">
      <c r="CH851">
        <v>72</v>
      </c>
      <c r="CI851" t="s">
        <v>52</v>
      </c>
      <c r="CJ851" s="8">
        <v>43921</v>
      </c>
      <c r="CK851">
        <v>2</v>
      </c>
      <c r="CM851">
        <v>0</v>
      </c>
    </row>
    <row r="852" spans="1:206" ht="19.5">
      <c r="CH852">
        <v>72</v>
      </c>
      <c r="CI852" t="s">
        <v>52</v>
      </c>
      <c r="CJ852" s="8">
        <v>43922</v>
      </c>
      <c r="CK852">
        <v>2</v>
      </c>
      <c r="CM852">
        <v>0</v>
      </c>
    </row>
    <row r="853" spans="1:206" ht="19.5">
      <c r="CH853">
        <v>72</v>
      </c>
      <c r="CI853" t="s">
        <v>52</v>
      </c>
      <c r="CJ853" s="8">
        <v>43923</v>
      </c>
      <c r="CK853">
        <v>2</v>
      </c>
      <c r="CM853">
        <v>0</v>
      </c>
    </row>
    <row r="854" spans="1:206" ht="19.5">
      <c r="CH854">
        <v>72</v>
      </c>
      <c r="CI854" t="s">
        <v>52</v>
      </c>
      <c r="CJ854" s="8">
        <v>43924</v>
      </c>
      <c r="CK854">
        <v>2</v>
      </c>
      <c r="CM854">
        <v>0</v>
      </c>
    </row>
    <row r="855" spans="1:206" ht="19.5">
      <c r="CH855">
        <v>72</v>
      </c>
      <c r="CI855" t="s">
        <v>52</v>
      </c>
      <c r="CJ855" s="8">
        <v>43925</v>
      </c>
      <c r="CK855">
        <v>2</v>
      </c>
      <c r="CM855">
        <v>0</v>
      </c>
    </row>
    <row r="856" spans="1:206" ht="19.5">
      <c r="CH856">
        <v>72</v>
      </c>
      <c r="CI856" t="s">
        <v>52</v>
      </c>
      <c r="CJ856" s="8">
        <v>43926</v>
      </c>
      <c r="CK856">
        <v>2</v>
      </c>
      <c r="CM856">
        <v>0</v>
      </c>
    </row>
    <row r="857" spans="1:206" ht="19.5">
      <c r="CH857">
        <v>72</v>
      </c>
      <c r="CI857" t="s">
        <v>52</v>
      </c>
      <c r="CJ857" s="8">
        <v>43927</v>
      </c>
      <c r="CK857">
        <v>3</v>
      </c>
      <c r="CM857">
        <v>0</v>
      </c>
    </row>
    <row r="858" spans="1:206" ht="19.5">
      <c r="CH858">
        <v>72</v>
      </c>
      <c r="CI858" t="s">
        <v>52</v>
      </c>
      <c r="CJ858" s="8">
        <v>43928</v>
      </c>
      <c r="CK858">
        <v>4</v>
      </c>
      <c r="CM858">
        <v>0</v>
      </c>
    </row>
    <row r="859" spans="1:206" ht="19.5">
      <c r="CH859">
        <v>72</v>
      </c>
      <c r="CI859" t="s">
        <v>52</v>
      </c>
      <c r="CJ859" s="8">
        <v>43929</v>
      </c>
      <c r="CK859">
        <v>4</v>
      </c>
      <c r="CM859">
        <v>0</v>
      </c>
    </row>
    <row r="860" spans="1:206" ht="19.5">
      <c r="CH860">
        <v>72</v>
      </c>
      <c r="CI860" t="s">
        <v>52</v>
      </c>
      <c r="CJ860" s="8">
        <v>43930</v>
      </c>
      <c r="CK860">
        <v>3</v>
      </c>
      <c r="CM860">
        <v>1</v>
      </c>
    </row>
    <row r="861" spans="1:206" ht="19.5">
      <c r="CH861">
        <v>72</v>
      </c>
      <c r="CI861" t="s">
        <v>52</v>
      </c>
      <c r="CJ861" s="8">
        <v>43931</v>
      </c>
      <c r="CK861">
        <v>3</v>
      </c>
      <c r="CM861">
        <v>1</v>
      </c>
    </row>
    <row r="862" spans="1:206" ht="19.5">
      <c r="CH862">
        <v>72</v>
      </c>
      <c r="CI862" t="s">
        <v>52</v>
      </c>
      <c r="CJ862" s="8">
        <v>43932</v>
      </c>
      <c r="CK862">
        <v>3</v>
      </c>
      <c r="CM862">
        <v>1</v>
      </c>
    </row>
    <row r="863" spans="1:206" ht="19.5">
      <c r="CH863">
        <v>72</v>
      </c>
      <c r="CI863" t="s">
        <v>52</v>
      </c>
      <c r="CJ863" s="8">
        <v>43933</v>
      </c>
      <c r="CK863">
        <v>3</v>
      </c>
      <c r="CM863">
        <v>1</v>
      </c>
    </row>
    <row r="864" spans="1:206" ht="19.5">
      <c r="CH864">
        <v>72</v>
      </c>
      <c r="CI864" t="s">
        <v>52</v>
      </c>
      <c r="CJ864" s="8">
        <v>43934</v>
      </c>
      <c r="CK864">
        <v>5</v>
      </c>
      <c r="CM864">
        <v>1</v>
      </c>
    </row>
    <row r="865" spans="1:206" ht="19.5">
      <c r="CH865">
        <v>72</v>
      </c>
      <c r="CI865" t="s">
        <v>52</v>
      </c>
      <c r="CJ865" s="8">
        <v>43935</v>
      </c>
      <c r="CK865">
        <v>6</v>
      </c>
      <c r="CM865">
        <v>1</v>
      </c>
    </row>
    <row r="866" spans="1:206" ht="19.5">
      <c r="CH866">
        <v>72</v>
      </c>
      <c r="CI866" t="s">
        <v>52</v>
      </c>
      <c r="CJ866" s="8">
        <v>43936</v>
      </c>
      <c r="CK866">
        <v>6</v>
      </c>
      <c r="CM866">
        <v>1</v>
      </c>
    </row>
    <row r="867" spans="1:206" ht="19.5">
      <c r="CH867">
        <v>72</v>
      </c>
      <c r="CI867" t="s">
        <v>52</v>
      </c>
      <c r="CJ867" s="8">
        <v>43937</v>
      </c>
      <c r="CK867">
        <v>6</v>
      </c>
      <c r="CL867">
        <v>41</v>
      </c>
      <c r="CM867">
        <v>1</v>
      </c>
    </row>
    <row r="868" spans="1:206" ht="19.5">
      <c r="CH868">
        <v>72</v>
      </c>
      <c r="CI868" t="s">
        <v>52</v>
      </c>
      <c r="CJ868" s="8">
        <v>43938</v>
      </c>
      <c r="CK868">
        <v>7</v>
      </c>
      <c r="CL868">
        <v>48</v>
      </c>
      <c r="CM868">
        <v>1</v>
      </c>
    </row>
    <row r="869" spans="1:206" ht="19.5">
      <c r="CH869">
        <v>72</v>
      </c>
      <c r="CI869" t="s">
        <v>52</v>
      </c>
      <c r="CJ869" s="8">
        <v>43939</v>
      </c>
      <c r="CK869">
        <v>7</v>
      </c>
      <c r="CL869">
        <v>48</v>
      </c>
      <c r="CM869">
        <v>1</v>
      </c>
    </row>
    <row r="870" spans="1:206" ht="19.5">
      <c r="CH870">
        <v>72</v>
      </c>
      <c r="CI870" t="s">
        <v>52</v>
      </c>
      <c r="CJ870" s="8">
        <v>43940</v>
      </c>
      <c r="CK870">
        <v>8</v>
      </c>
      <c r="CL870">
        <v>54</v>
      </c>
      <c r="CM870">
        <v>1</v>
      </c>
    </row>
    <row r="871" spans="1:206" ht="19.5">
      <c r="CH871">
        <v>72</v>
      </c>
      <c r="CI871" t="s">
        <v>52</v>
      </c>
      <c r="CJ871" s="8">
        <v>43941</v>
      </c>
      <c r="CK871">
        <v>8</v>
      </c>
      <c r="CL871">
        <v>54</v>
      </c>
      <c r="CM871">
        <v>1</v>
      </c>
    </row>
    <row r="872" spans="1:206" ht="19.5">
      <c r="CH872">
        <v>72</v>
      </c>
      <c r="CI872" t="s">
        <v>52</v>
      </c>
      <c r="CJ872" s="8">
        <v>43942</v>
      </c>
      <c r="CK872">
        <v>8</v>
      </c>
      <c r="CL872">
        <v>54</v>
      </c>
      <c r="CM872">
        <v>1</v>
      </c>
    </row>
    <row r="873" spans="1:206" ht="19.5">
      <c r="CH873">
        <v>72</v>
      </c>
      <c r="CI873" t="s">
        <v>52</v>
      </c>
      <c r="CJ873" s="8">
        <v>43943</v>
      </c>
      <c r="CK873">
        <v>8</v>
      </c>
      <c r="CL873">
        <v>54</v>
      </c>
      <c r="CM873">
        <v>1</v>
      </c>
    </row>
    <row r="874" spans="1:206" ht="19.5">
      <c r="CH874">
        <v>72</v>
      </c>
      <c r="CI874" t="s">
        <v>52</v>
      </c>
      <c r="CJ874" s="8">
        <v>43944</v>
      </c>
      <c r="CK874">
        <v>8</v>
      </c>
      <c r="CL874">
        <v>54</v>
      </c>
      <c r="CM874">
        <v>1</v>
      </c>
    </row>
    <row r="875" spans="1:206" ht="19.5">
      <c r="CH875">
        <v>72</v>
      </c>
      <c r="CI875" t="s">
        <v>52</v>
      </c>
      <c r="CJ875" s="8">
        <v>43945</v>
      </c>
      <c r="CK875">
        <v>8</v>
      </c>
      <c r="CL875">
        <v>54</v>
      </c>
      <c r="CM875">
        <v>1</v>
      </c>
    </row>
    <row r="876" spans="1:206" ht="19.5">
      <c r="CH876">
        <v>72</v>
      </c>
      <c r="CI876" t="s">
        <v>52</v>
      </c>
      <c r="CJ876" s="8">
        <v>43946</v>
      </c>
      <c r="CK876">
        <v>9</v>
      </c>
      <c r="CL876">
        <v>61</v>
      </c>
      <c r="CM876">
        <v>1</v>
      </c>
    </row>
    <row r="877" spans="1:206" ht="19.5">
      <c r="CH877">
        <v>72</v>
      </c>
      <c r="CI877" t="s">
        <v>52</v>
      </c>
      <c r="CJ877" s="8">
        <v>43947</v>
      </c>
      <c r="CK877">
        <v>9</v>
      </c>
      <c r="CL877">
        <v>61</v>
      </c>
      <c r="CM877">
        <v>1</v>
      </c>
    </row>
    <row r="878" spans="1:206" ht="19.5">
      <c r="CH878">
        <v>72</v>
      </c>
      <c r="CI878" t="s">
        <v>52</v>
      </c>
      <c r="CJ878" s="8">
        <v>43948</v>
      </c>
      <c r="CK878">
        <v>9</v>
      </c>
      <c r="CL878">
        <v>61</v>
      </c>
      <c r="CM878">
        <v>1</v>
      </c>
    </row>
    <row r="879" spans="1:206" ht="19.5">
      <c r="CH879">
        <v>72</v>
      </c>
      <c r="CI879" t="s">
        <v>52</v>
      </c>
      <c r="CJ879" s="8">
        <v>43949</v>
      </c>
      <c r="CK879">
        <v>9</v>
      </c>
      <c r="CL879">
        <v>61</v>
      </c>
      <c r="CM879">
        <v>1</v>
      </c>
    </row>
    <row r="880" spans="1:206" ht="19.5">
      <c r="CH880">
        <v>72</v>
      </c>
      <c r="CI880" t="s">
        <v>52</v>
      </c>
      <c r="CJ880" s="8">
        <v>43950</v>
      </c>
      <c r="CK880">
        <v>9</v>
      </c>
      <c r="CL880">
        <v>61</v>
      </c>
      <c r="CM880">
        <v>1</v>
      </c>
    </row>
    <row r="881" spans="1:206" ht="19.5">
      <c r="CH881">
        <v>72</v>
      </c>
      <c r="CI881" t="s">
        <v>52</v>
      </c>
      <c r="CJ881" s="8">
        <v>43951</v>
      </c>
      <c r="CK881">
        <v>11</v>
      </c>
      <c r="CL881">
        <v>75</v>
      </c>
      <c r="CM881">
        <v>1</v>
      </c>
    </row>
    <row r="882" spans="1:206" ht="19.5">
      <c r="CH882">
        <v>74</v>
      </c>
      <c r="CI882" t="s">
        <v>53</v>
      </c>
      <c r="CJ882" s="8">
        <v>43914</v>
      </c>
      <c r="CK882">
        <v>2</v>
      </c>
      <c r="CM882">
        <v>0</v>
      </c>
    </row>
    <row r="883" spans="1:206" ht="19.5">
      <c r="CH883">
        <v>74</v>
      </c>
      <c r="CI883" t="s">
        <v>53</v>
      </c>
      <c r="CJ883" s="8">
        <v>43915</v>
      </c>
      <c r="CK883">
        <v>2</v>
      </c>
      <c r="CM883">
        <v>0</v>
      </c>
    </row>
    <row r="884" spans="1:206" ht="19.5">
      <c r="CH884">
        <v>74</v>
      </c>
      <c r="CI884" t="s">
        <v>53</v>
      </c>
      <c r="CJ884" s="8">
        <v>43916</v>
      </c>
      <c r="CK884">
        <v>2</v>
      </c>
      <c r="CM884">
        <v>0</v>
      </c>
    </row>
    <row r="885" spans="1:206" ht="19.5">
      <c r="CH885">
        <v>74</v>
      </c>
      <c r="CI885" t="s">
        <v>53</v>
      </c>
      <c r="CJ885" s="8">
        <v>43917</v>
      </c>
      <c r="CK885">
        <v>2</v>
      </c>
      <c r="CM885">
        <v>0</v>
      </c>
    </row>
    <row r="886" spans="1:206" ht="19.5">
      <c r="CH886">
        <v>74</v>
      </c>
      <c r="CI886" t="s">
        <v>53</v>
      </c>
      <c r="CJ886" s="8">
        <v>43918</v>
      </c>
      <c r="CK886">
        <v>2</v>
      </c>
      <c r="CM886">
        <v>0</v>
      </c>
    </row>
    <row r="887" spans="1:206" ht="19.5">
      <c r="CH887">
        <v>74</v>
      </c>
      <c r="CI887" t="s">
        <v>53</v>
      </c>
      <c r="CJ887" s="8">
        <v>43919</v>
      </c>
      <c r="CK887">
        <v>2</v>
      </c>
      <c r="CM887">
        <v>0</v>
      </c>
    </row>
    <row r="888" spans="1:206" ht="19.5">
      <c r="CH888">
        <v>74</v>
      </c>
      <c r="CI888" t="s">
        <v>53</v>
      </c>
      <c r="CJ888" s="8">
        <v>43920</v>
      </c>
      <c r="CK888">
        <v>3</v>
      </c>
      <c r="CM888">
        <v>0</v>
      </c>
    </row>
    <row r="889" spans="1:206" ht="19.5">
      <c r="CH889">
        <v>74</v>
      </c>
      <c r="CI889" t="s">
        <v>53</v>
      </c>
      <c r="CJ889" s="8">
        <v>43921</v>
      </c>
      <c r="CK889">
        <v>3</v>
      </c>
      <c r="CM889">
        <v>0</v>
      </c>
    </row>
    <row r="890" spans="1:206" ht="19.5">
      <c r="CH890">
        <v>74</v>
      </c>
      <c r="CI890" t="s">
        <v>53</v>
      </c>
      <c r="CJ890" s="8">
        <v>43922</v>
      </c>
      <c r="CK890">
        <v>4</v>
      </c>
      <c r="CM890">
        <v>0</v>
      </c>
    </row>
    <row r="891" spans="1:206" ht="19.5">
      <c r="CH891">
        <v>74</v>
      </c>
      <c r="CI891" t="s">
        <v>53</v>
      </c>
      <c r="CJ891" s="8">
        <v>43923</v>
      </c>
      <c r="CK891">
        <v>4</v>
      </c>
      <c r="CM891">
        <v>0</v>
      </c>
    </row>
    <row r="892" spans="1:206" ht="19.5">
      <c r="CH892">
        <v>74</v>
      </c>
      <c r="CI892" t="s">
        <v>53</v>
      </c>
      <c r="CJ892" s="8">
        <v>43924</v>
      </c>
      <c r="CK892">
        <v>6</v>
      </c>
      <c r="CM892">
        <v>0</v>
      </c>
    </row>
    <row r="893" spans="1:206" ht="19.5">
      <c r="CH893">
        <v>74</v>
      </c>
      <c r="CI893" t="s">
        <v>53</v>
      </c>
      <c r="CJ893" s="8">
        <v>43925</v>
      </c>
      <c r="CK893">
        <v>7</v>
      </c>
      <c r="CM893">
        <v>0</v>
      </c>
    </row>
    <row r="894" spans="1:206" ht="19.5">
      <c r="CH894">
        <v>74</v>
      </c>
      <c r="CI894" t="s">
        <v>53</v>
      </c>
      <c r="CJ894" s="8">
        <v>43926</v>
      </c>
      <c r="CK894">
        <v>8</v>
      </c>
      <c r="CM894">
        <v>0</v>
      </c>
    </row>
    <row r="895" spans="1:206" ht="19.5">
      <c r="CH895">
        <v>74</v>
      </c>
      <c r="CI895" t="s">
        <v>53</v>
      </c>
      <c r="CJ895" s="8">
        <v>43927</v>
      </c>
      <c r="CK895">
        <v>9</v>
      </c>
      <c r="CM895">
        <v>0</v>
      </c>
    </row>
    <row r="896" spans="1:206" ht="19.5">
      <c r="CH896">
        <v>74</v>
      </c>
      <c r="CI896" t="s">
        <v>53</v>
      </c>
      <c r="CJ896" s="8">
        <v>43928</v>
      </c>
      <c r="CK896">
        <v>9</v>
      </c>
      <c r="CM896">
        <v>0</v>
      </c>
    </row>
    <row r="897" spans="1:206" ht="19.5">
      <c r="CH897">
        <v>74</v>
      </c>
      <c r="CI897" t="s">
        <v>53</v>
      </c>
      <c r="CJ897" s="8">
        <v>43929</v>
      </c>
      <c r="CK897">
        <v>11</v>
      </c>
      <c r="CM897">
        <v>1</v>
      </c>
    </row>
    <row r="898" spans="1:206" ht="19.5">
      <c r="CH898">
        <v>74</v>
      </c>
      <c r="CI898" t="s">
        <v>53</v>
      </c>
      <c r="CJ898" s="8">
        <v>43930</v>
      </c>
      <c r="CK898">
        <v>11</v>
      </c>
      <c r="CM898">
        <v>1</v>
      </c>
    </row>
    <row r="899" spans="1:206" ht="19.5">
      <c r="CH899">
        <v>74</v>
      </c>
      <c r="CI899" t="s">
        <v>53</v>
      </c>
      <c r="CJ899" s="8">
        <v>43931</v>
      </c>
      <c r="CK899">
        <v>11</v>
      </c>
      <c r="CM899">
        <v>1</v>
      </c>
    </row>
    <row r="900" spans="1:206" ht="19.5">
      <c r="CH900">
        <v>74</v>
      </c>
      <c r="CI900" t="s">
        <v>53</v>
      </c>
      <c r="CJ900" s="8">
        <v>43932</v>
      </c>
      <c r="CK900">
        <v>12</v>
      </c>
      <c r="CM900">
        <v>1</v>
      </c>
    </row>
    <row r="901" spans="1:206" ht="19.5">
      <c r="CH901">
        <v>74</v>
      </c>
      <c r="CI901" t="s">
        <v>53</v>
      </c>
      <c r="CJ901" s="8">
        <v>43933</v>
      </c>
      <c r="CK901">
        <v>13</v>
      </c>
      <c r="CM901">
        <v>1</v>
      </c>
    </row>
    <row r="902" spans="1:206" ht="19.5">
      <c r="CH902">
        <v>74</v>
      </c>
      <c r="CI902" t="s">
        <v>53</v>
      </c>
      <c r="CJ902" s="8">
        <v>43934</v>
      </c>
      <c r="CK902">
        <v>13</v>
      </c>
      <c r="CM902">
        <v>1</v>
      </c>
    </row>
    <row r="903" spans="1:206" ht="19.5">
      <c r="CH903">
        <v>74</v>
      </c>
      <c r="CI903" t="s">
        <v>53</v>
      </c>
      <c r="CJ903" s="8">
        <v>43935</v>
      </c>
      <c r="CK903">
        <v>13</v>
      </c>
      <c r="CM903">
        <v>2</v>
      </c>
    </row>
    <row r="904" spans="1:206" ht="19.5">
      <c r="CH904">
        <v>74</v>
      </c>
      <c r="CI904" t="s">
        <v>53</v>
      </c>
      <c r="CJ904" s="8">
        <v>43936</v>
      </c>
      <c r="CK904">
        <v>12</v>
      </c>
      <c r="CM904">
        <v>2</v>
      </c>
    </row>
    <row r="905" spans="1:206" ht="19.5">
      <c r="CH905">
        <v>74</v>
      </c>
      <c r="CI905" t="s">
        <v>53</v>
      </c>
      <c r="CJ905" s="8">
        <v>43937</v>
      </c>
      <c r="CK905">
        <v>12</v>
      </c>
      <c r="CL905">
        <v>148</v>
      </c>
      <c r="CM905">
        <v>2</v>
      </c>
    </row>
    <row r="906" spans="1:206" ht="19.5">
      <c r="CH906">
        <v>74</v>
      </c>
      <c r="CI906" t="s">
        <v>53</v>
      </c>
      <c r="CJ906" s="8">
        <v>43938</v>
      </c>
      <c r="CK906">
        <v>10</v>
      </c>
      <c r="CL906">
        <v>123</v>
      </c>
      <c r="CM906">
        <v>2</v>
      </c>
    </row>
    <row r="907" spans="1:206" ht="19.5">
      <c r="CH907">
        <v>74</v>
      </c>
      <c r="CI907" t="s">
        <v>53</v>
      </c>
      <c r="CJ907" s="8">
        <v>43939</v>
      </c>
      <c r="CK907">
        <v>11</v>
      </c>
      <c r="CL907">
        <v>135</v>
      </c>
      <c r="CM907">
        <v>2</v>
      </c>
    </row>
    <row r="908" spans="1:206" ht="19.5">
      <c r="CH908">
        <v>74</v>
      </c>
      <c r="CI908" t="s">
        <v>53</v>
      </c>
      <c r="CJ908" s="8">
        <v>43940</v>
      </c>
      <c r="CK908">
        <v>12</v>
      </c>
      <c r="CL908">
        <v>148</v>
      </c>
      <c r="CM908">
        <v>2</v>
      </c>
    </row>
    <row r="909" spans="1:206" ht="19.5">
      <c r="CH909">
        <v>74</v>
      </c>
      <c r="CI909" t="s">
        <v>53</v>
      </c>
      <c r="CJ909" s="8">
        <v>43941</v>
      </c>
      <c r="CK909">
        <v>14</v>
      </c>
      <c r="CL909">
        <v>172</v>
      </c>
      <c r="CM909">
        <v>2</v>
      </c>
    </row>
    <row r="910" spans="1:206" ht="19.5">
      <c r="CH910">
        <v>74</v>
      </c>
      <c r="CI910" t="s">
        <v>53</v>
      </c>
      <c r="CJ910" s="8">
        <v>43942</v>
      </c>
      <c r="CK910">
        <v>14</v>
      </c>
      <c r="CL910">
        <v>172</v>
      </c>
      <c r="CM910">
        <v>2</v>
      </c>
    </row>
    <row r="911" spans="1:206" ht="19.5">
      <c r="CH911">
        <v>74</v>
      </c>
      <c r="CI911" t="s">
        <v>53</v>
      </c>
      <c r="CJ911" s="8">
        <v>43943</v>
      </c>
      <c r="CK911">
        <v>14</v>
      </c>
      <c r="CL911">
        <v>172</v>
      </c>
      <c r="CM911">
        <v>2</v>
      </c>
    </row>
    <row r="912" spans="1:206" ht="19.5">
      <c r="CH912">
        <v>74</v>
      </c>
      <c r="CI912" t="s">
        <v>53</v>
      </c>
      <c r="CJ912" s="8">
        <v>43944</v>
      </c>
      <c r="CK912">
        <v>15</v>
      </c>
      <c r="CL912">
        <v>185</v>
      </c>
      <c r="CM912">
        <v>2</v>
      </c>
    </row>
    <row r="913" spans="1:206" ht="19.5">
      <c r="CH913">
        <v>74</v>
      </c>
      <c r="CI913" t="s">
        <v>53</v>
      </c>
      <c r="CJ913" s="8">
        <v>43945</v>
      </c>
      <c r="CK913">
        <v>19</v>
      </c>
      <c r="CL913">
        <v>234</v>
      </c>
      <c r="CM913">
        <v>2</v>
      </c>
    </row>
    <row r="914" spans="1:206" ht="19.5">
      <c r="CH914">
        <v>74</v>
      </c>
      <c r="CI914" t="s">
        <v>53</v>
      </c>
      <c r="CJ914" s="8">
        <v>43946</v>
      </c>
      <c r="CK914">
        <v>20</v>
      </c>
      <c r="CL914">
        <v>246</v>
      </c>
      <c r="CM914">
        <v>2</v>
      </c>
    </row>
    <row r="915" spans="1:206" ht="19.5">
      <c r="CH915">
        <v>74</v>
      </c>
      <c r="CI915" t="s">
        <v>53</v>
      </c>
      <c r="CJ915" s="8">
        <v>43947</v>
      </c>
      <c r="CK915">
        <v>20</v>
      </c>
      <c r="CL915">
        <v>246</v>
      </c>
      <c r="CM915">
        <v>2</v>
      </c>
    </row>
    <row r="916" spans="1:206" ht="19.5">
      <c r="CH916">
        <v>74</v>
      </c>
      <c r="CI916" t="s">
        <v>53</v>
      </c>
      <c r="CJ916" s="8">
        <v>43948</v>
      </c>
      <c r="CK916">
        <v>21</v>
      </c>
      <c r="CL916">
        <v>258</v>
      </c>
      <c r="CM916">
        <v>2</v>
      </c>
    </row>
    <row r="917" spans="1:206" ht="19.5">
      <c r="CH917">
        <v>74</v>
      </c>
      <c r="CI917" t="s">
        <v>53</v>
      </c>
      <c r="CJ917" s="8">
        <v>43949</v>
      </c>
      <c r="CK917">
        <v>24</v>
      </c>
      <c r="CL917">
        <v>295</v>
      </c>
      <c r="CM917">
        <v>2</v>
      </c>
    </row>
    <row r="918" spans="1:206" ht="19.5">
      <c r="CH918">
        <v>74</v>
      </c>
      <c r="CI918" t="s">
        <v>53</v>
      </c>
      <c r="CJ918" s="8">
        <v>43950</v>
      </c>
      <c r="CK918">
        <v>24</v>
      </c>
      <c r="CL918">
        <v>295</v>
      </c>
      <c r="CM918">
        <v>2</v>
      </c>
    </row>
    <row r="919" spans="1:206" ht="19.5">
      <c r="CH919">
        <v>74</v>
      </c>
      <c r="CI919" t="s">
        <v>53</v>
      </c>
      <c r="CJ919" s="8">
        <v>43951</v>
      </c>
      <c r="CK919">
        <v>26</v>
      </c>
      <c r="CL919">
        <v>320</v>
      </c>
      <c r="CM919">
        <v>2</v>
      </c>
    </row>
    <row r="920" spans="1:206" ht="19.5">
      <c r="CH920">
        <v>77</v>
      </c>
      <c r="CI920" t="s">
        <v>54</v>
      </c>
      <c r="CJ920" s="8">
        <v>43914</v>
      </c>
      <c r="CK920">
        <v>5</v>
      </c>
      <c r="CM920">
        <v>0</v>
      </c>
    </row>
    <row r="921" spans="1:206" ht="19.5">
      <c r="CH921">
        <v>77</v>
      </c>
      <c r="CI921" t="s">
        <v>54</v>
      </c>
      <c r="CJ921" s="8">
        <v>43915</v>
      </c>
      <c r="CK921">
        <v>6</v>
      </c>
      <c r="CM921">
        <v>0</v>
      </c>
    </row>
    <row r="922" spans="1:206" ht="19.5">
      <c r="CH922">
        <v>77</v>
      </c>
      <c r="CI922" t="s">
        <v>54</v>
      </c>
      <c r="CJ922" s="8">
        <v>43916</v>
      </c>
      <c r="CK922">
        <v>8</v>
      </c>
      <c r="CM922">
        <v>0</v>
      </c>
    </row>
    <row r="923" spans="1:206" ht="19.5">
      <c r="CH923">
        <v>77</v>
      </c>
      <c r="CI923" t="s">
        <v>54</v>
      </c>
      <c r="CJ923" s="8">
        <v>43917</v>
      </c>
      <c r="CK923">
        <v>12</v>
      </c>
      <c r="CM923">
        <v>0</v>
      </c>
    </row>
    <row r="924" spans="1:206" ht="19.5">
      <c r="CH924">
        <v>77</v>
      </c>
      <c r="CI924" t="s">
        <v>54</v>
      </c>
      <c r="CJ924" s="8">
        <v>43918</v>
      </c>
      <c r="CK924">
        <v>12</v>
      </c>
      <c r="CM924">
        <v>0</v>
      </c>
    </row>
    <row r="925" spans="1:206" ht="19.5">
      <c r="CH925">
        <v>77</v>
      </c>
      <c r="CI925" t="s">
        <v>54</v>
      </c>
      <c r="CJ925" s="8">
        <v>43919</v>
      </c>
      <c r="CK925">
        <v>16</v>
      </c>
      <c r="CM925">
        <v>0</v>
      </c>
    </row>
    <row r="926" spans="1:206" ht="19.5">
      <c r="CH926">
        <v>77</v>
      </c>
      <c r="CI926" t="s">
        <v>54</v>
      </c>
      <c r="CJ926" s="8">
        <v>43920</v>
      </c>
      <c r="CK926">
        <v>19</v>
      </c>
      <c r="CM926">
        <v>1</v>
      </c>
    </row>
    <row r="927" spans="1:206" ht="19.5">
      <c r="CH927">
        <v>77</v>
      </c>
      <c r="CI927" t="s">
        <v>54</v>
      </c>
      <c r="CJ927" s="8">
        <v>43921</v>
      </c>
      <c r="CK927">
        <v>23</v>
      </c>
      <c r="CM927">
        <v>1</v>
      </c>
    </row>
    <row r="928" spans="1:206" ht="19.5">
      <c r="CH928">
        <v>77</v>
      </c>
      <c r="CI928" t="s">
        <v>54</v>
      </c>
      <c r="CJ928" s="8">
        <v>43922</v>
      </c>
      <c r="CK928">
        <v>28</v>
      </c>
      <c r="CM928">
        <v>1</v>
      </c>
    </row>
    <row r="929" spans="1:206" ht="19.5">
      <c r="CH929">
        <v>77</v>
      </c>
      <c r="CI929" t="s">
        <v>54</v>
      </c>
      <c r="CJ929" s="8">
        <v>43923</v>
      </c>
      <c r="CK929">
        <v>36</v>
      </c>
      <c r="CM929">
        <v>1</v>
      </c>
    </row>
    <row r="930" spans="1:206" ht="19.5">
      <c r="CH930">
        <v>77</v>
      </c>
      <c r="CI930" t="s">
        <v>54</v>
      </c>
      <c r="CJ930" s="8">
        <v>43924</v>
      </c>
      <c r="CK930">
        <v>51</v>
      </c>
      <c r="CM930">
        <v>1</v>
      </c>
    </row>
    <row r="931" spans="1:206" ht="19.5">
      <c r="CH931">
        <v>77</v>
      </c>
      <c r="CI931" t="s">
        <v>54</v>
      </c>
      <c r="CJ931" s="8">
        <v>43925</v>
      </c>
      <c r="CK931">
        <v>61</v>
      </c>
      <c r="CM931">
        <v>3</v>
      </c>
    </row>
    <row r="932" spans="1:206" ht="19.5">
      <c r="CH932">
        <v>77</v>
      </c>
      <c r="CI932" t="s">
        <v>54</v>
      </c>
      <c r="CJ932" s="8">
        <v>43926</v>
      </c>
      <c r="CK932">
        <v>62</v>
      </c>
      <c r="CM932">
        <v>3</v>
      </c>
    </row>
    <row r="933" spans="1:206" ht="19.5">
      <c r="CH933">
        <v>77</v>
      </c>
      <c r="CI933" t="s">
        <v>54</v>
      </c>
      <c r="CJ933" s="8">
        <v>43927</v>
      </c>
      <c r="CK933">
        <v>80</v>
      </c>
      <c r="CM933">
        <v>3</v>
      </c>
    </row>
    <row r="934" spans="1:206" ht="19.5">
      <c r="CH934">
        <v>77</v>
      </c>
      <c r="CI934" t="s">
        <v>54</v>
      </c>
      <c r="CJ934" s="8">
        <v>43928</v>
      </c>
      <c r="CK934">
        <v>87</v>
      </c>
      <c r="CM934">
        <v>5</v>
      </c>
    </row>
    <row r="935" spans="1:206" ht="19.5">
      <c r="CH935">
        <v>77</v>
      </c>
      <c r="CI935" t="s">
        <v>54</v>
      </c>
      <c r="CJ935" s="8">
        <v>43929</v>
      </c>
      <c r="CK935">
        <v>103</v>
      </c>
      <c r="CM935">
        <v>8</v>
      </c>
    </row>
    <row r="936" spans="1:206" ht="19.5">
      <c r="CH936">
        <v>77</v>
      </c>
      <c r="CI936" t="s">
        <v>54</v>
      </c>
      <c r="CJ936" s="8">
        <v>43930</v>
      </c>
      <c r="CK936">
        <v>110</v>
      </c>
      <c r="CM936">
        <v>8</v>
      </c>
    </row>
    <row r="937" spans="1:206" ht="19.5">
      <c r="CH937">
        <v>77</v>
      </c>
      <c r="CI937" t="s">
        <v>54</v>
      </c>
      <c r="CJ937" s="8">
        <v>43931</v>
      </c>
      <c r="CK937">
        <v>120</v>
      </c>
      <c r="CM937">
        <v>8</v>
      </c>
    </row>
    <row r="938" spans="1:206" ht="19.5">
      <c r="CH938">
        <v>77</v>
      </c>
      <c r="CI938" t="s">
        <v>54</v>
      </c>
      <c r="CJ938" s="8">
        <v>43932</v>
      </c>
      <c r="CK938">
        <v>134</v>
      </c>
      <c r="CM938">
        <v>8</v>
      </c>
    </row>
    <row r="939" spans="1:206" ht="19.5">
      <c r="CH939">
        <v>77</v>
      </c>
      <c r="CI939" t="s">
        <v>54</v>
      </c>
      <c r="CJ939" s="8">
        <v>43933</v>
      </c>
      <c r="CK939">
        <v>136</v>
      </c>
      <c r="CM939">
        <v>9</v>
      </c>
    </row>
    <row r="940" spans="1:206" ht="19.5">
      <c r="CH940">
        <v>77</v>
      </c>
      <c r="CI940" t="s">
        <v>54</v>
      </c>
      <c r="CJ940" s="8">
        <v>43934</v>
      </c>
      <c r="CK940">
        <v>152</v>
      </c>
      <c r="CM940">
        <v>9</v>
      </c>
    </row>
    <row r="941" spans="1:206" ht="19.5">
      <c r="CH941">
        <v>77</v>
      </c>
      <c r="CI941" t="s">
        <v>54</v>
      </c>
      <c r="CJ941" s="8">
        <v>43935</v>
      </c>
      <c r="CK941">
        <v>159</v>
      </c>
      <c r="CM941">
        <v>8</v>
      </c>
    </row>
    <row r="942" spans="1:206" ht="19.5">
      <c r="CH942">
        <v>77</v>
      </c>
      <c r="CI942" t="s">
        <v>54</v>
      </c>
      <c r="CJ942" s="8">
        <v>43936</v>
      </c>
      <c r="CK942">
        <v>167</v>
      </c>
      <c r="CM942">
        <v>14</v>
      </c>
    </row>
    <row r="943" spans="1:206" ht="19.5">
      <c r="CH943">
        <v>77</v>
      </c>
      <c r="CI943" t="s">
        <v>54</v>
      </c>
      <c r="CJ943" s="8">
        <v>43937</v>
      </c>
      <c r="CK943">
        <v>194</v>
      </c>
      <c r="CL943">
        <v>336</v>
      </c>
      <c r="CM943">
        <v>18</v>
      </c>
    </row>
    <row r="944" spans="1:206" ht="19.5">
      <c r="CH944">
        <v>77</v>
      </c>
      <c r="CI944" t="s">
        <v>54</v>
      </c>
      <c r="CJ944" s="8">
        <v>43938</v>
      </c>
      <c r="CK944">
        <v>204</v>
      </c>
      <c r="CL944">
        <v>354</v>
      </c>
      <c r="CM944">
        <v>19</v>
      </c>
    </row>
    <row r="945" spans="1:206" ht="19.5">
      <c r="CH945">
        <v>77</v>
      </c>
      <c r="CI945" t="s">
        <v>54</v>
      </c>
      <c r="CJ945" s="8">
        <v>43939</v>
      </c>
      <c r="CK945">
        <v>214</v>
      </c>
      <c r="CL945">
        <v>371</v>
      </c>
      <c r="CM945">
        <v>20</v>
      </c>
    </row>
    <row r="946" spans="1:206" ht="19.5">
      <c r="CH946">
        <v>77</v>
      </c>
      <c r="CI946" t="s">
        <v>54</v>
      </c>
      <c r="CJ946" s="8">
        <v>43940</v>
      </c>
      <c r="CK946">
        <v>228</v>
      </c>
      <c r="CL946">
        <v>395</v>
      </c>
      <c r="CM946">
        <v>21</v>
      </c>
    </row>
    <row r="947" spans="1:206" ht="19.5">
      <c r="CH947">
        <v>77</v>
      </c>
      <c r="CI947" t="s">
        <v>54</v>
      </c>
      <c r="CJ947" s="8">
        <v>43941</v>
      </c>
      <c r="CK947">
        <v>249</v>
      </c>
      <c r="CL947">
        <v>432</v>
      </c>
      <c r="CM947">
        <v>25</v>
      </c>
    </row>
    <row r="948" spans="1:206" ht="19.5">
      <c r="CH948">
        <v>77</v>
      </c>
      <c r="CI948" t="s">
        <v>54</v>
      </c>
      <c r="CJ948" s="8">
        <v>43942</v>
      </c>
      <c r="CK948">
        <v>254</v>
      </c>
      <c r="CL948">
        <v>440</v>
      </c>
      <c r="CM948">
        <v>26</v>
      </c>
    </row>
    <row r="949" spans="1:206" ht="19.5">
      <c r="CH949">
        <v>77</v>
      </c>
      <c r="CI949" t="s">
        <v>54</v>
      </c>
      <c r="CJ949" s="8">
        <v>43943</v>
      </c>
      <c r="CK949">
        <v>262</v>
      </c>
      <c r="CL949">
        <v>454</v>
      </c>
      <c r="CM949">
        <v>27</v>
      </c>
    </row>
    <row r="950" spans="1:206" ht="19.5">
      <c r="CH950">
        <v>77</v>
      </c>
      <c r="CI950" t="s">
        <v>54</v>
      </c>
      <c r="CJ950" s="8">
        <v>43944</v>
      </c>
      <c r="CK950">
        <v>278</v>
      </c>
      <c r="CL950">
        <v>482</v>
      </c>
      <c r="CM950">
        <v>28</v>
      </c>
    </row>
    <row r="951" spans="1:206" ht="19.5">
      <c r="CH951">
        <v>77</v>
      </c>
      <c r="CI951" t="s">
        <v>54</v>
      </c>
      <c r="CJ951" s="8">
        <v>43945</v>
      </c>
      <c r="CK951">
        <v>290</v>
      </c>
      <c r="CL951">
        <v>503</v>
      </c>
      <c r="CM951">
        <v>29</v>
      </c>
    </row>
    <row r="952" spans="1:206" ht="19.5">
      <c r="CH952">
        <v>77</v>
      </c>
      <c r="CI952" t="s">
        <v>54</v>
      </c>
      <c r="CJ952" s="8">
        <v>43946</v>
      </c>
      <c r="CK952">
        <v>299</v>
      </c>
      <c r="CL952">
        <v>518</v>
      </c>
      <c r="CM952">
        <v>32</v>
      </c>
    </row>
    <row r="953" spans="1:206" ht="19.5">
      <c r="CH953">
        <v>77</v>
      </c>
      <c r="CI953" t="s">
        <v>54</v>
      </c>
      <c r="CJ953" s="8">
        <v>43947</v>
      </c>
      <c r="CK953">
        <v>313</v>
      </c>
      <c r="CL953">
        <v>542</v>
      </c>
      <c r="CM953">
        <v>34</v>
      </c>
    </row>
    <row r="954" spans="1:206" ht="19.5">
      <c r="CH954">
        <v>77</v>
      </c>
      <c r="CI954" t="s">
        <v>54</v>
      </c>
      <c r="CJ954" s="8">
        <v>43948</v>
      </c>
      <c r="CK954">
        <v>316</v>
      </c>
      <c r="CL954">
        <v>548</v>
      </c>
      <c r="CM954">
        <v>36</v>
      </c>
    </row>
    <row r="955" spans="1:206" ht="19.5">
      <c r="CH955">
        <v>77</v>
      </c>
      <c r="CI955" t="s">
        <v>54</v>
      </c>
      <c r="CJ955" s="8">
        <v>43949</v>
      </c>
      <c r="CK955">
        <v>322</v>
      </c>
      <c r="CL955">
        <v>558</v>
      </c>
      <c r="CM955">
        <v>37</v>
      </c>
    </row>
    <row r="956" spans="1:206" ht="19.5">
      <c r="CH956">
        <v>77</v>
      </c>
      <c r="CI956" t="s">
        <v>54</v>
      </c>
      <c r="CJ956" s="8">
        <v>43950</v>
      </c>
      <c r="CK956">
        <v>326</v>
      </c>
      <c r="CL956">
        <v>565</v>
      </c>
      <c r="CM956">
        <v>39</v>
      </c>
    </row>
    <row r="957" spans="1:206" ht="19.5">
      <c r="CH957">
        <v>77</v>
      </c>
      <c r="CI957" t="s">
        <v>54</v>
      </c>
      <c r="CJ957" s="8">
        <v>43951</v>
      </c>
      <c r="CK957">
        <v>334</v>
      </c>
      <c r="CL957">
        <v>579</v>
      </c>
      <c r="CM957">
        <v>38</v>
      </c>
    </row>
    <row r="958" spans="1:206" ht="19.5">
      <c r="CH958">
        <v>79</v>
      </c>
      <c r="CI958" t="s">
        <v>55</v>
      </c>
      <c r="CJ958" s="8">
        <v>43914</v>
      </c>
      <c r="CK958">
        <v>0</v>
      </c>
      <c r="CM958">
        <v>0</v>
      </c>
    </row>
    <row r="959" spans="1:206" ht="19.5">
      <c r="CH959">
        <v>79</v>
      </c>
      <c r="CI959" t="s">
        <v>55</v>
      </c>
      <c r="CJ959" s="8">
        <v>43915</v>
      </c>
      <c r="CK959">
        <v>0</v>
      </c>
      <c r="CM959">
        <v>0</v>
      </c>
    </row>
    <row r="960" spans="1:206" ht="19.5">
      <c r="CH960">
        <v>79</v>
      </c>
      <c r="CI960" t="s">
        <v>55</v>
      </c>
      <c r="CJ960" s="8">
        <v>43916</v>
      </c>
      <c r="CK960">
        <v>0</v>
      </c>
      <c r="CM960">
        <v>0</v>
      </c>
    </row>
    <row r="961" spans="1:206" ht="19.5">
      <c r="CH961">
        <v>79</v>
      </c>
      <c r="CI961" t="s">
        <v>55</v>
      </c>
      <c r="CJ961" s="8">
        <v>43917</v>
      </c>
      <c r="CK961">
        <v>2</v>
      </c>
      <c r="CM961">
        <v>0</v>
      </c>
    </row>
    <row r="962" spans="1:206" ht="19.5">
      <c r="CH962">
        <v>79</v>
      </c>
      <c r="CI962" t="s">
        <v>55</v>
      </c>
      <c r="CJ962" s="8">
        <v>43918</v>
      </c>
      <c r="CK962">
        <v>2</v>
      </c>
      <c r="CM962">
        <v>0</v>
      </c>
    </row>
    <row r="963" spans="1:206" ht="19.5">
      <c r="CH963">
        <v>79</v>
      </c>
      <c r="CI963" t="s">
        <v>55</v>
      </c>
      <c r="CJ963" s="8">
        <v>43919</v>
      </c>
      <c r="CK963">
        <v>2</v>
      </c>
      <c r="CM963">
        <v>0</v>
      </c>
    </row>
    <row r="964" spans="1:206" ht="19.5">
      <c r="CH964">
        <v>79</v>
      </c>
      <c r="CI964" t="s">
        <v>55</v>
      </c>
      <c r="CJ964" s="8">
        <v>43920</v>
      </c>
      <c r="CK964">
        <v>2</v>
      </c>
      <c r="CM964">
        <v>0</v>
      </c>
    </row>
    <row r="965" spans="1:206" ht="19.5">
      <c r="CH965">
        <v>79</v>
      </c>
      <c r="CI965" t="s">
        <v>55</v>
      </c>
      <c r="CJ965" s="8">
        <v>43921</v>
      </c>
      <c r="CK965">
        <v>2</v>
      </c>
      <c r="CM965">
        <v>0</v>
      </c>
    </row>
    <row r="966" spans="1:206" ht="19.5">
      <c r="CH966">
        <v>79</v>
      </c>
      <c r="CI966" t="s">
        <v>55</v>
      </c>
      <c r="CJ966" s="8">
        <v>43922</v>
      </c>
      <c r="CK966">
        <v>3</v>
      </c>
      <c r="CM966">
        <v>0</v>
      </c>
    </row>
    <row r="967" spans="1:206" ht="19.5">
      <c r="CH967">
        <v>79</v>
      </c>
      <c r="CI967" t="s">
        <v>55</v>
      </c>
      <c r="CJ967" s="8">
        <v>43923</v>
      </c>
      <c r="CK967">
        <v>3</v>
      </c>
      <c r="CM967">
        <v>0</v>
      </c>
    </row>
    <row r="968" spans="1:206" ht="19.5">
      <c r="CH968">
        <v>79</v>
      </c>
      <c r="CI968" t="s">
        <v>55</v>
      </c>
      <c r="CJ968" s="8">
        <v>43924</v>
      </c>
      <c r="CK968">
        <v>3</v>
      </c>
      <c r="CM968">
        <v>0</v>
      </c>
    </row>
    <row r="969" spans="1:206" ht="19.5">
      <c r="CH969">
        <v>79</v>
      </c>
      <c r="CI969" t="s">
        <v>55</v>
      </c>
      <c r="CJ969" s="8">
        <v>43925</v>
      </c>
      <c r="CK969">
        <v>5</v>
      </c>
      <c r="CM969">
        <v>0</v>
      </c>
    </row>
    <row r="970" spans="1:206" ht="19.5">
      <c r="CH970">
        <v>79</v>
      </c>
      <c r="CI970" t="s">
        <v>55</v>
      </c>
      <c r="CJ970" s="8">
        <v>43926</v>
      </c>
      <c r="CK970">
        <v>5</v>
      </c>
      <c r="CM970">
        <v>0</v>
      </c>
    </row>
    <row r="971" spans="1:206" ht="19.5">
      <c r="CH971">
        <v>79</v>
      </c>
      <c r="CI971" t="s">
        <v>55</v>
      </c>
      <c r="CJ971" s="8">
        <v>43927</v>
      </c>
      <c r="CK971">
        <v>5</v>
      </c>
      <c r="CM971">
        <v>0</v>
      </c>
    </row>
    <row r="972" spans="1:206" ht="19.5">
      <c r="CH972">
        <v>79</v>
      </c>
      <c r="CI972" t="s">
        <v>55</v>
      </c>
      <c r="CJ972" s="8">
        <v>43928</v>
      </c>
      <c r="CK972">
        <v>5</v>
      </c>
      <c r="CM972">
        <v>0</v>
      </c>
    </row>
    <row r="973" spans="1:206" ht="19.5">
      <c r="CH973">
        <v>79</v>
      </c>
      <c r="CI973" t="s">
        <v>55</v>
      </c>
      <c r="CJ973" s="8">
        <v>43929</v>
      </c>
      <c r="CK973">
        <v>7</v>
      </c>
      <c r="CM973">
        <v>0</v>
      </c>
    </row>
    <row r="974" spans="1:206" ht="19.5">
      <c r="CH974">
        <v>79</v>
      </c>
      <c r="CI974" t="s">
        <v>55</v>
      </c>
      <c r="CJ974" s="8">
        <v>43930</v>
      </c>
      <c r="CK974">
        <v>8</v>
      </c>
      <c r="CM974">
        <v>0</v>
      </c>
    </row>
    <row r="975" spans="1:206" ht="19.5">
      <c r="CH975">
        <v>79</v>
      </c>
      <c r="CI975" t="s">
        <v>55</v>
      </c>
      <c r="CJ975" s="8">
        <v>43931</v>
      </c>
      <c r="CK975">
        <v>9</v>
      </c>
      <c r="CM975">
        <v>0</v>
      </c>
    </row>
    <row r="976" spans="1:206" ht="19.5">
      <c r="CH976">
        <v>79</v>
      </c>
      <c r="CI976" t="s">
        <v>55</v>
      </c>
      <c r="CJ976" s="8">
        <v>43932</v>
      </c>
      <c r="CK976">
        <v>9</v>
      </c>
      <c r="CM976">
        <v>0</v>
      </c>
    </row>
    <row r="977" spans="1:206" ht="19.5">
      <c r="CH977">
        <v>79</v>
      </c>
      <c r="CI977" t="s">
        <v>55</v>
      </c>
      <c r="CJ977" s="8">
        <v>43933</v>
      </c>
      <c r="CK977">
        <v>10</v>
      </c>
      <c r="CM977">
        <v>0</v>
      </c>
    </row>
    <row r="978" spans="1:206" ht="19.5">
      <c r="CH978">
        <v>79</v>
      </c>
      <c r="CI978" t="s">
        <v>55</v>
      </c>
      <c r="CJ978" s="8">
        <v>43934</v>
      </c>
      <c r="CK978">
        <v>13</v>
      </c>
      <c r="CM978">
        <v>0</v>
      </c>
    </row>
    <row r="979" spans="1:206" ht="19.5">
      <c r="CH979">
        <v>79</v>
      </c>
      <c r="CI979" t="s">
        <v>55</v>
      </c>
      <c r="CJ979" s="8">
        <v>43935</v>
      </c>
      <c r="CK979">
        <v>14</v>
      </c>
      <c r="CM979">
        <v>0</v>
      </c>
    </row>
    <row r="980" spans="1:206" ht="19.5">
      <c r="CH980">
        <v>79</v>
      </c>
      <c r="CI980" t="s">
        <v>55</v>
      </c>
      <c r="CJ980" s="8">
        <v>43936</v>
      </c>
      <c r="CK980">
        <v>15</v>
      </c>
      <c r="CM980">
        <v>0</v>
      </c>
    </row>
    <row r="981" spans="1:206" ht="19.5">
      <c r="CH981">
        <v>79</v>
      </c>
      <c r="CI981" t="s">
        <v>55</v>
      </c>
      <c r="CJ981" s="8">
        <v>43937</v>
      </c>
      <c r="CK981">
        <v>15</v>
      </c>
      <c r="CL981">
        <v>236</v>
      </c>
      <c r="CM981">
        <v>0</v>
      </c>
    </row>
    <row r="982" spans="1:206" ht="19.5">
      <c r="CH982">
        <v>79</v>
      </c>
      <c r="CI982" t="s">
        <v>55</v>
      </c>
      <c r="CJ982" s="8">
        <v>43938</v>
      </c>
      <c r="CK982">
        <v>16</v>
      </c>
      <c r="CL982">
        <v>252</v>
      </c>
      <c r="CM982">
        <v>0</v>
      </c>
    </row>
    <row r="983" spans="1:206" ht="19.5">
      <c r="CH983">
        <v>79</v>
      </c>
      <c r="CI983" t="s">
        <v>55</v>
      </c>
      <c r="CJ983" s="8">
        <v>43939</v>
      </c>
      <c r="CK983">
        <v>17</v>
      </c>
      <c r="CL983">
        <v>267</v>
      </c>
      <c r="CM983">
        <v>0</v>
      </c>
    </row>
    <row r="984" spans="1:206" ht="19.5">
      <c r="CH984">
        <v>79</v>
      </c>
      <c r="CI984" t="s">
        <v>55</v>
      </c>
      <c r="CJ984" s="8">
        <v>43940</v>
      </c>
      <c r="CK984">
        <v>19</v>
      </c>
      <c r="CL984">
        <v>299</v>
      </c>
      <c r="CM984">
        <v>0</v>
      </c>
    </row>
    <row r="985" spans="1:206" ht="19.5">
      <c r="CH985">
        <v>79</v>
      </c>
      <c r="CI985" t="s">
        <v>55</v>
      </c>
      <c r="CJ985" s="8">
        <v>43941</v>
      </c>
      <c r="CK985">
        <v>22</v>
      </c>
      <c r="CL985">
        <v>346</v>
      </c>
      <c r="CM985">
        <v>0</v>
      </c>
    </row>
    <row r="986" spans="1:206" ht="19.5">
      <c r="CH986">
        <v>79</v>
      </c>
      <c r="CI986" t="s">
        <v>55</v>
      </c>
      <c r="CJ986" s="8">
        <v>43942</v>
      </c>
      <c r="CK986">
        <v>22</v>
      </c>
      <c r="CL986">
        <v>346</v>
      </c>
      <c r="CM986">
        <v>0</v>
      </c>
    </row>
    <row r="987" spans="1:206" ht="19.5">
      <c r="CH987">
        <v>79</v>
      </c>
      <c r="CI987" t="s">
        <v>55</v>
      </c>
      <c r="CJ987" s="8">
        <v>43943</v>
      </c>
      <c r="CK987">
        <v>26</v>
      </c>
      <c r="CL987">
        <v>409</v>
      </c>
      <c r="CM987">
        <v>0</v>
      </c>
    </row>
    <row r="988" spans="1:206" ht="19.5">
      <c r="CH988">
        <v>79</v>
      </c>
      <c r="CI988" t="s">
        <v>55</v>
      </c>
      <c r="CJ988" s="8">
        <v>43944</v>
      </c>
      <c r="CK988">
        <v>29</v>
      </c>
      <c r="CL988">
        <v>456</v>
      </c>
      <c r="CM988">
        <v>0</v>
      </c>
    </row>
    <row r="989" spans="1:206" ht="19.5">
      <c r="CH989">
        <v>79</v>
      </c>
      <c r="CI989" t="s">
        <v>55</v>
      </c>
      <c r="CJ989" s="8">
        <v>43945</v>
      </c>
      <c r="CK989">
        <v>32</v>
      </c>
      <c r="CL989">
        <v>503</v>
      </c>
      <c r="CM989">
        <v>0</v>
      </c>
    </row>
    <row r="990" spans="1:206" ht="19.5">
      <c r="CH990">
        <v>79</v>
      </c>
      <c r="CI990" t="s">
        <v>55</v>
      </c>
      <c r="CJ990" s="8">
        <v>43946</v>
      </c>
      <c r="CK990">
        <v>32</v>
      </c>
      <c r="CL990">
        <v>503</v>
      </c>
      <c r="CM990">
        <v>0</v>
      </c>
    </row>
    <row r="991" spans="1:206" ht="19.5">
      <c r="CH991">
        <v>79</v>
      </c>
      <c r="CI991" t="s">
        <v>55</v>
      </c>
      <c r="CJ991" s="8">
        <v>43947</v>
      </c>
      <c r="CK991">
        <v>36</v>
      </c>
      <c r="CL991">
        <v>566</v>
      </c>
      <c r="CM991">
        <v>0</v>
      </c>
    </row>
    <row r="992" spans="1:206" ht="19.5">
      <c r="CH992">
        <v>79</v>
      </c>
      <c r="CI992" t="s">
        <v>55</v>
      </c>
      <c r="CJ992" s="8">
        <v>43948</v>
      </c>
      <c r="CK992">
        <v>37</v>
      </c>
      <c r="CL992">
        <v>582</v>
      </c>
      <c r="CM992">
        <v>0</v>
      </c>
    </row>
    <row r="993" spans="1:206" ht="19.5">
      <c r="CH993">
        <v>79</v>
      </c>
      <c r="CI993" t="s">
        <v>55</v>
      </c>
      <c r="CJ993" s="8">
        <v>43949</v>
      </c>
      <c r="CK993">
        <v>37</v>
      </c>
      <c r="CL993">
        <v>582</v>
      </c>
      <c r="CM993">
        <v>0</v>
      </c>
    </row>
    <row r="994" spans="1:206" ht="19.5">
      <c r="CH994">
        <v>79</v>
      </c>
      <c r="CI994" t="s">
        <v>55</v>
      </c>
      <c r="CJ994" s="8">
        <v>43950</v>
      </c>
      <c r="CK994">
        <v>40</v>
      </c>
      <c r="CL994">
        <v>629</v>
      </c>
      <c r="CM994">
        <v>1</v>
      </c>
    </row>
    <row r="995" spans="1:206" ht="19.5">
      <c r="CH995">
        <v>79</v>
      </c>
      <c r="CI995" t="s">
        <v>55</v>
      </c>
      <c r="CJ995" s="8">
        <v>43951</v>
      </c>
      <c r="CK995">
        <v>40</v>
      </c>
      <c r="CL995">
        <v>629</v>
      </c>
      <c r="CM995">
        <v>1</v>
      </c>
    </row>
    <row r="996" spans="1:206" ht="19.5">
      <c r="CH996">
        <v>80</v>
      </c>
      <c r="CI996" t="s">
        <v>56</v>
      </c>
      <c r="CJ996" s="8">
        <v>43914</v>
      </c>
      <c r="CK996">
        <v>3</v>
      </c>
      <c r="CM996">
        <v>0</v>
      </c>
    </row>
    <row r="997" spans="1:206" ht="19.5">
      <c r="CH997">
        <v>80</v>
      </c>
      <c r="CI997" t="s">
        <v>56</v>
      </c>
      <c r="CJ997" s="8">
        <v>43915</v>
      </c>
      <c r="CK997">
        <v>7</v>
      </c>
      <c r="CM997">
        <v>0</v>
      </c>
    </row>
    <row r="998" spans="1:206" ht="19.5">
      <c r="CH998">
        <v>80</v>
      </c>
      <c r="CI998" t="s">
        <v>56</v>
      </c>
      <c r="CJ998" s="8">
        <v>43916</v>
      </c>
      <c r="CK998">
        <v>8</v>
      </c>
      <c r="CM998">
        <v>0</v>
      </c>
    </row>
    <row r="999" spans="1:206" ht="19.5">
      <c r="CH999">
        <v>80</v>
      </c>
      <c r="CI999" t="s">
        <v>56</v>
      </c>
      <c r="CJ999" s="8">
        <v>43917</v>
      </c>
      <c r="CK999">
        <v>9</v>
      </c>
      <c r="CM999">
        <v>0</v>
      </c>
    </row>
    <row r="1000" spans="1:206" ht="19.5">
      <c r="CH1000">
        <v>80</v>
      </c>
      <c r="CI1000" t="s">
        <v>56</v>
      </c>
      <c r="CJ1000" s="8">
        <v>43918</v>
      </c>
      <c r="CK1000">
        <v>14</v>
      </c>
      <c r="CM1000">
        <v>0</v>
      </c>
    </row>
    <row r="1001" spans="1:206" ht="19.5">
      <c r="CH1001">
        <v>80</v>
      </c>
      <c r="CI1001" t="s">
        <v>56</v>
      </c>
      <c r="CJ1001" s="8">
        <v>43919</v>
      </c>
      <c r="CK1001">
        <v>16</v>
      </c>
      <c r="CM1001">
        <v>0</v>
      </c>
    </row>
    <row r="1002" spans="1:206" ht="19.5">
      <c r="CH1002">
        <v>80</v>
      </c>
      <c r="CI1002" t="s">
        <v>56</v>
      </c>
      <c r="CJ1002" s="8">
        <v>43920</v>
      </c>
      <c r="CK1002">
        <v>21</v>
      </c>
      <c r="CM1002">
        <v>0</v>
      </c>
    </row>
    <row r="1003" spans="1:206" ht="19.5">
      <c r="CH1003">
        <v>80</v>
      </c>
      <c r="CI1003" t="s">
        <v>56</v>
      </c>
      <c r="CJ1003" s="8">
        <v>43921</v>
      </c>
      <c r="CK1003">
        <v>24</v>
      </c>
      <c r="CM1003">
        <v>1</v>
      </c>
    </row>
    <row r="1004" spans="1:206" ht="19.5">
      <c r="CH1004">
        <v>80</v>
      </c>
      <c r="CI1004" t="s">
        <v>56</v>
      </c>
      <c r="CJ1004" s="8">
        <v>43922</v>
      </c>
      <c r="CK1004">
        <v>31</v>
      </c>
      <c r="CM1004">
        <v>1</v>
      </c>
    </row>
    <row r="1005" spans="1:206" ht="19.5">
      <c r="CH1005">
        <v>80</v>
      </c>
      <c r="CI1005" t="s">
        <v>56</v>
      </c>
      <c r="CJ1005" s="8">
        <v>43923</v>
      </c>
      <c r="CK1005">
        <v>31</v>
      </c>
      <c r="CM1005">
        <v>1</v>
      </c>
    </row>
    <row r="1006" spans="1:206" ht="19.5">
      <c r="CH1006">
        <v>80</v>
      </c>
      <c r="CI1006" t="s">
        <v>56</v>
      </c>
      <c r="CJ1006" s="8">
        <v>43924</v>
      </c>
      <c r="CK1006">
        <v>40</v>
      </c>
      <c r="CM1006">
        <v>1</v>
      </c>
    </row>
    <row r="1007" spans="1:206" ht="19.5">
      <c r="CH1007">
        <v>80</v>
      </c>
      <c r="CI1007" t="s">
        <v>56</v>
      </c>
      <c r="CJ1007" s="8">
        <v>43925</v>
      </c>
      <c r="CK1007">
        <v>46</v>
      </c>
      <c r="CM1007">
        <v>2</v>
      </c>
    </row>
    <row r="1008" spans="1:206" ht="19.5">
      <c r="CH1008">
        <v>80</v>
      </c>
      <c r="CI1008" t="s">
        <v>56</v>
      </c>
      <c r="CJ1008" s="8">
        <v>43926</v>
      </c>
      <c r="CK1008">
        <v>47</v>
      </c>
      <c r="CM1008">
        <v>2</v>
      </c>
    </row>
    <row r="1009" spans="1:206" ht="19.5">
      <c r="CH1009">
        <v>80</v>
      </c>
      <c r="CI1009" t="s">
        <v>56</v>
      </c>
      <c r="CJ1009" s="8">
        <v>43927</v>
      </c>
      <c r="CK1009">
        <v>64</v>
      </c>
      <c r="CM1009">
        <v>2</v>
      </c>
    </row>
    <row r="1010" spans="1:206" ht="19.5">
      <c r="CH1010">
        <v>80</v>
      </c>
      <c r="CI1010" t="s">
        <v>56</v>
      </c>
      <c r="CJ1010" s="8">
        <v>43928</v>
      </c>
      <c r="CK1010">
        <v>68</v>
      </c>
      <c r="CM1010">
        <v>3</v>
      </c>
    </row>
    <row r="1011" spans="1:206" ht="19.5">
      <c r="CH1011">
        <v>80</v>
      </c>
      <c r="CI1011" t="s">
        <v>56</v>
      </c>
      <c r="CJ1011" s="8">
        <v>43929</v>
      </c>
      <c r="CK1011">
        <v>79</v>
      </c>
      <c r="CM1011">
        <v>4</v>
      </c>
    </row>
    <row r="1012" spans="1:206" ht="19.5">
      <c r="CH1012">
        <v>80</v>
      </c>
      <c r="CI1012" t="s">
        <v>56</v>
      </c>
      <c r="CJ1012" s="8">
        <v>43930</v>
      </c>
      <c r="CK1012">
        <v>84</v>
      </c>
      <c r="CM1012">
        <v>4</v>
      </c>
    </row>
    <row r="1013" spans="1:206" ht="19.5">
      <c r="CH1013">
        <v>80</v>
      </c>
      <c r="CI1013" t="s">
        <v>56</v>
      </c>
      <c r="CJ1013" s="8">
        <v>43931</v>
      </c>
      <c r="CK1013">
        <v>101</v>
      </c>
      <c r="CM1013">
        <v>4</v>
      </c>
    </row>
    <row r="1014" spans="1:206" ht="19.5">
      <c r="CH1014">
        <v>80</v>
      </c>
      <c r="CI1014" t="s">
        <v>56</v>
      </c>
      <c r="CJ1014" s="8">
        <v>43932</v>
      </c>
      <c r="CK1014">
        <v>110</v>
      </c>
      <c r="CM1014">
        <v>7</v>
      </c>
    </row>
    <row r="1015" spans="1:206" ht="19.5">
      <c r="CH1015">
        <v>80</v>
      </c>
      <c r="CI1015" t="s">
        <v>56</v>
      </c>
      <c r="CJ1015" s="8">
        <v>43933</v>
      </c>
      <c r="CK1015">
        <v>113</v>
      </c>
      <c r="CM1015">
        <v>8</v>
      </c>
    </row>
    <row r="1016" spans="1:206" ht="19.5">
      <c r="CH1016">
        <v>80</v>
      </c>
      <c r="CI1016" t="s">
        <v>56</v>
      </c>
      <c r="CJ1016" s="8">
        <v>43934</v>
      </c>
      <c r="CK1016">
        <v>145</v>
      </c>
      <c r="CM1016">
        <v>9</v>
      </c>
    </row>
    <row r="1017" spans="1:206" ht="19.5">
      <c r="CH1017">
        <v>80</v>
      </c>
      <c r="CI1017" t="s">
        <v>56</v>
      </c>
      <c r="CJ1017" s="8">
        <v>43935</v>
      </c>
      <c r="CK1017">
        <v>152</v>
      </c>
      <c r="CM1017">
        <v>9</v>
      </c>
    </row>
    <row r="1018" spans="1:206" ht="19.5">
      <c r="CH1018">
        <v>80</v>
      </c>
      <c r="CI1018" t="s">
        <v>56</v>
      </c>
      <c r="CJ1018" s="8">
        <v>43936</v>
      </c>
      <c r="CK1018">
        <v>158</v>
      </c>
      <c r="CM1018">
        <v>12</v>
      </c>
    </row>
    <row r="1019" spans="1:206" ht="19.5">
      <c r="CH1019">
        <v>80</v>
      </c>
      <c r="CI1019" t="s">
        <v>56</v>
      </c>
      <c r="CJ1019" s="8">
        <v>43937</v>
      </c>
      <c r="CK1019">
        <v>169</v>
      </c>
      <c r="CL1019">
        <v>284</v>
      </c>
      <c r="CM1019">
        <v>12</v>
      </c>
    </row>
    <row r="1020" spans="1:206" ht="19.5">
      <c r="CH1020">
        <v>80</v>
      </c>
      <c r="CI1020" t="s">
        <v>56</v>
      </c>
      <c r="CJ1020" s="8">
        <v>43938</v>
      </c>
      <c r="CK1020">
        <v>175</v>
      </c>
      <c r="CL1020">
        <v>294</v>
      </c>
      <c r="CM1020">
        <v>15</v>
      </c>
    </row>
    <row r="1021" spans="1:206" ht="19.5">
      <c r="CH1021">
        <v>80</v>
      </c>
      <c r="CI1021" t="s">
        <v>56</v>
      </c>
      <c r="CJ1021" s="8">
        <v>43939</v>
      </c>
      <c r="CK1021">
        <v>186</v>
      </c>
      <c r="CL1021">
        <v>312</v>
      </c>
      <c r="CM1021">
        <v>16</v>
      </c>
    </row>
    <row r="1022" spans="1:206" ht="19.5">
      <c r="CH1022">
        <v>80</v>
      </c>
      <c r="CI1022" t="s">
        <v>56</v>
      </c>
      <c r="CJ1022" s="8">
        <v>43940</v>
      </c>
      <c r="CK1022">
        <v>191</v>
      </c>
      <c r="CL1022">
        <v>321</v>
      </c>
      <c r="CM1022">
        <v>17</v>
      </c>
    </row>
    <row r="1023" spans="1:206" ht="19.5">
      <c r="CH1023">
        <v>80</v>
      </c>
      <c r="CI1023" t="s">
        <v>56</v>
      </c>
      <c r="CJ1023" s="8">
        <v>43941</v>
      </c>
      <c r="CK1023">
        <v>205</v>
      </c>
      <c r="CL1023">
        <v>344</v>
      </c>
      <c r="CM1023">
        <v>21</v>
      </c>
    </row>
    <row r="1024" spans="1:206" ht="19.5">
      <c r="CH1024">
        <v>80</v>
      </c>
      <c r="CI1024" t="s">
        <v>56</v>
      </c>
      <c r="CJ1024" s="8">
        <v>43942</v>
      </c>
      <c r="CK1024">
        <v>215</v>
      </c>
      <c r="CL1024">
        <v>361</v>
      </c>
      <c r="CM1024">
        <v>22</v>
      </c>
    </row>
    <row r="1025" spans="1:206" ht="19.5">
      <c r="CH1025">
        <v>80</v>
      </c>
      <c r="CI1025" t="s">
        <v>56</v>
      </c>
      <c r="CJ1025" s="8">
        <v>43943</v>
      </c>
      <c r="CK1025">
        <v>229</v>
      </c>
      <c r="CL1025">
        <v>385</v>
      </c>
      <c r="CM1025">
        <v>26</v>
      </c>
    </row>
    <row r="1026" spans="1:206" ht="19.5">
      <c r="CH1026">
        <v>80</v>
      </c>
      <c r="CI1026" t="s">
        <v>56</v>
      </c>
      <c r="CJ1026" s="8">
        <v>43944</v>
      </c>
      <c r="CK1026">
        <v>241</v>
      </c>
      <c r="CL1026">
        <v>405</v>
      </c>
      <c r="CM1026">
        <v>26</v>
      </c>
    </row>
    <row r="1027" spans="1:206" ht="19.5">
      <c r="CH1027">
        <v>80</v>
      </c>
      <c r="CI1027" t="s">
        <v>56</v>
      </c>
      <c r="CJ1027" s="8">
        <v>43945</v>
      </c>
      <c r="CK1027">
        <v>263</v>
      </c>
      <c r="CL1027">
        <v>442</v>
      </c>
      <c r="CM1027">
        <v>28</v>
      </c>
    </row>
    <row r="1028" spans="1:206" ht="19.5">
      <c r="CH1028">
        <v>80</v>
      </c>
      <c r="CI1028" t="s">
        <v>56</v>
      </c>
      <c r="CJ1028" s="8">
        <v>43946</v>
      </c>
      <c r="CK1028">
        <v>278</v>
      </c>
      <c r="CL1028">
        <v>467</v>
      </c>
      <c r="CM1028">
        <v>28</v>
      </c>
    </row>
    <row r="1029" spans="1:206" ht="19.5">
      <c r="CH1029">
        <v>80</v>
      </c>
      <c r="CI1029" t="s">
        <v>56</v>
      </c>
      <c r="CJ1029" s="8">
        <v>43947</v>
      </c>
      <c r="CK1029">
        <v>301</v>
      </c>
      <c r="CL1029">
        <v>506</v>
      </c>
      <c r="CM1029">
        <v>28</v>
      </c>
    </row>
    <row r="1030" spans="1:206" ht="19.5">
      <c r="CH1030">
        <v>80</v>
      </c>
      <c r="CI1030" t="s">
        <v>56</v>
      </c>
      <c r="CJ1030" s="8">
        <v>43948</v>
      </c>
      <c r="CK1030">
        <v>320</v>
      </c>
      <c r="CL1030">
        <v>537</v>
      </c>
      <c r="CM1030">
        <v>30</v>
      </c>
    </row>
    <row r="1031" spans="1:206" ht="19.5">
      <c r="CH1031">
        <v>80</v>
      </c>
      <c r="CI1031" t="s">
        <v>56</v>
      </c>
      <c r="CJ1031" s="8">
        <v>43949</v>
      </c>
      <c r="CK1031">
        <v>326</v>
      </c>
      <c r="CL1031">
        <v>548</v>
      </c>
      <c r="CM1031">
        <v>32</v>
      </c>
    </row>
    <row r="1032" spans="1:206" ht="19.5">
      <c r="CH1032">
        <v>80</v>
      </c>
      <c r="CI1032" t="s">
        <v>56</v>
      </c>
      <c r="CJ1032" s="8">
        <v>43950</v>
      </c>
      <c r="CK1032">
        <v>337</v>
      </c>
      <c r="CL1032">
        <v>566</v>
      </c>
      <c r="CM1032">
        <v>30</v>
      </c>
    </row>
    <row r="1033" spans="1:206" ht="19.5">
      <c r="CH1033">
        <v>80</v>
      </c>
      <c r="CI1033" t="s">
        <v>56</v>
      </c>
      <c r="CJ1033" s="8">
        <v>43951</v>
      </c>
      <c r="CK1033">
        <v>358</v>
      </c>
      <c r="CL1033">
        <v>601</v>
      </c>
      <c r="CM1033">
        <v>30</v>
      </c>
    </row>
    <row r="1034" spans="1:206" ht="19.5">
      <c r="CH1034">
        <v>83</v>
      </c>
      <c r="CI1034" t="s">
        <v>57</v>
      </c>
      <c r="CJ1034" s="8">
        <v>43914</v>
      </c>
      <c r="CK1034">
        <v>1</v>
      </c>
      <c r="CM1034">
        <v>0</v>
      </c>
    </row>
    <row r="1035" spans="1:206" ht="19.5">
      <c r="CH1035">
        <v>83</v>
      </c>
      <c r="CI1035" t="s">
        <v>57</v>
      </c>
      <c r="CJ1035" s="8">
        <v>43915</v>
      </c>
      <c r="CK1035">
        <v>2</v>
      </c>
      <c r="CM1035">
        <v>0</v>
      </c>
    </row>
    <row r="1036" spans="1:206" ht="19.5">
      <c r="CH1036">
        <v>83</v>
      </c>
      <c r="CI1036" t="s">
        <v>57</v>
      </c>
      <c r="CJ1036" s="8">
        <v>43916</v>
      </c>
      <c r="CK1036">
        <v>3</v>
      </c>
      <c r="CM1036">
        <v>0</v>
      </c>
    </row>
    <row r="1037" spans="1:206" ht="19.5">
      <c r="CH1037">
        <v>83</v>
      </c>
      <c r="CI1037" t="s">
        <v>57</v>
      </c>
      <c r="CJ1037" s="8">
        <v>43917</v>
      </c>
      <c r="CK1037">
        <v>6</v>
      </c>
      <c r="CM1037">
        <v>0</v>
      </c>
    </row>
    <row r="1038" spans="1:206" ht="19.5">
      <c r="CH1038">
        <v>83</v>
      </c>
      <c r="CI1038" t="s">
        <v>57</v>
      </c>
      <c r="CJ1038" s="8">
        <v>43918</v>
      </c>
      <c r="CK1038">
        <v>6</v>
      </c>
      <c r="CM1038">
        <v>0</v>
      </c>
    </row>
    <row r="1039" spans="1:206" ht="19.5">
      <c r="CH1039">
        <v>83</v>
      </c>
      <c r="CI1039" t="s">
        <v>57</v>
      </c>
      <c r="CJ1039" s="8">
        <v>43919</v>
      </c>
      <c r="CK1039">
        <v>12</v>
      </c>
      <c r="CM1039">
        <v>0</v>
      </c>
    </row>
    <row r="1040" spans="1:206" ht="19.5">
      <c r="CH1040">
        <v>83</v>
      </c>
      <c r="CI1040" t="s">
        <v>57</v>
      </c>
      <c r="CJ1040" s="8">
        <v>43920</v>
      </c>
      <c r="CK1040">
        <v>18</v>
      </c>
      <c r="CM1040">
        <v>0</v>
      </c>
    </row>
    <row r="1041" spans="1:206" ht="19.5">
      <c r="CH1041">
        <v>83</v>
      </c>
      <c r="CI1041" t="s">
        <v>57</v>
      </c>
      <c r="CJ1041" s="8">
        <v>43921</v>
      </c>
      <c r="CK1041">
        <v>19</v>
      </c>
      <c r="CM1041">
        <v>0</v>
      </c>
    </row>
    <row r="1042" spans="1:206" ht="19.5">
      <c r="CH1042">
        <v>83</v>
      </c>
      <c r="CI1042" t="s">
        <v>57</v>
      </c>
      <c r="CJ1042" s="8">
        <v>43922</v>
      </c>
      <c r="CK1042">
        <v>24</v>
      </c>
      <c r="CM1042">
        <v>0</v>
      </c>
    </row>
    <row r="1043" spans="1:206" ht="19.5">
      <c r="CH1043">
        <v>83</v>
      </c>
      <c r="CI1043" t="s">
        <v>57</v>
      </c>
      <c r="CJ1043" s="8">
        <v>43923</v>
      </c>
      <c r="CK1043">
        <v>29</v>
      </c>
      <c r="CM1043">
        <v>0</v>
      </c>
    </row>
    <row r="1044" spans="1:206" ht="19.5">
      <c r="CH1044">
        <v>83</v>
      </c>
      <c r="CI1044" t="s">
        <v>57</v>
      </c>
      <c r="CJ1044" s="8">
        <v>43924</v>
      </c>
      <c r="CK1044">
        <v>35</v>
      </c>
      <c r="CM1044">
        <v>0</v>
      </c>
    </row>
    <row r="1045" spans="1:206" ht="19.5">
      <c r="CH1045">
        <v>83</v>
      </c>
      <c r="CI1045" t="s">
        <v>57</v>
      </c>
      <c r="CJ1045" s="8">
        <v>43925</v>
      </c>
      <c r="CK1045">
        <v>42</v>
      </c>
      <c r="CM1045">
        <v>0</v>
      </c>
    </row>
    <row r="1046" spans="1:206" ht="19.5">
      <c r="CH1046">
        <v>83</v>
      </c>
      <c r="CI1046" t="s">
        <v>57</v>
      </c>
      <c r="CJ1046" s="8">
        <v>43926</v>
      </c>
      <c r="CK1046">
        <v>42</v>
      </c>
      <c r="CM1046">
        <v>0</v>
      </c>
    </row>
    <row r="1047" spans="1:206" ht="19.5">
      <c r="CH1047">
        <v>83</v>
      </c>
      <c r="CI1047" t="s">
        <v>57</v>
      </c>
      <c r="CJ1047" s="8">
        <v>43927</v>
      </c>
      <c r="CK1047">
        <v>52</v>
      </c>
      <c r="CM1047">
        <v>0</v>
      </c>
    </row>
    <row r="1048" spans="1:206" ht="19.5">
      <c r="CH1048">
        <v>83</v>
      </c>
      <c r="CI1048" t="s">
        <v>57</v>
      </c>
      <c r="CJ1048" s="8">
        <v>43928</v>
      </c>
      <c r="CK1048">
        <v>56</v>
      </c>
      <c r="CM1048">
        <v>0</v>
      </c>
    </row>
    <row r="1049" spans="1:206" ht="19.5">
      <c r="CH1049">
        <v>83</v>
      </c>
      <c r="CI1049" t="s">
        <v>57</v>
      </c>
      <c r="CJ1049" s="8">
        <v>43929</v>
      </c>
      <c r="CK1049">
        <v>64</v>
      </c>
      <c r="CM1049">
        <v>1</v>
      </c>
    </row>
    <row r="1050" spans="1:206" ht="19.5">
      <c r="CH1050">
        <v>83</v>
      </c>
      <c r="CI1050" t="s">
        <v>57</v>
      </c>
      <c r="CJ1050" s="8">
        <v>43930</v>
      </c>
      <c r="CK1050">
        <v>77</v>
      </c>
      <c r="CM1050">
        <v>4</v>
      </c>
    </row>
    <row r="1051" spans="1:206" ht="19.5">
      <c r="CH1051">
        <v>83</v>
      </c>
      <c r="CI1051" t="s">
        <v>57</v>
      </c>
      <c r="CJ1051" s="8">
        <v>43931</v>
      </c>
      <c r="CK1051">
        <v>94</v>
      </c>
      <c r="CM1051">
        <v>5</v>
      </c>
    </row>
    <row r="1052" spans="1:206" ht="19.5">
      <c r="CH1052">
        <v>83</v>
      </c>
      <c r="CI1052" t="s">
        <v>57</v>
      </c>
      <c r="CJ1052" s="8">
        <v>43932</v>
      </c>
      <c r="CK1052">
        <v>117</v>
      </c>
      <c r="CM1052">
        <v>6</v>
      </c>
    </row>
    <row r="1053" spans="1:206" ht="19.5">
      <c r="CH1053">
        <v>83</v>
      </c>
      <c r="CI1053" t="s">
        <v>57</v>
      </c>
      <c r="CJ1053" s="8">
        <v>43933</v>
      </c>
      <c r="CK1053">
        <v>120</v>
      </c>
      <c r="CM1053">
        <v>6</v>
      </c>
    </row>
    <row r="1054" spans="1:206" ht="19.5">
      <c r="CH1054">
        <v>83</v>
      </c>
      <c r="CI1054" t="s">
        <v>57</v>
      </c>
      <c r="CJ1054" s="8">
        <v>43934</v>
      </c>
      <c r="CK1054">
        <v>142</v>
      </c>
      <c r="CM1054">
        <v>6</v>
      </c>
    </row>
    <row r="1055" spans="1:206" ht="19.5">
      <c r="CH1055">
        <v>83</v>
      </c>
      <c r="CI1055" t="s">
        <v>57</v>
      </c>
      <c r="CJ1055" s="8">
        <v>43935</v>
      </c>
      <c r="CK1055">
        <v>151</v>
      </c>
      <c r="CM1055">
        <v>7</v>
      </c>
    </row>
    <row r="1056" spans="1:206" ht="19.5">
      <c r="CH1056">
        <v>83</v>
      </c>
      <c r="CI1056" t="s">
        <v>57</v>
      </c>
      <c r="CJ1056" s="8">
        <v>43936</v>
      </c>
      <c r="CK1056">
        <v>163</v>
      </c>
      <c r="CM1056">
        <v>11</v>
      </c>
    </row>
    <row r="1057" spans="1:206" ht="19.5">
      <c r="CH1057">
        <v>83</v>
      </c>
      <c r="CI1057" t="s">
        <v>57</v>
      </c>
      <c r="CJ1057" s="8">
        <v>43937</v>
      </c>
      <c r="CK1057">
        <v>168</v>
      </c>
      <c r="CL1057">
        <v>364</v>
      </c>
      <c r="CM1057">
        <v>11</v>
      </c>
    </row>
    <row r="1058" spans="1:206" ht="19.5">
      <c r="CH1058">
        <v>83</v>
      </c>
      <c r="CI1058" t="s">
        <v>57</v>
      </c>
      <c r="CJ1058" s="8">
        <v>43938</v>
      </c>
      <c r="CK1058">
        <v>186</v>
      </c>
      <c r="CL1058">
        <v>403</v>
      </c>
      <c r="CM1058">
        <v>12</v>
      </c>
    </row>
    <row r="1059" spans="1:206" ht="19.5">
      <c r="CH1059">
        <v>83</v>
      </c>
      <c r="CI1059" t="s">
        <v>57</v>
      </c>
      <c r="CJ1059" s="8">
        <v>43939</v>
      </c>
      <c r="CK1059">
        <v>200</v>
      </c>
      <c r="CL1059">
        <v>433</v>
      </c>
      <c r="CM1059">
        <v>14</v>
      </c>
    </row>
    <row r="1060" spans="1:206" ht="19.5">
      <c r="CH1060">
        <v>83</v>
      </c>
      <c r="CI1060" t="s">
        <v>57</v>
      </c>
      <c r="CJ1060" s="8">
        <v>43940</v>
      </c>
      <c r="CK1060">
        <v>207</v>
      </c>
      <c r="CL1060">
        <v>449</v>
      </c>
      <c r="CM1060">
        <v>16</v>
      </c>
    </row>
    <row r="1061" spans="1:206" ht="19.5">
      <c r="CH1061">
        <v>83</v>
      </c>
      <c r="CI1061" t="s">
        <v>57</v>
      </c>
      <c r="CJ1061" s="8">
        <v>43941</v>
      </c>
      <c r="CK1061">
        <v>218</v>
      </c>
      <c r="CL1061">
        <v>472</v>
      </c>
      <c r="CM1061">
        <v>20</v>
      </c>
    </row>
    <row r="1062" spans="1:206" ht="19.5">
      <c r="CH1062">
        <v>83</v>
      </c>
      <c r="CI1062" t="s">
        <v>57</v>
      </c>
      <c r="CJ1062" s="8">
        <v>43942</v>
      </c>
      <c r="CK1062">
        <v>242</v>
      </c>
      <c r="CL1062">
        <v>524</v>
      </c>
      <c r="CM1062">
        <v>21</v>
      </c>
    </row>
    <row r="1063" spans="1:206" ht="19.5">
      <c r="CH1063">
        <v>83</v>
      </c>
      <c r="CI1063" t="s">
        <v>57</v>
      </c>
      <c r="CJ1063" s="8">
        <v>43943</v>
      </c>
      <c r="CK1063">
        <v>245</v>
      </c>
      <c r="CL1063">
        <v>531</v>
      </c>
      <c r="CM1063">
        <v>25</v>
      </c>
    </row>
    <row r="1064" spans="1:206" ht="19.5">
      <c r="CH1064">
        <v>83</v>
      </c>
      <c r="CI1064" t="s">
        <v>57</v>
      </c>
      <c r="CJ1064" s="8">
        <v>43944</v>
      </c>
      <c r="CK1064">
        <v>255</v>
      </c>
      <c r="CL1064">
        <v>553</v>
      </c>
      <c r="CM1064">
        <v>27</v>
      </c>
    </row>
    <row r="1065" spans="1:206" ht="19.5">
      <c r="CH1065">
        <v>83</v>
      </c>
      <c r="CI1065" t="s">
        <v>57</v>
      </c>
      <c r="CJ1065" s="8">
        <v>43945</v>
      </c>
      <c r="CK1065">
        <v>266</v>
      </c>
      <c r="CL1065">
        <v>576</v>
      </c>
      <c r="CM1065">
        <v>31</v>
      </c>
    </row>
    <row r="1066" spans="1:206" ht="19.5">
      <c r="CH1066">
        <v>83</v>
      </c>
      <c r="CI1066" t="s">
        <v>57</v>
      </c>
      <c r="CJ1066" s="8">
        <v>43946</v>
      </c>
      <c r="CK1066">
        <v>274</v>
      </c>
      <c r="CL1066">
        <v>594</v>
      </c>
      <c r="CM1066">
        <v>31</v>
      </c>
    </row>
    <row r="1067" spans="1:206" ht="19.5">
      <c r="CH1067">
        <v>83</v>
      </c>
      <c r="CI1067" t="s">
        <v>57</v>
      </c>
      <c r="CJ1067" s="8">
        <v>43947</v>
      </c>
      <c r="CK1067">
        <v>277</v>
      </c>
      <c r="CL1067">
        <v>600</v>
      </c>
      <c r="CM1067">
        <v>33</v>
      </c>
    </row>
    <row r="1068" spans="1:206" ht="19.5">
      <c r="CH1068">
        <v>83</v>
      </c>
      <c r="CI1068" t="s">
        <v>57</v>
      </c>
      <c r="CJ1068" s="8">
        <v>43948</v>
      </c>
      <c r="CK1068">
        <v>293</v>
      </c>
      <c r="CL1068">
        <v>635</v>
      </c>
      <c r="CM1068">
        <v>35</v>
      </c>
    </row>
    <row r="1069" spans="1:206" ht="19.5">
      <c r="CH1069">
        <v>83</v>
      </c>
      <c r="CI1069" t="s">
        <v>57</v>
      </c>
      <c r="CJ1069" s="8">
        <v>43949</v>
      </c>
      <c r="CK1069">
        <v>295</v>
      </c>
      <c r="CL1069">
        <v>639</v>
      </c>
      <c r="CM1069">
        <v>35</v>
      </c>
    </row>
    <row r="1070" spans="1:206" ht="19.5">
      <c r="CH1070">
        <v>83</v>
      </c>
      <c r="CI1070" t="s">
        <v>57</v>
      </c>
      <c r="CJ1070" s="8">
        <v>43950</v>
      </c>
      <c r="CK1070">
        <v>303</v>
      </c>
      <c r="CL1070">
        <v>657</v>
      </c>
      <c r="CM1070">
        <v>39</v>
      </c>
    </row>
    <row r="1071" spans="1:206" ht="19.5">
      <c r="CH1071">
        <v>83</v>
      </c>
      <c r="CI1071" t="s">
        <v>57</v>
      </c>
      <c r="CJ1071" s="8">
        <v>43951</v>
      </c>
      <c r="CK1071">
        <v>320</v>
      </c>
      <c r="CL1071">
        <v>693</v>
      </c>
      <c r="CM1071">
        <v>39</v>
      </c>
    </row>
    <row r="1072" spans="1:206" ht="19.5">
      <c r="CH1072">
        <v>86</v>
      </c>
      <c r="CI1072" t="s">
        <v>58</v>
      </c>
      <c r="CJ1072" s="8">
        <v>43914</v>
      </c>
      <c r="CK1072">
        <v>1</v>
      </c>
      <c r="CM1072">
        <v>0</v>
      </c>
    </row>
    <row r="1073" spans="1:206" ht="19.5">
      <c r="CH1073">
        <v>86</v>
      </c>
      <c r="CI1073" t="s">
        <v>58</v>
      </c>
      <c r="CJ1073" s="8">
        <v>43915</v>
      </c>
      <c r="CK1073">
        <v>1</v>
      </c>
      <c r="CM1073">
        <v>0</v>
      </c>
    </row>
    <row r="1074" spans="1:206" ht="19.5">
      <c r="CH1074">
        <v>86</v>
      </c>
      <c r="CI1074" t="s">
        <v>58</v>
      </c>
      <c r="CJ1074" s="8">
        <v>43916</v>
      </c>
      <c r="CK1074">
        <v>1</v>
      </c>
      <c r="CM1074">
        <v>0</v>
      </c>
    </row>
    <row r="1075" spans="1:206" ht="19.5">
      <c r="CH1075">
        <v>86</v>
      </c>
      <c r="CI1075" t="s">
        <v>58</v>
      </c>
      <c r="CJ1075" s="8">
        <v>43917</v>
      </c>
      <c r="CK1075">
        <v>1</v>
      </c>
      <c r="CM1075">
        <v>0</v>
      </c>
    </row>
    <row r="1076" spans="1:206" ht="19.5">
      <c r="CH1076">
        <v>86</v>
      </c>
      <c r="CI1076" t="s">
        <v>58</v>
      </c>
      <c r="CJ1076" s="8">
        <v>43918</v>
      </c>
      <c r="CK1076">
        <v>1</v>
      </c>
      <c r="CM1076">
        <v>0</v>
      </c>
    </row>
    <row r="1077" spans="1:206" ht="19.5">
      <c r="CH1077">
        <v>86</v>
      </c>
      <c r="CI1077" t="s">
        <v>58</v>
      </c>
      <c r="CJ1077" s="8">
        <v>43919</v>
      </c>
      <c r="CK1077">
        <v>1</v>
      </c>
      <c r="CM1077">
        <v>0</v>
      </c>
    </row>
    <row r="1078" spans="1:206" ht="19.5">
      <c r="CH1078">
        <v>86</v>
      </c>
      <c r="CI1078" t="s">
        <v>58</v>
      </c>
      <c r="CJ1078" s="8">
        <v>43920</v>
      </c>
      <c r="CK1078">
        <v>1</v>
      </c>
      <c r="CM1078">
        <v>0</v>
      </c>
    </row>
    <row r="1079" spans="1:206" ht="19.5">
      <c r="CH1079">
        <v>86</v>
      </c>
      <c r="CI1079" t="s">
        <v>58</v>
      </c>
      <c r="CJ1079" s="8">
        <v>43921</v>
      </c>
      <c r="CK1079">
        <v>2</v>
      </c>
      <c r="CM1079">
        <v>0</v>
      </c>
    </row>
    <row r="1080" spans="1:206" ht="19.5">
      <c r="CH1080">
        <v>86</v>
      </c>
      <c r="CI1080" t="s">
        <v>58</v>
      </c>
      <c r="CJ1080" s="8">
        <v>43922</v>
      </c>
      <c r="CK1080">
        <v>3</v>
      </c>
      <c r="CM1080">
        <v>0</v>
      </c>
    </row>
    <row r="1081" spans="1:206" ht="19.5">
      <c r="CH1081">
        <v>86</v>
      </c>
      <c r="CI1081" t="s">
        <v>58</v>
      </c>
      <c r="CJ1081" s="8">
        <v>43923</v>
      </c>
      <c r="CK1081">
        <v>2</v>
      </c>
      <c r="CM1081">
        <v>0</v>
      </c>
    </row>
    <row r="1082" spans="1:206" ht="19.5">
      <c r="CH1082">
        <v>86</v>
      </c>
      <c r="CI1082" t="s">
        <v>58</v>
      </c>
      <c r="CJ1082" s="8">
        <v>43924</v>
      </c>
      <c r="CK1082">
        <v>2</v>
      </c>
      <c r="CM1082">
        <v>0</v>
      </c>
    </row>
    <row r="1083" spans="1:206" ht="19.5">
      <c r="CH1083">
        <v>86</v>
      </c>
      <c r="CI1083" t="s">
        <v>58</v>
      </c>
      <c r="CJ1083" s="8">
        <v>43925</v>
      </c>
      <c r="CK1083">
        <v>2</v>
      </c>
      <c r="CM1083">
        <v>0</v>
      </c>
    </row>
    <row r="1084" spans="1:206" ht="19.5">
      <c r="CH1084">
        <v>86</v>
      </c>
      <c r="CI1084" t="s">
        <v>58</v>
      </c>
      <c r="CJ1084" s="8">
        <v>43926</v>
      </c>
      <c r="CK1084">
        <v>2</v>
      </c>
      <c r="CM1084">
        <v>0</v>
      </c>
    </row>
    <row r="1085" spans="1:206" ht="19.5">
      <c r="CH1085">
        <v>86</v>
      </c>
      <c r="CI1085" t="s">
        <v>58</v>
      </c>
      <c r="CJ1085" s="8">
        <v>43927</v>
      </c>
      <c r="CK1085">
        <v>2</v>
      </c>
      <c r="CM1085">
        <v>0</v>
      </c>
    </row>
    <row r="1086" spans="1:206" ht="19.5">
      <c r="CH1086">
        <v>86</v>
      </c>
      <c r="CI1086" t="s">
        <v>58</v>
      </c>
      <c r="CJ1086" s="8">
        <v>43928</v>
      </c>
      <c r="CK1086">
        <v>3</v>
      </c>
      <c r="CM1086">
        <v>0</v>
      </c>
    </row>
    <row r="1087" spans="1:206" ht="19.5">
      <c r="CH1087">
        <v>86</v>
      </c>
      <c r="CI1087" t="s">
        <v>58</v>
      </c>
      <c r="CJ1087" s="8">
        <v>43929</v>
      </c>
      <c r="CK1087">
        <v>13</v>
      </c>
      <c r="CM1087">
        <v>0</v>
      </c>
    </row>
    <row r="1088" spans="1:206" ht="19.5">
      <c r="CH1088">
        <v>86</v>
      </c>
      <c r="CI1088" t="s">
        <v>58</v>
      </c>
      <c r="CJ1088" s="8">
        <v>43930</v>
      </c>
      <c r="CK1088">
        <v>14</v>
      </c>
      <c r="CM1088">
        <v>0</v>
      </c>
    </row>
    <row r="1089" spans="1:206" ht="19.5">
      <c r="CH1089">
        <v>86</v>
      </c>
      <c r="CI1089" t="s">
        <v>58</v>
      </c>
      <c r="CJ1089" s="8">
        <v>43931</v>
      </c>
      <c r="CK1089">
        <v>15</v>
      </c>
      <c r="CM1089">
        <v>0</v>
      </c>
    </row>
    <row r="1090" spans="1:206" ht="19.5">
      <c r="CH1090">
        <v>86</v>
      </c>
      <c r="CI1090" t="s">
        <v>58</v>
      </c>
      <c r="CJ1090" s="8">
        <v>43932</v>
      </c>
      <c r="CK1090">
        <v>18</v>
      </c>
      <c r="CM1090">
        <v>0</v>
      </c>
    </row>
    <row r="1091" spans="1:206" ht="19.5">
      <c r="CH1091">
        <v>86</v>
      </c>
      <c r="CI1091" t="s">
        <v>58</v>
      </c>
      <c r="CJ1091" s="8">
        <v>43933</v>
      </c>
      <c r="CK1091">
        <v>19</v>
      </c>
      <c r="CM1091">
        <v>0</v>
      </c>
    </row>
    <row r="1092" spans="1:206" ht="19.5">
      <c r="CH1092">
        <v>86</v>
      </c>
      <c r="CI1092" t="s">
        <v>58</v>
      </c>
      <c r="CJ1092" s="8">
        <v>43934</v>
      </c>
      <c r="CK1092">
        <v>19</v>
      </c>
      <c r="CM1092">
        <v>0</v>
      </c>
    </row>
    <row r="1093" spans="1:206" ht="19.5">
      <c r="CH1093">
        <v>86</v>
      </c>
      <c r="CI1093" t="s">
        <v>58</v>
      </c>
      <c r="CJ1093" s="8">
        <v>43935</v>
      </c>
      <c r="CK1093">
        <v>19</v>
      </c>
      <c r="CM1093">
        <v>0</v>
      </c>
    </row>
    <row r="1094" spans="1:206" ht="19.5">
      <c r="CH1094">
        <v>86</v>
      </c>
      <c r="CI1094" t="s">
        <v>58</v>
      </c>
      <c r="CJ1094" s="8">
        <v>43936</v>
      </c>
      <c r="CK1094">
        <v>21</v>
      </c>
      <c r="CM1094">
        <v>0</v>
      </c>
    </row>
    <row r="1095" spans="1:206" ht="19.5">
      <c r="CH1095">
        <v>86</v>
      </c>
      <c r="CI1095" t="s">
        <v>58</v>
      </c>
      <c r="CJ1095" s="8">
        <v>43937</v>
      </c>
      <c r="CK1095">
        <v>24</v>
      </c>
      <c r="CL1095">
        <v>128</v>
      </c>
      <c r="CM1095">
        <v>0</v>
      </c>
    </row>
    <row r="1096" spans="1:206" ht="19.5">
      <c r="CH1096">
        <v>86</v>
      </c>
      <c r="CI1096" t="s">
        <v>58</v>
      </c>
      <c r="CJ1096" s="8">
        <v>43938</v>
      </c>
      <c r="CK1096">
        <v>39</v>
      </c>
      <c r="CL1096">
        <v>208</v>
      </c>
      <c r="CM1096">
        <v>0</v>
      </c>
    </row>
    <row r="1097" spans="1:206" ht="19.5">
      <c r="CH1097">
        <v>86</v>
      </c>
      <c r="CI1097" t="s">
        <v>58</v>
      </c>
      <c r="CJ1097" s="8">
        <v>43939</v>
      </c>
      <c r="CK1097">
        <v>39</v>
      </c>
      <c r="CL1097">
        <v>208</v>
      </c>
      <c r="CM1097">
        <v>0</v>
      </c>
    </row>
    <row r="1098" spans="1:206" ht="19.5">
      <c r="CH1098">
        <v>86</v>
      </c>
      <c r="CI1098" t="s">
        <v>58</v>
      </c>
      <c r="CJ1098" s="8">
        <v>43940</v>
      </c>
      <c r="CK1098">
        <v>39</v>
      </c>
      <c r="CL1098">
        <v>208</v>
      </c>
      <c r="CM1098">
        <v>0</v>
      </c>
    </row>
    <row r="1099" spans="1:206" ht="19.5">
      <c r="CH1099">
        <v>86</v>
      </c>
      <c r="CI1099" t="s">
        <v>58</v>
      </c>
      <c r="CJ1099" s="8">
        <v>43941</v>
      </c>
      <c r="CK1099">
        <v>41</v>
      </c>
      <c r="CL1099">
        <v>219</v>
      </c>
      <c r="CM1099">
        <v>0</v>
      </c>
    </row>
    <row r="1100" spans="1:206" ht="19.5">
      <c r="CH1100">
        <v>86</v>
      </c>
      <c r="CI1100" t="s">
        <v>58</v>
      </c>
      <c r="CJ1100" s="8">
        <v>43942</v>
      </c>
      <c r="CK1100">
        <v>46</v>
      </c>
      <c r="CL1100">
        <v>246</v>
      </c>
      <c r="CM1100">
        <v>0</v>
      </c>
    </row>
    <row r="1101" spans="1:206" ht="19.5">
      <c r="CH1101">
        <v>86</v>
      </c>
      <c r="CI1101" t="s">
        <v>58</v>
      </c>
      <c r="CJ1101" s="8">
        <v>43943</v>
      </c>
      <c r="CK1101">
        <v>52</v>
      </c>
      <c r="CL1101">
        <v>278</v>
      </c>
      <c r="CM1101">
        <v>0</v>
      </c>
    </row>
    <row r="1102" spans="1:206" ht="19.5">
      <c r="CH1102">
        <v>86</v>
      </c>
      <c r="CI1102" t="s">
        <v>58</v>
      </c>
      <c r="CJ1102" s="8">
        <v>43944</v>
      </c>
      <c r="CK1102">
        <v>56</v>
      </c>
      <c r="CL1102">
        <v>299</v>
      </c>
      <c r="CM1102">
        <v>0</v>
      </c>
    </row>
    <row r="1103" spans="1:206" ht="19.5">
      <c r="CH1103">
        <v>86</v>
      </c>
      <c r="CI1103" t="s">
        <v>58</v>
      </c>
      <c r="CJ1103" s="8">
        <v>43945</v>
      </c>
      <c r="CK1103">
        <v>58</v>
      </c>
      <c r="CL1103">
        <v>310</v>
      </c>
      <c r="CM1103">
        <v>0</v>
      </c>
    </row>
    <row r="1104" spans="1:206" ht="19.5">
      <c r="CH1104">
        <v>86</v>
      </c>
      <c r="CI1104" t="s">
        <v>58</v>
      </c>
      <c r="CJ1104" s="8">
        <v>43946</v>
      </c>
      <c r="CK1104">
        <v>59</v>
      </c>
      <c r="CL1104">
        <v>315</v>
      </c>
      <c r="CM1104">
        <v>0</v>
      </c>
    </row>
    <row r="1105" spans="1:206" ht="19.5">
      <c r="CH1105">
        <v>86</v>
      </c>
      <c r="CI1105" t="s">
        <v>58</v>
      </c>
      <c r="CJ1105" s="8">
        <v>43947</v>
      </c>
      <c r="CK1105">
        <v>59</v>
      </c>
      <c r="CL1105">
        <v>315</v>
      </c>
      <c r="CM1105">
        <v>0</v>
      </c>
    </row>
    <row r="1106" spans="1:206" ht="19.5">
      <c r="CH1106">
        <v>86</v>
      </c>
      <c r="CI1106" t="s">
        <v>58</v>
      </c>
      <c r="CJ1106" s="8">
        <v>43948</v>
      </c>
      <c r="CK1106">
        <v>61</v>
      </c>
      <c r="CL1106">
        <v>326</v>
      </c>
      <c r="CM1106">
        <v>0</v>
      </c>
    </row>
    <row r="1107" spans="1:206" ht="19.5">
      <c r="CH1107">
        <v>86</v>
      </c>
      <c r="CI1107" t="s">
        <v>58</v>
      </c>
      <c r="CJ1107" s="8">
        <v>43949</v>
      </c>
      <c r="CK1107">
        <v>62</v>
      </c>
      <c r="CL1107">
        <v>331</v>
      </c>
      <c r="CM1107">
        <v>0</v>
      </c>
    </row>
    <row r="1108" spans="1:206" ht="19.5">
      <c r="CH1108">
        <v>86</v>
      </c>
      <c r="CI1108" t="s">
        <v>58</v>
      </c>
      <c r="CJ1108" s="8">
        <v>43950</v>
      </c>
      <c r="CK1108">
        <v>63</v>
      </c>
      <c r="CL1108">
        <v>337</v>
      </c>
      <c r="CM1108">
        <v>0</v>
      </c>
    </row>
    <row r="1109" spans="1:206" ht="19.5">
      <c r="CH1109">
        <v>86</v>
      </c>
      <c r="CI1109" t="s">
        <v>58</v>
      </c>
      <c r="CJ1109" s="8">
        <v>43951</v>
      </c>
      <c r="CK1109">
        <v>65</v>
      </c>
      <c r="CL1109">
        <v>347</v>
      </c>
      <c r="CM1109">
        <v>0</v>
      </c>
    </row>
    <row r="1110" spans="1:206" ht="19.5">
      <c r="CH1110">
        <v>89</v>
      </c>
      <c r="CI1110" t="s">
        <v>59</v>
      </c>
      <c r="CJ1110" s="8">
        <v>43914</v>
      </c>
      <c r="CK1110">
        <v>5</v>
      </c>
      <c r="CM1110">
        <v>0</v>
      </c>
    </row>
    <row r="1111" spans="1:206" ht="19.5">
      <c r="CH1111">
        <v>89</v>
      </c>
      <c r="CI1111" t="s">
        <v>59</v>
      </c>
      <c r="CJ1111" s="8">
        <v>43915</v>
      </c>
      <c r="CK1111">
        <v>6</v>
      </c>
      <c r="CM1111">
        <v>0</v>
      </c>
    </row>
    <row r="1112" spans="1:206" ht="19.5">
      <c r="CH1112">
        <v>89</v>
      </c>
      <c r="CI1112" t="s">
        <v>59</v>
      </c>
      <c r="CJ1112" s="8">
        <v>43916</v>
      </c>
      <c r="CK1112">
        <v>8</v>
      </c>
      <c r="CM1112">
        <v>0</v>
      </c>
    </row>
    <row r="1113" spans="1:206" ht="19.5">
      <c r="CH1113">
        <v>89</v>
      </c>
      <c r="CI1113" t="s">
        <v>59</v>
      </c>
      <c r="CJ1113" s="8">
        <v>43917</v>
      </c>
      <c r="CK1113">
        <v>11</v>
      </c>
      <c r="CM1113">
        <v>0</v>
      </c>
    </row>
    <row r="1114" spans="1:206" ht="19.5">
      <c r="CH1114">
        <v>89</v>
      </c>
      <c r="CI1114" t="s">
        <v>59</v>
      </c>
      <c r="CJ1114" s="8">
        <v>43918</v>
      </c>
      <c r="CK1114">
        <v>15</v>
      </c>
      <c r="CM1114">
        <v>0</v>
      </c>
    </row>
    <row r="1115" spans="1:206" ht="19.5">
      <c r="CH1115">
        <v>89</v>
      </c>
      <c r="CI1115" t="s">
        <v>59</v>
      </c>
      <c r="CJ1115" s="8">
        <v>43919</v>
      </c>
      <c r="CK1115">
        <v>20</v>
      </c>
      <c r="CM1115">
        <v>0</v>
      </c>
    </row>
    <row r="1116" spans="1:206" ht="19.5">
      <c r="CH1116">
        <v>89</v>
      </c>
      <c r="CI1116" t="s">
        <v>59</v>
      </c>
      <c r="CJ1116" s="8">
        <v>43920</v>
      </c>
      <c r="CK1116">
        <v>26</v>
      </c>
      <c r="CM1116">
        <v>0</v>
      </c>
    </row>
    <row r="1117" spans="1:206" ht="19.5">
      <c r="CH1117">
        <v>89</v>
      </c>
      <c r="CI1117" t="s">
        <v>59</v>
      </c>
      <c r="CJ1117" s="8">
        <v>43921</v>
      </c>
      <c r="CK1117">
        <v>27</v>
      </c>
      <c r="CM1117">
        <v>1</v>
      </c>
    </row>
    <row r="1118" spans="1:206" ht="19.5">
      <c r="CH1118">
        <v>89</v>
      </c>
      <c r="CI1118" t="s">
        <v>59</v>
      </c>
      <c r="CJ1118" s="8">
        <v>43922</v>
      </c>
      <c r="CK1118">
        <v>32</v>
      </c>
      <c r="CM1118">
        <v>1</v>
      </c>
    </row>
    <row r="1119" spans="1:206" ht="19.5">
      <c r="CH1119">
        <v>89</v>
      </c>
      <c r="CI1119" t="s">
        <v>59</v>
      </c>
      <c r="CJ1119" s="8">
        <v>43923</v>
      </c>
      <c r="CK1119">
        <v>36</v>
      </c>
      <c r="CM1119">
        <v>1</v>
      </c>
    </row>
    <row r="1120" spans="1:206" ht="19.5">
      <c r="CH1120">
        <v>89</v>
      </c>
      <c r="CI1120" t="s">
        <v>59</v>
      </c>
      <c r="CJ1120" s="8">
        <v>43924</v>
      </c>
      <c r="CK1120">
        <v>48</v>
      </c>
      <c r="CM1120">
        <v>1</v>
      </c>
    </row>
    <row r="1121" spans="1:206" ht="19.5">
      <c r="CH1121">
        <v>89</v>
      </c>
      <c r="CI1121" t="s">
        <v>59</v>
      </c>
      <c r="CJ1121" s="8">
        <v>43925</v>
      </c>
      <c r="CK1121">
        <v>49</v>
      </c>
      <c r="CM1121">
        <v>1</v>
      </c>
    </row>
    <row r="1122" spans="1:206" ht="19.5">
      <c r="CH1122">
        <v>89</v>
      </c>
      <c r="CI1122" t="s">
        <v>59</v>
      </c>
      <c r="CJ1122" s="8">
        <v>43926</v>
      </c>
      <c r="CK1122">
        <v>49</v>
      </c>
      <c r="CM1122">
        <v>1</v>
      </c>
    </row>
    <row r="1123" spans="1:206" ht="19.5">
      <c r="CH1123">
        <v>89</v>
      </c>
      <c r="CI1123" t="s">
        <v>59</v>
      </c>
      <c r="CJ1123" s="8">
        <v>43927</v>
      </c>
      <c r="CK1123">
        <v>57</v>
      </c>
      <c r="CM1123">
        <v>1</v>
      </c>
    </row>
    <row r="1124" spans="1:206" ht="19.5">
      <c r="CH1124">
        <v>89</v>
      </c>
      <c r="CI1124" t="s">
        <v>59</v>
      </c>
      <c r="CJ1124" s="8">
        <v>43928</v>
      </c>
      <c r="CK1124">
        <v>66</v>
      </c>
      <c r="CM1124">
        <v>1</v>
      </c>
    </row>
    <row r="1125" spans="1:206" ht="19.5">
      <c r="CH1125">
        <v>89</v>
      </c>
      <c r="CI1125" t="s">
        <v>59</v>
      </c>
      <c r="CJ1125" s="8">
        <v>43929</v>
      </c>
      <c r="CK1125">
        <v>87</v>
      </c>
      <c r="CM1125">
        <v>1</v>
      </c>
    </row>
    <row r="1126" spans="1:206" ht="19.5">
      <c r="CH1126">
        <v>89</v>
      </c>
      <c r="CI1126" t="s">
        <v>59</v>
      </c>
      <c r="CJ1126" s="8">
        <v>43930</v>
      </c>
      <c r="CK1126">
        <v>94</v>
      </c>
      <c r="CM1126">
        <v>1</v>
      </c>
    </row>
    <row r="1127" spans="1:206" ht="19.5">
      <c r="CH1127">
        <v>89</v>
      </c>
      <c r="CI1127" t="s">
        <v>59</v>
      </c>
      <c r="CJ1127" s="8">
        <v>43931</v>
      </c>
      <c r="CK1127">
        <v>102</v>
      </c>
      <c r="CM1127">
        <v>2</v>
      </c>
    </row>
    <row r="1128" spans="1:206" ht="19.5">
      <c r="CH1128">
        <v>89</v>
      </c>
      <c r="CI1128" t="s">
        <v>59</v>
      </c>
      <c r="CJ1128" s="8">
        <v>43932</v>
      </c>
      <c r="CK1128">
        <v>123</v>
      </c>
      <c r="CM1128">
        <v>2</v>
      </c>
    </row>
    <row r="1129" spans="1:206" ht="19.5">
      <c r="CH1129">
        <v>89</v>
      </c>
      <c r="CI1129" t="s">
        <v>59</v>
      </c>
      <c r="CJ1129" s="8">
        <v>43933</v>
      </c>
      <c r="CK1129">
        <v>136</v>
      </c>
      <c r="CM1129">
        <v>3</v>
      </c>
    </row>
    <row r="1130" spans="1:206" ht="19.5">
      <c r="CH1130">
        <v>89</v>
      </c>
      <c r="CI1130" t="s">
        <v>59</v>
      </c>
      <c r="CJ1130" s="8">
        <v>43934</v>
      </c>
      <c r="CK1130">
        <v>166</v>
      </c>
      <c r="CM1130">
        <v>4</v>
      </c>
    </row>
    <row r="1131" spans="1:206" ht="19.5">
      <c r="CH1131">
        <v>89</v>
      </c>
      <c r="CI1131" t="s">
        <v>59</v>
      </c>
      <c r="CJ1131" s="8">
        <v>43935</v>
      </c>
      <c r="CK1131">
        <v>176</v>
      </c>
      <c r="CM1131">
        <v>5</v>
      </c>
    </row>
    <row r="1132" spans="1:206" ht="19.5">
      <c r="CH1132">
        <v>89</v>
      </c>
      <c r="CI1132" t="s">
        <v>59</v>
      </c>
      <c r="CJ1132" s="8">
        <v>43936</v>
      </c>
      <c r="CK1132">
        <v>185</v>
      </c>
      <c r="CM1132">
        <v>6</v>
      </c>
    </row>
    <row r="1133" spans="1:206" ht="19.5">
      <c r="CH1133">
        <v>89</v>
      </c>
      <c r="CI1133" t="s">
        <v>59</v>
      </c>
      <c r="CJ1133" s="8">
        <v>43937</v>
      </c>
      <c r="CK1133">
        <v>202</v>
      </c>
      <c r="CL1133">
        <v>279</v>
      </c>
      <c r="CM1133">
        <v>9</v>
      </c>
    </row>
    <row r="1134" spans="1:206" ht="19.5">
      <c r="CH1134">
        <v>89</v>
      </c>
      <c r="CI1134" t="s">
        <v>59</v>
      </c>
      <c r="CJ1134" s="8">
        <v>43938</v>
      </c>
      <c r="CK1134">
        <v>217</v>
      </c>
      <c r="CL1134">
        <v>300</v>
      </c>
      <c r="CM1134">
        <v>10</v>
      </c>
    </row>
    <row r="1135" spans="1:206" ht="19.5">
      <c r="CH1135">
        <v>89</v>
      </c>
      <c r="CI1135" t="s">
        <v>59</v>
      </c>
      <c r="CJ1135" s="8">
        <v>43939</v>
      </c>
      <c r="CK1135">
        <v>239</v>
      </c>
      <c r="CL1135">
        <v>330</v>
      </c>
      <c r="CM1135">
        <v>12</v>
      </c>
    </row>
    <row r="1136" spans="1:206" ht="19.5">
      <c r="CH1136">
        <v>89</v>
      </c>
      <c r="CI1136" t="s">
        <v>59</v>
      </c>
      <c r="CJ1136" s="8">
        <v>43940</v>
      </c>
      <c r="CK1136">
        <v>252</v>
      </c>
      <c r="CL1136">
        <v>348</v>
      </c>
      <c r="CM1136">
        <v>12</v>
      </c>
    </row>
    <row r="1137" spans="1:206" ht="19.5">
      <c r="CH1137">
        <v>89</v>
      </c>
      <c r="CI1137" t="s">
        <v>59</v>
      </c>
      <c r="CJ1137" s="8">
        <v>43941</v>
      </c>
      <c r="CK1137">
        <v>284</v>
      </c>
      <c r="CL1137">
        <v>392</v>
      </c>
      <c r="CM1137">
        <v>16</v>
      </c>
    </row>
    <row r="1138" spans="1:206" ht="19.5">
      <c r="CH1138">
        <v>89</v>
      </c>
      <c r="CI1138" t="s">
        <v>59</v>
      </c>
      <c r="CJ1138" s="8">
        <v>43942</v>
      </c>
      <c r="CK1138">
        <v>291</v>
      </c>
      <c r="CL1138">
        <v>402</v>
      </c>
      <c r="CM1138">
        <v>19</v>
      </c>
    </row>
    <row r="1139" spans="1:206" ht="19.5">
      <c r="CH1139">
        <v>89</v>
      </c>
      <c r="CI1139" t="s">
        <v>59</v>
      </c>
      <c r="CJ1139" s="8">
        <v>43943</v>
      </c>
      <c r="CK1139">
        <v>304</v>
      </c>
      <c r="CL1139">
        <v>420</v>
      </c>
      <c r="CM1139">
        <v>21</v>
      </c>
    </row>
    <row r="1140" spans="1:206" ht="19.5">
      <c r="CH1140">
        <v>89</v>
      </c>
      <c r="CI1140" t="s">
        <v>59</v>
      </c>
      <c r="CJ1140" s="8">
        <v>43944</v>
      </c>
      <c r="CK1140">
        <v>325</v>
      </c>
      <c r="CL1140">
        <v>449</v>
      </c>
      <c r="CM1140">
        <v>23</v>
      </c>
    </row>
    <row r="1141" spans="1:206" ht="19.5">
      <c r="CH1141">
        <v>89</v>
      </c>
      <c r="CI1141" t="s">
        <v>59</v>
      </c>
      <c r="CJ1141" s="8">
        <v>43945</v>
      </c>
      <c r="CK1141">
        <v>345</v>
      </c>
      <c r="CL1141">
        <v>476</v>
      </c>
      <c r="CM1141">
        <v>26</v>
      </c>
    </row>
    <row r="1142" spans="1:206" ht="19.5">
      <c r="CH1142">
        <v>89</v>
      </c>
      <c r="CI1142" t="s">
        <v>59</v>
      </c>
      <c r="CJ1142" s="8">
        <v>43946</v>
      </c>
      <c r="CK1142">
        <v>364</v>
      </c>
      <c r="CL1142">
        <v>502</v>
      </c>
      <c r="CM1142">
        <v>27</v>
      </c>
    </row>
    <row r="1143" spans="1:206" ht="19.5">
      <c r="CH1143">
        <v>89</v>
      </c>
      <c r="CI1143" t="s">
        <v>59</v>
      </c>
      <c r="CJ1143" s="8">
        <v>43947</v>
      </c>
      <c r="CK1143">
        <v>377</v>
      </c>
      <c r="CL1143">
        <v>520</v>
      </c>
      <c r="CM1143">
        <v>27</v>
      </c>
    </row>
    <row r="1144" spans="1:206" ht="19.5">
      <c r="CH1144">
        <v>89</v>
      </c>
      <c r="CI1144" t="s">
        <v>59</v>
      </c>
      <c r="CJ1144" s="8">
        <v>43948</v>
      </c>
      <c r="CK1144">
        <v>402</v>
      </c>
      <c r="CL1144">
        <v>555</v>
      </c>
      <c r="CM1144">
        <v>29</v>
      </c>
    </row>
    <row r="1145" spans="1:206" ht="19.5">
      <c r="CH1145">
        <v>89</v>
      </c>
      <c r="CI1145" t="s">
        <v>59</v>
      </c>
      <c r="CJ1145" s="8">
        <v>43949</v>
      </c>
      <c r="CK1145">
        <v>409</v>
      </c>
      <c r="CL1145">
        <v>565</v>
      </c>
      <c r="CM1145">
        <v>31</v>
      </c>
    </row>
    <row r="1146" spans="1:206" ht="19.5">
      <c r="CH1146">
        <v>89</v>
      </c>
      <c r="CI1146" t="s">
        <v>59</v>
      </c>
      <c r="CJ1146" s="8">
        <v>43950</v>
      </c>
      <c r="CK1146">
        <v>423</v>
      </c>
      <c r="CL1146">
        <v>584</v>
      </c>
      <c r="CM1146">
        <v>31</v>
      </c>
    </row>
    <row r="1147" spans="1:206" ht="19.5">
      <c r="CH1147">
        <v>89</v>
      </c>
      <c r="CI1147" t="s">
        <v>59</v>
      </c>
      <c r="CJ1147" s="8">
        <v>43951</v>
      </c>
      <c r="CK1147">
        <v>452</v>
      </c>
      <c r="CL1147">
        <v>624</v>
      </c>
      <c r="CM1147">
        <v>35</v>
      </c>
    </row>
    <row r="1148" spans="1:206" ht="19.5">
      <c r="CH1148">
        <v>92</v>
      </c>
      <c r="CI1148" t="s">
        <v>60</v>
      </c>
      <c r="CJ1148" s="8">
        <v>43914</v>
      </c>
      <c r="CK1148">
        <v>0</v>
      </c>
      <c r="CM1148">
        <v>0</v>
      </c>
    </row>
    <row r="1149" spans="1:206" ht="19.5">
      <c r="CH1149">
        <v>92</v>
      </c>
      <c r="CI1149" t="s">
        <v>60</v>
      </c>
      <c r="CJ1149" s="8">
        <v>43915</v>
      </c>
      <c r="CK1149">
        <v>0</v>
      </c>
      <c r="CM1149">
        <v>0</v>
      </c>
    </row>
    <row r="1150" spans="1:206" ht="19.5">
      <c r="CH1150">
        <v>92</v>
      </c>
      <c r="CI1150" t="s">
        <v>60</v>
      </c>
      <c r="CJ1150" s="8">
        <v>43916</v>
      </c>
      <c r="CK1150">
        <v>0</v>
      </c>
      <c r="CM1150">
        <v>0</v>
      </c>
    </row>
    <row r="1151" spans="1:206" ht="19.5">
      <c r="CH1151">
        <v>92</v>
      </c>
      <c r="CI1151" t="s">
        <v>60</v>
      </c>
      <c r="CJ1151" s="8">
        <v>43917</v>
      </c>
      <c r="CK1151">
        <v>0</v>
      </c>
      <c r="CM1151">
        <v>0</v>
      </c>
    </row>
    <row r="1152" spans="1:206" ht="19.5">
      <c r="CH1152">
        <v>92</v>
      </c>
      <c r="CI1152" t="s">
        <v>60</v>
      </c>
      <c r="CJ1152" s="8">
        <v>43918</v>
      </c>
      <c r="CK1152">
        <v>0</v>
      </c>
      <c r="CM1152">
        <v>0</v>
      </c>
    </row>
    <row r="1153" spans="1:206" ht="19.5">
      <c r="CH1153">
        <v>92</v>
      </c>
      <c r="CI1153" t="s">
        <v>60</v>
      </c>
      <c r="CJ1153" s="8">
        <v>43919</v>
      </c>
      <c r="CK1153">
        <v>1</v>
      </c>
      <c r="CM1153">
        <v>0</v>
      </c>
    </row>
    <row r="1154" spans="1:206" ht="19.5">
      <c r="CH1154">
        <v>92</v>
      </c>
      <c r="CI1154" t="s">
        <v>60</v>
      </c>
      <c r="CJ1154" s="8">
        <v>43920</v>
      </c>
      <c r="CK1154">
        <v>1</v>
      </c>
      <c r="CM1154">
        <v>0</v>
      </c>
    </row>
    <row r="1155" spans="1:206" ht="19.5">
      <c r="CH1155">
        <v>92</v>
      </c>
      <c r="CI1155" t="s">
        <v>60</v>
      </c>
      <c r="CJ1155" s="8">
        <v>43921</v>
      </c>
      <c r="CK1155">
        <v>3</v>
      </c>
      <c r="CM1155">
        <v>0</v>
      </c>
    </row>
    <row r="1156" spans="1:206" ht="19.5">
      <c r="CH1156">
        <v>92</v>
      </c>
      <c r="CI1156" t="s">
        <v>60</v>
      </c>
      <c r="CJ1156" s="8">
        <v>43922</v>
      </c>
      <c r="CK1156">
        <v>3</v>
      </c>
      <c r="CM1156">
        <v>0</v>
      </c>
    </row>
    <row r="1157" spans="1:206" ht="19.5">
      <c r="CH1157">
        <v>92</v>
      </c>
      <c r="CI1157" t="s">
        <v>60</v>
      </c>
      <c r="CJ1157" s="8">
        <v>43923</v>
      </c>
      <c r="CK1157">
        <v>3</v>
      </c>
      <c r="CM1157">
        <v>0</v>
      </c>
    </row>
    <row r="1158" spans="1:206" ht="19.5">
      <c r="CH1158">
        <v>92</v>
      </c>
      <c r="CI1158" t="s">
        <v>60</v>
      </c>
      <c r="CJ1158" s="8">
        <v>43924</v>
      </c>
      <c r="CK1158">
        <v>3</v>
      </c>
      <c r="CM1158">
        <v>0</v>
      </c>
    </row>
    <row r="1159" spans="1:206" ht="19.5">
      <c r="CH1159">
        <v>92</v>
      </c>
      <c r="CI1159" t="s">
        <v>60</v>
      </c>
      <c r="CJ1159" s="8">
        <v>43925</v>
      </c>
      <c r="CK1159">
        <v>3</v>
      </c>
      <c r="CM1159">
        <v>0</v>
      </c>
    </row>
    <row r="1160" spans="1:206" ht="19.5">
      <c r="CH1160">
        <v>92</v>
      </c>
      <c r="CI1160" t="s">
        <v>60</v>
      </c>
      <c r="CJ1160" s="8">
        <v>43926</v>
      </c>
      <c r="CK1160">
        <v>3</v>
      </c>
      <c r="CM1160">
        <v>0</v>
      </c>
    </row>
    <row r="1161" spans="1:206" ht="19.5">
      <c r="CH1161">
        <v>92</v>
      </c>
      <c r="CI1161" t="s">
        <v>60</v>
      </c>
      <c r="CJ1161" s="8">
        <v>43927</v>
      </c>
      <c r="CK1161">
        <v>3</v>
      </c>
      <c r="CM1161">
        <v>1</v>
      </c>
    </row>
    <row r="1162" spans="1:206" ht="19.5">
      <c r="CH1162">
        <v>92</v>
      </c>
      <c r="CI1162" t="s">
        <v>60</v>
      </c>
      <c r="CJ1162" s="8">
        <v>43928</v>
      </c>
      <c r="CK1162">
        <v>3</v>
      </c>
      <c r="CM1162">
        <v>1</v>
      </c>
    </row>
    <row r="1163" spans="1:206" ht="19.5">
      <c r="CH1163">
        <v>92</v>
      </c>
      <c r="CI1163" t="s">
        <v>60</v>
      </c>
      <c r="CJ1163" s="8">
        <v>43929</v>
      </c>
      <c r="CK1163">
        <v>6</v>
      </c>
      <c r="CM1163">
        <v>1</v>
      </c>
    </row>
    <row r="1164" spans="1:206" ht="19.5">
      <c r="CH1164">
        <v>92</v>
      </c>
      <c r="CI1164" t="s">
        <v>60</v>
      </c>
      <c r="CJ1164" s="8">
        <v>43930</v>
      </c>
      <c r="CK1164">
        <v>7</v>
      </c>
      <c r="CM1164">
        <v>1</v>
      </c>
    </row>
    <row r="1165" spans="1:206" ht="19.5">
      <c r="CH1165">
        <v>92</v>
      </c>
      <c r="CI1165" t="s">
        <v>60</v>
      </c>
      <c r="CJ1165" s="8">
        <v>43931</v>
      </c>
      <c r="CK1165">
        <v>7</v>
      </c>
      <c r="CM1165">
        <v>1</v>
      </c>
    </row>
    <row r="1166" spans="1:206" ht="19.5">
      <c r="CH1166">
        <v>92</v>
      </c>
      <c r="CI1166" t="s">
        <v>60</v>
      </c>
      <c r="CJ1166" s="8">
        <v>43932</v>
      </c>
      <c r="CK1166">
        <v>9</v>
      </c>
      <c r="CM1166">
        <v>1</v>
      </c>
    </row>
    <row r="1167" spans="1:206" ht="19.5">
      <c r="CH1167">
        <v>92</v>
      </c>
      <c r="CI1167" t="s">
        <v>60</v>
      </c>
      <c r="CJ1167" s="8">
        <v>43933</v>
      </c>
      <c r="CK1167">
        <v>9</v>
      </c>
      <c r="CM1167">
        <v>2</v>
      </c>
    </row>
    <row r="1168" spans="1:206" ht="19.5">
      <c r="CH1168">
        <v>92</v>
      </c>
      <c r="CI1168" t="s">
        <v>60</v>
      </c>
      <c r="CJ1168" s="8">
        <v>43934</v>
      </c>
      <c r="CK1168">
        <v>10</v>
      </c>
      <c r="CM1168">
        <v>1</v>
      </c>
    </row>
    <row r="1169" spans="1:206" ht="19.5">
      <c r="CH1169">
        <v>92</v>
      </c>
      <c r="CI1169" t="s">
        <v>60</v>
      </c>
      <c r="CJ1169" s="8">
        <v>43935</v>
      </c>
      <c r="CK1169">
        <v>10</v>
      </c>
      <c r="CM1169">
        <v>1</v>
      </c>
    </row>
    <row r="1170" spans="1:206" ht="19.5">
      <c r="CH1170">
        <v>92</v>
      </c>
      <c r="CI1170" t="s">
        <v>60</v>
      </c>
      <c r="CJ1170" s="8">
        <v>43936</v>
      </c>
      <c r="CK1170">
        <v>10</v>
      </c>
      <c r="CM1170">
        <v>1</v>
      </c>
    </row>
    <row r="1171" spans="1:206" ht="19.5">
      <c r="CH1171">
        <v>92</v>
      </c>
      <c r="CI1171" t="s">
        <v>60</v>
      </c>
      <c r="CJ1171" s="8">
        <v>43937</v>
      </c>
      <c r="CK1171">
        <v>10</v>
      </c>
      <c r="CL1171">
        <v>150</v>
      </c>
      <c r="CM1171">
        <v>1</v>
      </c>
    </row>
    <row r="1172" spans="1:206" ht="19.5">
      <c r="CH1172">
        <v>92</v>
      </c>
      <c r="CI1172" t="s">
        <v>60</v>
      </c>
      <c r="CJ1172" s="8">
        <v>43938</v>
      </c>
      <c r="CK1172">
        <v>11</v>
      </c>
      <c r="CL1172">
        <v>165</v>
      </c>
      <c r="CM1172">
        <v>1</v>
      </c>
    </row>
    <row r="1173" spans="1:206" ht="19.5">
      <c r="CH1173">
        <v>92</v>
      </c>
      <c r="CI1173" t="s">
        <v>60</v>
      </c>
      <c r="CJ1173" s="8">
        <v>43939</v>
      </c>
      <c r="CK1173">
        <v>11</v>
      </c>
      <c r="CL1173">
        <v>165</v>
      </c>
      <c r="CM1173">
        <v>1</v>
      </c>
    </row>
    <row r="1174" spans="1:206" ht="19.5">
      <c r="CH1174">
        <v>92</v>
      </c>
      <c r="CI1174" t="s">
        <v>60</v>
      </c>
      <c r="CJ1174" s="8">
        <v>43940</v>
      </c>
      <c r="CK1174">
        <v>12</v>
      </c>
      <c r="CL1174">
        <v>180</v>
      </c>
      <c r="CM1174">
        <v>1</v>
      </c>
    </row>
    <row r="1175" spans="1:206" ht="19.5">
      <c r="CH1175">
        <v>92</v>
      </c>
      <c r="CI1175" t="s">
        <v>60</v>
      </c>
      <c r="CJ1175" s="8">
        <v>43941</v>
      </c>
      <c r="CK1175">
        <v>13</v>
      </c>
      <c r="CL1175">
        <v>194</v>
      </c>
      <c r="CM1175">
        <v>1</v>
      </c>
    </row>
    <row r="1176" spans="1:206" ht="19.5">
      <c r="CH1176">
        <v>92</v>
      </c>
      <c r="CI1176" t="s">
        <v>60</v>
      </c>
      <c r="CJ1176" s="8">
        <v>43942</v>
      </c>
      <c r="CK1176">
        <v>13</v>
      </c>
      <c r="CL1176">
        <v>194</v>
      </c>
      <c r="CM1176">
        <v>1</v>
      </c>
    </row>
    <row r="1177" spans="1:206" ht="19.5">
      <c r="CH1177">
        <v>92</v>
      </c>
      <c r="CI1177" t="s">
        <v>60</v>
      </c>
      <c r="CJ1177" s="8">
        <v>43943</v>
      </c>
      <c r="CK1177">
        <v>13</v>
      </c>
      <c r="CL1177">
        <v>194</v>
      </c>
      <c r="CM1177">
        <v>1</v>
      </c>
    </row>
    <row r="1178" spans="1:206" ht="19.5">
      <c r="CH1178">
        <v>92</v>
      </c>
      <c r="CI1178" t="s">
        <v>60</v>
      </c>
      <c r="CJ1178" s="8">
        <v>43944</v>
      </c>
      <c r="CK1178">
        <v>14</v>
      </c>
      <c r="CL1178">
        <v>209</v>
      </c>
      <c r="CM1178">
        <v>1</v>
      </c>
    </row>
    <row r="1179" spans="1:206" ht="19.5">
      <c r="CH1179">
        <v>92</v>
      </c>
      <c r="CI1179" t="s">
        <v>60</v>
      </c>
      <c r="CJ1179" s="8">
        <v>43945</v>
      </c>
      <c r="CK1179">
        <v>15</v>
      </c>
      <c r="CL1179">
        <v>224</v>
      </c>
      <c r="CM1179">
        <v>1</v>
      </c>
    </row>
    <row r="1180" spans="1:206" ht="19.5">
      <c r="CH1180">
        <v>92</v>
      </c>
      <c r="CI1180" t="s">
        <v>60</v>
      </c>
      <c r="CJ1180" s="8">
        <v>43946</v>
      </c>
      <c r="CK1180">
        <v>16</v>
      </c>
      <c r="CL1180">
        <v>239</v>
      </c>
      <c r="CM1180">
        <v>1</v>
      </c>
    </row>
    <row r="1181" spans="1:206" ht="19.5">
      <c r="CH1181">
        <v>92</v>
      </c>
      <c r="CI1181" t="s">
        <v>60</v>
      </c>
      <c r="CJ1181" s="8">
        <v>43947</v>
      </c>
      <c r="CK1181">
        <v>17</v>
      </c>
      <c r="CL1181">
        <v>254</v>
      </c>
      <c r="CM1181">
        <v>1</v>
      </c>
    </row>
    <row r="1182" spans="1:206" ht="19.5">
      <c r="CH1182">
        <v>92</v>
      </c>
      <c r="CI1182" t="s">
        <v>60</v>
      </c>
      <c r="CJ1182" s="8">
        <v>43948</v>
      </c>
      <c r="CK1182">
        <v>17</v>
      </c>
      <c r="CL1182">
        <v>254</v>
      </c>
      <c r="CM1182">
        <v>1</v>
      </c>
    </row>
    <row r="1183" spans="1:206" ht="19.5">
      <c r="CH1183">
        <v>92</v>
      </c>
      <c r="CI1183" t="s">
        <v>60</v>
      </c>
      <c r="CJ1183" s="8">
        <v>43949</v>
      </c>
      <c r="CK1183">
        <v>18</v>
      </c>
      <c r="CL1183">
        <v>269</v>
      </c>
      <c r="CM1183">
        <v>1</v>
      </c>
    </row>
    <row r="1184" spans="1:206" ht="19.5">
      <c r="CH1184">
        <v>92</v>
      </c>
      <c r="CI1184" t="s">
        <v>60</v>
      </c>
      <c r="CJ1184" s="8">
        <v>43950</v>
      </c>
      <c r="CK1184">
        <v>19</v>
      </c>
      <c r="CL1184">
        <v>284</v>
      </c>
      <c r="CM1184">
        <v>1</v>
      </c>
    </row>
    <row r="1185" spans="1:206" ht="19.5">
      <c r="CH1185">
        <v>92</v>
      </c>
      <c r="CI1185" t="s">
        <v>60</v>
      </c>
      <c r="CJ1185" s="8">
        <v>43951</v>
      </c>
      <c r="CK1185">
        <v>20</v>
      </c>
      <c r="CL1185">
        <v>299</v>
      </c>
      <c r="CM1185">
        <v>1</v>
      </c>
    </row>
    <row r="1186" spans="1:206" ht="19.5">
      <c r="CH1186">
        <v>94</v>
      </c>
      <c r="CI1186" t="s">
        <v>61</v>
      </c>
      <c r="CJ1186" s="8">
        <v>43914</v>
      </c>
      <c r="CK1186">
        <v>8</v>
      </c>
      <c r="CM1186">
        <v>0</v>
      </c>
    </row>
    <row r="1187" spans="1:206" ht="19.5">
      <c r="CH1187">
        <v>94</v>
      </c>
      <c r="CI1187" t="s">
        <v>61</v>
      </c>
      <c r="CJ1187" s="8">
        <v>43915</v>
      </c>
      <c r="CK1187">
        <v>9</v>
      </c>
      <c r="CM1187">
        <v>1</v>
      </c>
    </row>
    <row r="1188" spans="1:206" ht="19.5">
      <c r="CH1188">
        <v>94</v>
      </c>
      <c r="CI1188" t="s">
        <v>61</v>
      </c>
      <c r="CJ1188" s="8">
        <v>43916</v>
      </c>
      <c r="CK1188">
        <v>10</v>
      </c>
      <c r="CM1188">
        <v>1</v>
      </c>
    </row>
    <row r="1189" spans="1:206" ht="19.5">
      <c r="CH1189">
        <v>94</v>
      </c>
      <c r="CI1189" t="s">
        <v>61</v>
      </c>
      <c r="CJ1189" s="8">
        <v>43917</v>
      </c>
      <c r="CK1189">
        <v>14</v>
      </c>
      <c r="CM1189">
        <v>1</v>
      </c>
    </row>
    <row r="1190" spans="1:206" ht="19.5">
      <c r="CH1190">
        <v>94</v>
      </c>
      <c r="CI1190" t="s">
        <v>61</v>
      </c>
      <c r="CJ1190" s="8">
        <v>43918</v>
      </c>
      <c r="CK1190">
        <v>19</v>
      </c>
      <c r="CM1190">
        <v>1</v>
      </c>
    </row>
    <row r="1191" spans="1:206" ht="19.5">
      <c r="CH1191">
        <v>94</v>
      </c>
      <c r="CI1191" t="s">
        <v>61</v>
      </c>
      <c r="CJ1191" s="8">
        <v>43919</v>
      </c>
      <c r="CK1191">
        <v>21</v>
      </c>
      <c r="CM1191">
        <v>1</v>
      </c>
    </row>
    <row r="1192" spans="1:206" ht="19.5">
      <c r="CH1192">
        <v>94</v>
      </c>
      <c r="CI1192" t="s">
        <v>61</v>
      </c>
      <c r="CJ1192" s="8">
        <v>43920</v>
      </c>
      <c r="CK1192">
        <v>24</v>
      </c>
      <c r="CM1192">
        <v>1</v>
      </c>
    </row>
    <row r="1193" spans="1:206" ht="19.5">
      <c r="CH1193">
        <v>94</v>
      </c>
      <c r="CI1193" t="s">
        <v>61</v>
      </c>
      <c r="CJ1193" s="8">
        <v>43921</v>
      </c>
      <c r="CK1193">
        <v>26</v>
      </c>
      <c r="CM1193">
        <v>1</v>
      </c>
    </row>
    <row r="1194" spans="1:206" ht="19.5">
      <c r="CH1194">
        <v>94</v>
      </c>
      <c r="CI1194" t="s">
        <v>61</v>
      </c>
      <c r="CJ1194" s="8">
        <v>43922</v>
      </c>
      <c r="CK1194">
        <v>28</v>
      </c>
      <c r="CM1194">
        <v>1</v>
      </c>
    </row>
    <row r="1195" spans="1:206" ht="19.5">
      <c r="CH1195">
        <v>94</v>
      </c>
      <c r="CI1195" t="s">
        <v>61</v>
      </c>
      <c r="CJ1195" s="8">
        <v>43923</v>
      </c>
      <c r="CK1195">
        <v>28</v>
      </c>
      <c r="CM1195">
        <v>1</v>
      </c>
    </row>
    <row r="1196" spans="1:206" ht="19.5">
      <c r="CH1196">
        <v>94</v>
      </c>
      <c r="CI1196" t="s">
        <v>61</v>
      </c>
      <c r="CJ1196" s="8">
        <v>43924</v>
      </c>
      <c r="CK1196">
        <v>32</v>
      </c>
      <c r="CM1196">
        <v>1</v>
      </c>
    </row>
    <row r="1197" spans="1:206" ht="19.5">
      <c r="CH1197">
        <v>94</v>
      </c>
      <c r="CI1197" t="s">
        <v>61</v>
      </c>
      <c r="CJ1197" s="8">
        <v>43925</v>
      </c>
      <c r="CK1197">
        <v>34</v>
      </c>
      <c r="CM1197">
        <v>2</v>
      </c>
    </row>
    <row r="1198" spans="1:206" ht="19.5">
      <c r="CH1198">
        <v>94</v>
      </c>
      <c r="CI1198" t="s">
        <v>61</v>
      </c>
      <c r="CJ1198" s="8">
        <v>43926</v>
      </c>
      <c r="CK1198">
        <v>35</v>
      </c>
      <c r="CM1198">
        <v>2</v>
      </c>
    </row>
    <row r="1199" spans="1:206" ht="19.5">
      <c r="CH1199">
        <v>94</v>
      </c>
      <c r="CI1199" t="s">
        <v>61</v>
      </c>
      <c r="CJ1199" s="8">
        <v>43927</v>
      </c>
      <c r="CK1199">
        <v>37</v>
      </c>
      <c r="CM1199">
        <v>2</v>
      </c>
    </row>
    <row r="1200" spans="1:206" ht="19.5">
      <c r="CH1200">
        <v>94</v>
      </c>
      <c r="CI1200" t="s">
        <v>61</v>
      </c>
      <c r="CJ1200" s="8">
        <v>43928</v>
      </c>
      <c r="CK1200">
        <v>42</v>
      </c>
      <c r="CM1200">
        <v>2</v>
      </c>
    </row>
    <row r="1201" spans="1:206" ht="19.5">
      <c r="CH1201">
        <v>94</v>
      </c>
      <c r="CI1201" t="s">
        <v>61</v>
      </c>
      <c r="CJ1201" s="8">
        <v>43929</v>
      </c>
      <c r="CK1201">
        <v>47</v>
      </c>
      <c r="CM1201">
        <v>4</v>
      </c>
    </row>
    <row r="1202" spans="1:206" ht="19.5">
      <c r="CH1202">
        <v>94</v>
      </c>
      <c r="CI1202" t="s">
        <v>61</v>
      </c>
      <c r="CJ1202" s="8">
        <v>43930</v>
      </c>
      <c r="CK1202">
        <v>51</v>
      </c>
      <c r="CM1202">
        <v>3</v>
      </c>
    </row>
    <row r="1203" spans="1:206" ht="19.5">
      <c r="CH1203">
        <v>94</v>
      </c>
      <c r="CI1203" t="s">
        <v>61</v>
      </c>
      <c r="CJ1203" s="8">
        <v>43931</v>
      </c>
      <c r="CK1203">
        <v>60</v>
      </c>
      <c r="CM1203">
        <v>4</v>
      </c>
    </row>
    <row r="1204" spans="1:206" ht="19.5">
      <c r="CH1204">
        <v>94</v>
      </c>
      <c r="CI1204" t="s">
        <v>61</v>
      </c>
      <c r="CJ1204" s="8">
        <v>43932</v>
      </c>
      <c r="CK1204">
        <v>63</v>
      </c>
      <c r="CM1204">
        <v>5</v>
      </c>
    </row>
    <row r="1205" spans="1:206" ht="19.5">
      <c r="CH1205">
        <v>94</v>
      </c>
      <c r="CI1205" t="s">
        <v>61</v>
      </c>
      <c r="CJ1205" s="8">
        <v>43933</v>
      </c>
      <c r="CK1205">
        <v>66</v>
      </c>
      <c r="CM1205">
        <v>5</v>
      </c>
    </row>
    <row r="1206" spans="1:206" ht="19.5">
      <c r="CH1206">
        <v>94</v>
      </c>
      <c r="CI1206" t="s">
        <v>61</v>
      </c>
      <c r="CJ1206" s="8">
        <v>43934</v>
      </c>
      <c r="CK1206">
        <v>83</v>
      </c>
      <c r="CM1206">
        <v>5</v>
      </c>
    </row>
    <row r="1207" spans="1:206" ht="19.5">
      <c r="CH1207">
        <v>94</v>
      </c>
      <c r="CI1207" t="s">
        <v>61</v>
      </c>
      <c r="CJ1207" s="8">
        <v>43935</v>
      </c>
      <c r="CK1207">
        <v>84</v>
      </c>
      <c r="CM1207">
        <v>5</v>
      </c>
    </row>
    <row r="1208" spans="1:206" ht="19.5">
      <c r="CH1208">
        <v>94</v>
      </c>
      <c r="CI1208" t="s">
        <v>61</v>
      </c>
      <c r="CJ1208" s="8">
        <v>43936</v>
      </c>
      <c r="CK1208">
        <v>91</v>
      </c>
      <c r="CM1208">
        <v>6</v>
      </c>
    </row>
    <row r="1209" spans="1:206" ht="19.5">
      <c r="CH1209">
        <v>94</v>
      </c>
      <c r="CI1209" t="s">
        <v>61</v>
      </c>
      <c r="CJ1209" s="8">
        <v>43937</v>
      </c>
      <c r="CK1209">
        <v>112</v>
      </c>
      <c r="CL1209">
        <v>372</v>
      </c>
      <c r="CM1209">
        <v>8</v>
      </c>
    </row>
    <row r="1210" spans="1:206" ht="19.5">
      <c r="CH1210">
        <v>94</v>
      </c>
      <c r="CI1210" t="s">
        <v>61</v>
      </c>
      <c r="CJ1210" s="8">
        <v>43938</v>
      </c>
      <c r="CK1210">
        <v>117</v>
      </c>
      <c r="CL1210">
        <v>389</v>
      </c>
      <c r="CM1210">
        <v>9</v>
      </c>
    </row>
    <row r="1211" spans="1:206" ht="19.5">
      <c r="CH1211">
        <v>94</v>
      </c>
      <c r="CI1211" t="s">
        <v>61</v>
      </c>
      <c r="CJ1211" s="8">
        <v>43939</v>
      </c>
      <c r="CK1211">
        <v>126</v>
      </c>
      <c r="CL1211">
        <v>418</v>
      </c>
      <c r="CM1211">
        <v>9</v>
      </c>
    </row>
    <row r="1212" spans="1:206" ht="19.5">
      <c r="CH1212">
        <v>94</v>
      </c>
      <c r="CI1212" t="s">
        <v>61</v>
      </c>
      <c r="CJ1212" s="8">
        <v>43940</v>
      </c>
      <c r="CK1212">
        <v>131</v>
      </c>
      <c r="CL1212">
        <v>435</v>
      </c>
      <c r="CM1212">
        <v>9</v>
      </c>
    </row>
    <row r="1213" spans="1:206" ht="19.5">
      <c r="CH1213">
        <v>94</v>
      </c>
      <c r="CI1213" t="s">
        <v>61</v>
      </c>
      <c r="CJ1213" s="8">
        <v>43941</v>
      </c>
      <c r="CK1213">
        <v>148</v>
      </c>
      <c r="CL1213">
        <v>491</v>
      </c>
      <c r="CM1213">
        <v>11</v>
      </c>
    </row>
    <row r="1214" spans="1:206" ht="19.5">
      <c r="CH1214">
        <v>94</v>
      </c>
      <c r="CI1214" t="s">
        <v>61</v>
      </c>
      <c r="CJ1214" s="8">
        <v>43942</v>
      </c>
      <c r="CK1214">
        <v>151</v>
      </c>
      <c r="CL1214">
        <v>501</v>
      </c>
      <c r="CM1214">
        <v>13</v>
      </c>
    </row>
    <row r="1215" spans="1:206" ht="19.5">
      <c r="CH1215">
        <v>94</v>
      </c>
      <c r="CI1215" t="s">
        <v>61</v>
      </c>
      <c r="CJ1215" s="8">
        <v>43943</v>
      </c>
      <c r="CK1215">
        <v>160</v>
      </c>
      <c r="CL1215">
        <v>531</v>
      </c>
      <c r="CM1215">
        <v>13</v>
      </c>
    </row>
    <row r="1216" spans="1:206" ht="19.5">
      <c r="CH1216">
        <v>94</v>
      </c>
      <c r="CI1216" t="s">
        <v>61</v>
      </c>
      <c r="CJ1216" s="8">
        <v>43944</v>
      </c>
      <c r="CK1216">
        <v>167</v>
      </c>
      <c r="CL1216">
        <v>555</v>
      </c>
      <c r="CM1216">
        <v>18</v>
      </c>
    </row>
    <row r="1217" spans="1:206" ht="19.5">
      <c r="CH1217">
        <v>94</v>
      </c>
      <c r="CI1217" t="s">
        <v>61</v>
      </c>
      <c r="CJ1217" s="8">
        <v>43945</v>
      </c>
      <c r="CK1217">
        <v>169</v>
      </c>
      <c r="CL1217">
        <v>561</v>
      </c>
      <c r="CM1217">
        <v>18</v>
      </c>
    </row>
    <row r="1218" spans="1:206" ht="19.5">
      <c r="CH1218">
        <v>94</v>
      </c>
      <c r="CI1218" t="s">
        <v>61</v>
      </c>
      <c r="CJ1218" s="8">
        <v>43946</v>
      </c>
      <c r="CK1218">
        <v>173</v>
      </c>
      <c r="CL1218">
        <v>575</v>
      </c>
      <c r="CM1218">
        <v>22</v>
      </c>
    </row>
    <row r="1219" spans="1:206" ht="19.5">
      <c r="CH1219">
        <v>94</v>
      </c>
      <c r="CI1219" t="s">
        <v>61</v>
      </c>
      <c r="CJ1219" s="8">
        <v>43947</v>
      </c>
      <c r="CK1219">
        <v>185</v>
      </c>
      <c r="CL1219">
        <v>614</v>
      </c>
      <c r="CM1219">
        <v>23</v>
      </c>
    </row>
    <row r="1220" spans="1:206" ht="19.5">
      <c r="CH1220">
        <v>94</v>
      </c>
      <c r="CI1220" t="s">
        <v>61</v>
      </c>
      <c r="CJ1220" s="8">
        <v>43948</v>
      </c>
      <c r="CK1220">
        <v>189</v>
      </c>
      <c r="CL1220">
        <v>628</v>
      </c>
      <c r="CM1220">
        <v>24</v>
      </c>
    </row>
    <row r="1221" spans="1:206" ht="19.5">
      <c r="CH1221">
        <v>94</v>
      </c>
      <c r="CI1221" t="s">
        <v>61</v>
      </c>
      <c r="CJ1221" s="8">
        <v>43949</v>
      </c>
      <c r="CK1221">
        <v>190</v>
      </c>
      <c r="CL1221">
        <v>631</v>
      </c>
      <c r="CM1221">
        <v>25</v>
      </c>
    </row>
    <row r="1222" spans="1:206" ht="19.5">
      <c r="CH1222">
        <v>94</v>
      </c>
      <c r="CI1222" t="s">
        <v>61</v>
      </c>
      <c r="CJ1222" s="8">
        <v>43950</v>
      </c>
      <c r="CK1222">
        <v>197</v>
      </c>
      <c r="CL1222">
        <v>654</v>
      </c>
      <c r="CM1222">
        <v>27</v>
      </c>
    </row>
    <row r="1223" spans="1:206" ht="19.5">
      <c r="CH1223">
        <v>94</v>
      </c>
      <c r="CI1223" t="s">
        <v>61</v>
      </c>
      <c r="CJ1223" s="8">
        <v>43951</v>
      </c>
      <c r="CK1223">
        <v>208</v>
      </c>
      <c r="CL1223">
        <v>691</v>
      </c>
      <c r="CM1223">
        <v>28</v>
      </c>
    </row>
    <row r="1224" spans="1:206" ht="19.5">
      <c r="CH1224">
        <v>95</v>
      </c>
      <c r="CI1224" t="s">
        <v>62</v>
      </c>
      <c r="CJ1224" s="8">
        <v>43914</v>
      </c>
      <c r="CK1224">
        <v>0</v>
      </c>
      <c r="CM1224">
        <v>0</v>
      </c>
    </row>
    <row r="1225" spans="1:206" ht="19.5">
      <c r="CH1225">
        <v>95</v>
      </c>
      <c r="CI1225" t="s">
        <v>62</v>
      </c>
      <c r="CJ1225" s="8">
        <v>43915</v>
      </c>
      <c r="CK1225">
        <v>0</v>
      </c>
      <c r="CM1225">
        <v>0</v>
      </c>
    </row>
    <row r="1226" spans="1:206" ht="19.5">
      <c r="CH1226">
        <v>95</v>
      </c>
      <c r="CI1226" t="s">
        <v>62</v>
      </c>
      <c r="CJ1226" s="8">
        <v>43916</v>
      </c>
      <c r="CK1226">
        <v>0</v>
      </c>
      <c r="CM1226">
        <v>0</v>
      </c>
    </row>
    <row r="1227" spans="1:206" ht="19.5">
      <c r="CH1227">
        <v>95</v>
      </c>
      <c r="CI1227" t="s">
        <v>62</v>
      </c>
      <c r="CJ1227" s="8">
        <v>43917</v>
      </c>
      <c r="CK1227">
        <v>1</v>
      </c>
      <c r="CM1227">
        <v>0</v>
      </c>
    </row>
    <row r="1228" spans="1:206" ht="19.5">
      <c r="CH1228">
        <v>95</v>
      </c>
      <c r="CI1228" t="s">
        <v>62</v>
      </c>
      <c r="CJ1228" s="8">
        <v>43918</v>
      </c>
      <c r="CK1228">
        <v>1</v>
      </c>
      <c r="CM1228">
        <v>0</v>
      </c>
    </row>
    <row r="1229" spans="1:206" ht="19.5">
      <c r="CH1229">
        <v>95</v>
      </c>
      <c r="CI1229" t="s">
        <v>62</v>
      </c>
      <c r="CJ1229" s="8">
        <v>43919</v>
      </c>
      <c r="CK1229">
        <v>1</v>
      </c>
      <c r="CM1229">
        <v>0</v>
      </c>
    </row>
    <row r="1230" spans="1:206" ht="19.5">
      <c r="CH1230">
        <v>95</v>
      </c>
      <c r="CI1230" t="s">
        <v>62</v>
      </c>
      <c r="CJ1230" s="8">
        <v>43920</v>
      </c>
      <c r="CK1230">
        <v>1</v>
      </c>
      <c r="CM1230">
        <v>0</v>
      </c>
    </row>
    <row r="1231" spans="1:206" ht="19.5">
      <c r="CH1231">
        <v>95</v>
      </c>
      <c r="CI1231" t="s">
        <v>62</v>
      </c>
      <c r="CJ1231" s="8">
        <v>43921</v>
      </c>
      <c r="CK1231">
        <v>2</v>
      </c>
      <c r="CM1231">
        <v>0</v>
      </c>
    </row>
    <row r="1232" spans="1:206" ht="19.5">
      <c r="CH1232">
        <v>95</v>
      </c>
      <c r="CI1232" t="s">
        <v>62</v>
      </c>
      <c r="CJ1232" s="8">
        <v>43922</v>
      </c>
      <c r="CK1232">
        <v>2</v>
      </c>
      <c r="CM1232">
        <v>0</v>
      </c>
    </row>
    <row r="1233" spans="1:206" ht="19.5">
      <c r="CH1233">
        <v>95</v>
      </c>
      <c r="CI1233" t="s">
        <v>62</v>
      </c>
      <c r="CJ1233" s="8">
        <v>43923</v>
      </c>
      <c r="CK1233">
        <v>3</v>
      </c>
      <c r="CM1233">
        <v>0</v>
      </c>
    </row>
    <row r="1234" spans="1:206" ht="19.5">
      <c r="CH1234">
        <v>95</v>
      </c>
      <c r="CI1234" t="s">
        <v>62</v>
      </c>
      <c r="CJ1234" s="8">
        <v>43924</v>
      </c>
      <c r="CK1234">
        <v>6</v>
      </c>
      <c r="CM1234">
        <v>0</v>
      </c>
    </row>
    <row r="1235" spans="1:206" ht="19.5">
      <c r="CH1235">
        <v>95</v>
      </c>
      <c r="CI1235" t="s">
        <v>62</v>
      </c>
      <c r="CJ1235" s="8">
        <v>43925</v>
      </c>
      <c r="CK1235">
        <v>12</v>
      </c>
      <c r="CM1235">
        <v>0</v>
      </c>
    </row>
    <row r="1236" spans="1:206" ht="19.5">
      <c r="CH1236">
        <v>95</v>
      </c>
      <c r="CI1236" t="s">
        <v>62</v>
      </c>
      <c r="CJ1236" s="8">
        <v>43926</v>
      </c>
      <c r="CK1236">
        <v>11</v>
      </c>
      <c r="CM1236">
        <v>0</v>
      </c>
    </row>
    <row r="1237" spans="1:206" ht="19.5">
      <c r="CH1237">
        <v>95</v>
      </c>
      <c r="CI1237" t="s">
        <v>62</v>
      </c>
      <c r="CJ1237" s="8">
        <v>43927</v>
      </c>
      <c r="CK1237">
        <v>12</v>
      </c>
      <c r="CM1237">
        <v>0</v>
      </c>
    </row>
    <row r="1238" spans="1:206" ht="19.5">
      <c r="CH1238">
        <v>95</v>
      </c>
      <c r="CI1238" t="s">
        <v>62</v>
      </c>
      <c r="CJ1238" s="8">
        <v>43928</v>
      </c>
      <c r="CK1238">
        <v>13</v>
      </c>
      <c r="CM1238">
        <v>0</v>
      </c>
    </row>
    <row r="1239" spans="1:206" ht="19.5">
      <c r="CH1239">
        <v>95</v>
      </c>
      <c r="CI1239" t="s">
        <v>62</v>
      </c>
      <c r="CJ1239" s="8">
        <v>43929</v>
      </c>
      <c r="CK1239">
        <v>16</v>
      </c>
      <c r="CM1239">
        <v>1</v>
      </c>
    </row>
    <row r="1240" spans="1:206" ht="19.5">
      <c r="CH1240">
        <v>95</v>
      </c>
      <c r="CI1240" t="s">
        <v>62</v>
      </c>
      <c r="CJ1240" s="8">
        <v>43930</v>
      </c>
      <c r="CK1240">
        <v>21</v>
      </c>
      <c r="CM1240">
        <v>1</v>
      </c>
    </row>
    <row r="1241" spans="1:206" ht="19.5">
      <c r="CH1241">
        <v>95</v>
      </c>
      <c r="CI1241" t="s">
        <v>62</v>
      </c>
      <c r="CJ1241" s="8">
        <v>43931</v>
      </c>
      <c r="CK1241">
        <v>22</v>
      </c>
      <c r="CM1241">
        <v>0</v>
      </c>
    </row>
    <row r="1242" spans="1:206" ht="19.5">
      <c r="CH1242">
        <v>95</v>
      </c>
      <c r="CI1242" t="s">
        <v>62</v>
      </c>
      <c r="CJ1242" s="8">
        <v>43932</v>
      </c>
      <c r="CK1242">
        <v>26</v>
      </c>
      <c r="CM1242">
        <v>0</v>
      </c>
    </row>
    <row r="1243" spans="1:206" ht="19.5">
      <c r="CH1243">
        <v>95</v>
      </c>
      <c r="CI1243" t="s">
        <v>62</v>
      </c>
      <c r="CJ1243" s="8">
        <v>43933</v>
      </c>
      <c r="CK1243">
        <v>27</v>
      </c>
      <c r="CM1243">
        <v>0</v>
      </c>
    </row>
    <row r="1244" spans="1:206" ht="19.5">
      <c r="CH1244">
        <v>95</v>
      </c>
      <c r="CI1244" t="s">
        <v>62</v>
      </c>
      <c r="CJ1244" s="8">
        <v>43934</v>
      </c>
      <c r="CK1244">
        <v>33</v>
      </c>
      <c r="CM1244">
        <v>0</v>
      </c>
    </row>
    <row r="1245" spans="1:206" ht="19.5">
      <c r="CH1245">
        <v>95</v>
      </c>
      <c r="CI1245" t="s">
        <v>62</v>
      </c>
      <c r="CJ1245" s="8">
        <v>43935</v>
      </c>
      <c r="CK1245">
        <v>35</v>
      </c>
      <c r="CM1245">
        <v>0</v>
      </c>
    </row>
    <row r="1246" spans="1:206" ht="19.5">
      <c r="CH1246">
        <v>95</v>
      </c>
      <c r="CI1246" t="s">
        <v>62</v>
      </c>
      <c r="CJ1246" s="8">
        <v>43936</v>
      </c>
      <c r="CK1246">
        <v>38</v>
      </c>
      <c r="CM1246">
        <v>1</v>
      </c>
    </row>
    <row r="1247" spans="1:206" ht="19.5">
      <c r="CH1247">
        <v>95</v>
      </c>
      <c r="CI1247" t="s">
        <v>62</v>
      </c>
      <c r="CJ1247" s="8">
        <v>43937</v>
      </c>
      <c r="CK1247">
        <v>43</v>
      </c>
      <c r="CL1247">
        <v>160</v>
      </c>
      <c r="CM1247">
        <v>1</v>
      </c>
    </row>
    <row r="1248" spans="1:206" ht="19.5">
      <c r="CH1248">
        <v>95</v>
      </c>
      <c r="CI1248" t="s">
        <v>62</v>
      </c>
      <c r="CJ1248" s="8">
        <v>43938</v>
      </c>
      <c r="CK1248">
        <v>44</v>
      </c>
      <c r="CL1248">
        <v>163</v>
      </c>
      <c r="CM1248">
        <v>1</v>
      </c>
    </row>
    <row r="1249" spans="1:206" ht="19.5">
      <c r="CH1249">
        <v>95</v>
      </c>
      <c r="CI1249" t="s">
        <v>62</v>
      </c>
      <c r="CJ1249" s="8">
        <v>43939</v>
      </c>
      <c r="CK1249">
        <v>49</v>
      </c>
      <c r="CL1249">
        <v>182</v>
      </c>
      <c r="CM1249">
        <v>1</v>
      </c>
    </row>
    <row r="1250" spans="1:206" ht="19.5">
      <c r="CH1250">
        <v>95</v>
      </c>
      <c r="CI1250" t="s">
        <v>62</v>
      </c>
      <c r="CJ1250" s="8">
        <v>43940</v>
      </c>
      <c r="CK1250">
        <v>53</v>
      </c>
      <c r="CL1250">
        <v>197</v>
      </c>
      <c r="CM1250">
        <v>1</v>
      </c>
    </row>
    <row r="1251" spans="1:206" ht="19.5">
      <c r="CH1251">
        <v>95</v>
      </c>
      <c r="CI1251" t="s">
        <v>62</v>
      </c>
      <c r="CJ1251" s="8">
        <v>43941</v>
      </c>
      <c r="CK1251">
        <v>50</v>
      </c>
      <c r="CL1251">
        <v>186</v>
      </c>
      <c r="CM1251">
        <v>1</v>
      </c>
    </row>
    <row r="1252" spans="1:206" ht="19.5">
      <c r="CH1252">
        <v>95</v>
      </c>
      <c r="CI1252" t="s">
        <v>62</v>
      </c>
      <c r="CJ1252" s="8">
        <v>43942</v>
      </c>
      <c r="CK1252">
        <v>55</v>
      </c>
      <c r="CL1252">
        <v>204</v>
      </c>
      <c r="CM1252">
        <v>1</v>
      </c>
    </row>
    <row r="1253" spans="1:206" ht="19.5">
      <c r="CH1253">
        <v>95</v>
      </c>
      <c r="CI1253" t="s">
        <v>62</v>
      </c>
      <c r="CJ1253" s="8">
        <v>43943</v>
      </c>
      <c r="CK1253">
        <v>60</v>
      </c>
      <c r="CL1253">
        <v>223</v>
      </c>
      <c r="CM1253">
        <v>1</v>
      </c>
    </row>
    <row r="1254" spans="1:206" ht="19.5">
      <c r="CH1254">
        <v>95</v>
      </c>
      <c r="CI1254" t="s">
        <v>62</v>
      </c>
      <c r="CJ1254" s="8">
        <v>43944</v>
      </c>
      <c r="CK1254">
        <v>59</v>
      </c>
      <c r="CL1254">
        <v>219</v>
      </c>
      <c r="CM1254">
        <v>1</v>
      </c>
    </row>
    <row r="1255" spans="1:206" ht="19.5">
      <c r="CH1255">
        <v>95</v>
      </c>
      <c r="CI1255" t="s">
        <v>62</v>
      </c>
      <c r="CJ1255" s="8">
        <v>43945</v>
      </c>
      <c r="CK1255">
        <v>63</v>
      </c>
      <c r="CL1255">
        <v>234</v>
      </c>
      <c r="CM1255">
        <v>2</v>
      </c>
    </row>
    <row r="1256" spans="1:206" ht="19.5">
      <c r="CH1256">
        <v>95</v>
      </c>
      <c r="CI1256" t="s">
        <v>62</v>
      </c>
      <c r="CJ1256" s="8">
        <v>43946</v>
      </c>
      <c r="CK1256">
        <v>68</v>
      </c>
      <c r="CL1256">
        <v>252</v>
      </c>
      <c r="CM1256">
        <v>2</v>
      </c>
    </row>
    <row r="1257" spans="1:206" ht="19.5">
      <c r="CH1257">
        <v>95</v>
      </c>
      <c r="CI1257" t="s">
        <v>62</v>
      </c>
      <c r="CJ1257" s="8">
        <v>43947</v>
      </c>
      <c r="CK1257">
        <v>68</v>
      </c>
      <c r="CL1257">
        <v>252</v>
      </c>
      <c r="CM1257">
        <v>2</v>
      </c>
    </row>
    <row r="1258" spans="1:206" ht="19.5">
      <c r="CH1258">
        <v>95</v>
      </c>
      <c r="CI1258" t="s">
        <v>62</v>
      </c>
      <c r="CJ1258" s="8">
        <v>43948</v>
      </c>
      <c r="CK1258">
        <v>68</v>
      </c>
      <c r="CL1258">
        <v>252</v>
      </c>
      <c r="CM1258">
        <v>2</v>
      </c>
    </row>
    <row r="1259" spans="1:206" ht="19.5">
      <c r="CH1259">
        <v>95</v>
      </c>
      <c r="CI1259" t="s">
        <v>62</v>
      </c>
      <c r="CJ1259" s="8">
        <v>43949</v>
      </c>
      <c r="CK1259">
        <v>70</v>
      </c>
      <c r="CL1259">
        <v>260</v>
      </c>
      <c r="CM1259">
        <v>2</v>
      </c>
    </row>
    <row r="1260" spans="1:206" ht="19.5">
      <c r="CH1260">
        <v>95</v>
      </c>
      <c r="CI1260" t="s">
        <v>62</v>
      </c>
      <c r="CJ1260" s="8">
        <v>43950</v>
      </c>
      <c r="CK1260">
        <v>72</v>
      </c>
      <c r="CL1260">
        <v>267</v>
      </c>
      <c r="CM1260">
        <v>2</v>
      </c>
    </row>
    <row r="1261" spans="1:206" ht="19.5">
      <c r="CH1261">
        <v>95</v>
      </c>
      <c r="CI1261" t="s">
        <v>62</v>
      </c>
      <c r="CJ1261" s="8">
        <v>43951</v>
      </c>
      <c r="CK1261">
        <v>77</v>
      </c>
      <c r="CL1261">
        <v>286</v>
      </c>
      <c r="CM1261">
        <v>2</v>
      </c>
    </row>
    <row r="1262" spans="1:206" ht="19.5">
      <c r="CH1262">
        <v>98</v>
      </c>
      <c r="CI1262" t="s">
        <v>63</v>
      </c>
      <c r="CJ1262" s="8">
        <v>43914</v>
      </c>
      <c r="CK1262">
        <v>0</v>
      </c>
      <c r="CM1262">
        <v>0</v>
      </c>
    </row>
    <row r="1263" spans="1:206" ht="19.5">
      <c r="CH1263">
        <v>98</v>
      </c>
      <c r="CI1263" t="s">
        <v>63</v>
      </c>
      <c r="CJ1263" s="8">
        <v>43915</v>
      </c>
      <c r="CK1263">
        <v>0</v>
      </c>
      <c r="CM1263">
        <v>0</v>
      </c>
    </row>
    <row r="1264" spans="1:206" ht="19.5">
      <c r="CH1264">
        <v>98</v>
      </c>
      <c r="CI1264" t="s">
        <v>63</v>
      </c>
      <c r="CJ1264" s="8">
        <v>43916</v>
      </c>
      <c r="CK1264">
        <v>1</v>
      </c>
      <c r="CM1264">
        <v>0</v>
      </c>
    </row>
    <row r="1265" spans="1:206" ht="19.5">
      <c r="CH1265">
        <v>98</v>
      </c>
      <c r="CI1265" t="s">
        <v>63</v>
      </c>
      <c r="CJ1265" s="8">
        <v>43917</v>
      </c>
      <c r="CK1265">
        <v>1</v>
      </c>
      <c r="CM1265">
        <v>0</v>
      </c>
    </row>
    <row r="1266" spans="1:206" ht="19.5">
      <c r="CH1266">
        <v>98</v>
      </c>
      <c r="CI1266" t="s">
        <v>63</v>
      </c>
      <c r="CJ1266" s="8">
        <v>43918</v>
      </c>
      <c r="CK1266">
        <v>1</v>
      </c>
      <c r="CM1266">
        <v>0</v>
      </c>
    </row>
    <row r="1267" spans="1:206" ht="19.5">
      <c r="CH1267">
        <v>98</v>
      </c>
      <c r="CI1267" t="s">
        <v>63</v>
      </c>
      <c r="CJ1267" s="8">
        <v>43919</v>
      </c>
      <c r="CK1267">
        <v>1</v>
      </c>
      <c r="CM1267">
        <v>0</v>
      </c>
    </row>
    <row r="1268" spans="1:206" ht="19.5">
      <c r="CH1268">
        <v>98</v>
      </c>
      <c r="CI1268" t="s">
        <v>63</v>
      </c>
      <c r="CJ1268" s="8">
        <v>43920</v>
      </c>
      <c r="CK1268">
        <v>1</v>
      </c>
      <c r="CM1268">
        <v>0</v>
      </c>
    </row>
    <row r="1269" spans="1:206" ht="19.5">
      <c r="CH1269">
        <v>98</v>
      </c>
      <c r="CI1269" t="s">
        <v>63</v>
      </c>
      <c r="CJ1269" s="8">
        <v>43921</v>
      </c>
      <c r="CK1269">
        <v>1</v>
      </c>
      <c r="CM1269">
        <v>0</v>
      </c>
    </row>
    <row r="1270" spans="1:206" ht="19.5">
      <c r="CH1270">
        <v>98</v>
      </c>
      <c r="CI1270" t="s">
        <v>63</v>
      </c>
      <c r="CJ1270" s="8">
        <v>43922</v>
      </c>
      <c r="CK1270">
        <v>1</v>
      </c>
      <c r="CM1270">
        <v>0</v>
      </c>
    </row>
    <row r="1271" spans="1:206" ht="19.5">
      <c r="CH1271">
        <v>98</v>
      </c>
      <c r="CI1271" t="s">
        <v>63</v>
      </c>
      <c r="CJ1271" s="8">
        <v>43923</v>
      </c>
      <c r="CK1271">
        <v>1</v>
      </c>
      <c r="CM1271">
        <v>0</v>
      </c>
    </row>
    <row r="1272" spans="1:206" ht="19.5">
      <c r="CH1272">
        <v>98</v>
      </c>
      <c r="CI1272" t="s">
        <v>63</v>
      </c>
      <c r="CJ1272" s="8">
        <v>43924</v>
      </c>
      <c r="CK1272">
        <v>1</v>
      </c>
      <c r="CM1272">
        <v>0</v>
      </c>
    </row>
    <row r="1273" spans="1:206" ht="19.5">
      <c r="CH1273">
        <v>98</v>
      </c>
      <c r="CI1273" t="s">
        <v>63</v>
      </c>
      <c r="CJ1273" s="8">
        <v>43925</v>
      </c>
      <c r="CK1273">
        <v>1</v>
      </c>
      <c r="CM1273">
        <v>0</v>
      </c>
    </row>
    <row r="1274" spans="1:206" ht="19.5">
      <c r="CH1274">
        <v>98</v>
      </c>
      <c r="CI1274" t="s">
        <v>63</v>
      </c>
      <c r="CJ1274" s="8">
        <v>43926</v>
      </c>
      <c r="CK1274">
        <v>1</v>
      </c>
      <c r="CM1274">
        <v>0</v>
      </c>
    </row>
    <row r="1275" spans="1:206" ht="19.5">
      <c r="CH1275">
        <v>98</v>
      </c>
      <c r="CI1275" t="s">
        <v>63</v>
      </c>
      <c r="CJ1275" s="8">
        <v>43927</v>
      </c>
      <c r="CK1275">
        <v>1</v>
      </c>
      <c r="CM1275">
        <v>0</v>
      </c>
    </row>
    <row r="1276" spans="1:206" ht="19.5">
      <c r="CH1276">
        <v>98</v>
      </c>
      <c r="CI1276" t="s">
        <v>63</v>
      </c>
      <c r="CJ1276" s="8">
        <v>43928</v>
      </c>
      <c r="CK1276">
        <v>1</v>
      </c>
      <c r="CM1276">
        <v>0</v>
      </c>
    </row>
    <row r="1277" spans="1:206" ht="19.5">
      <c r="CH1277">
        <v>98</v>
      </c>
      <c r="CI1277" t="s">
        <v>63</v>
      </c>
      <c r="CJ1277" s="8">
        <v>43929</v>
      </c>
      <c r="CK1277">
        <v>1</v>
      </c>
      <c r="CM1277">
        <v>0</v>
      </c>
    </row>
    <row r="1278" spans="1:206" ht="19.5">
      <c r="CH1278">
        <v>98</v>
      </c>
      <c r="CI1278" t="s">
        <v>63</v>
      </c>
      <c r="CJ1278" s="8">
        <v>43930</v>
      </c>
      <c r="CK1278">
        <v>1</v>
      </c>
      <c r="CM1278">
        <v>0</v>
      </c>
    </row>
    <row r="1279" spans="1:206" ht="19.5">
      <c r="CH1279">
        <v>98</v>
      </c>
      <c r="CI1279" t="s">
        <v>63</v>
      </c>
      <c r="CJ1279" s="8">
        <v>43931</v>
      </c>
      <c r="CK1279">
        <v>1</v>
      </c>
      <c r="CM1279">
        <v>0</v>
      </c>
    </row>
    <row r="1280" spans="1:206" ht="19.5">
      <c r="CH1280">
        <v>98</v>
      </c>
      <c r="CI1280" t="s">
        <v>63</v>
      </c>
      <c r="CJ1280" s="8">
        <v>43932</v>
      </c>
      <c r="CK1280">
        <v>3</v>
      </c>
      <c r="CM1280">
        <v>0</v>
      </c>
    </row>
    <row r="1281" spans="1:206" ht="19.5">
      <c r="CH1281">
        <v>98</v>
      </c>
      <c r="CI1281" t="s">
        <v>63</v>
      </c>
      <c r="CJ1281" s="8">
        <v>43933</v>
      </c>
      <c r="CK1281">
        <v>3</v>
      </c>
      <c r="CM1281">
        <v>0</v>
      </c>
    </row>
    <row r="1282" spans="1:206" ht="19.5">
      <c r="CH1282">
        <v>98</v>
      </c>
      <c r="CI1282" t="s">
        <v>63</v>
      </c>
      <c r="CJ1282" s="8">
        <v>43934</v>
      </c>
      <c r="CK1282">
        <v>4</v>
      </c>
      <c r="CM1282">
        <v>0</v>
      </c>
    </row>
    <row r="1283" spans="1:206" ht="19.5">
      <c r="CH1283">
        <v>98</v>
      </c>
      <c r="CI1283" t="s">
        <v>63</v>
      </c>
      <c r="CJ1283" s="8">
        <v>43935</v>
      </c>
      <c r="CK1283">
        <v>4</v>
      </c>
      <c r="CM1283">
        <v>0</v>
      </c>
    </row>
    <row r="1284" spans="1:206" ht="19.5">
      <c r="CH1284">
        <v>98</v>
      </c>
      <c r="CI1284" t="s">
        <v>63</v>
      </c>
      <c r="CJ1284" s="8">
        <v>43936</v>
      </c>
      <c r="CK1284">
        <v>4</v>
      </c>
      <c r="CM1284">
        <v>0</v>
      </c>
    </row>
    <row r="1285" spans="1:206" ht="19.5">
      <c r="CH1285">
        <v>98</v>
      </c>
      <c r="CI1285" t="s">
        <v>63</v>
      </c>
      <c r="CJ1285" s="8">
        <v>43937</v>
      </c>
      <c r="CK1285">
        <v>4</v>
      </c>
      <c r="CL1285">
        <v>244</v>
      </c>
      <c r="CM1285">
        <v>0</v>
      </c>
    </row>
    <row r="1286" spans="1:206" ht="19.5">
      <c r="CH1286">
        <v>98</v>
      </c>
      <c r="CI1286" t="s">
        <v>63</v>
      </c>
      <c r="CJ1286" s="8">
        <v>43938</v>
      </c>
      <c r="CK1286">
        <v>4</v>
      </c>
      <c r="CL1286">
        <v>244</v>
      </c>
      <c r="CM1286">
        <v>0</v>
      </c>
    </row>
    <row r="1287" spans="1:206" ht="19.5">
      <c r="CH1287">
        <v>98</v>
      </c>
      <c r="CI1287" t="s">
        <v>63</v>
      </c>
      <c r="CJ1287" s="8">
        <v>43939</v>
      </c>
      <c r="CK1287">
        <v>4</v>
      </c>
      <c r="CL1287">
        <v>244</v>
      </c>
      <c r="CM1287">
        <v>0</v>
      </c>
    </row>
    <row r="1288" spans="1:206" ht="19.5">
      <c r="CH1288">
        <v>98</v>
      </c>
      <c r="CI1288" t="s">
        <v>63</v>
      </c>
      <c r="CJ1288" s="8">
        <v>43940</v>
      </c>
      <c r="CK1288">
        <v>4</v>
      </c>
      <c r="CL1288">
        <v>244</v>
      </c>
      <c r="CM1288">
        <v>0</v>
      </c>
    </row>
    <row r="1289" spans="1:206" ht="19.5">
      <c r="CH1289">
        <v>98</v>
      </c>
      <c r="CI1289" t="s">
        <v>63</v>
      </c>
      <c r="CJ1289" s="8">
        <v>43941</v>
      </c>
      <c r="CK1289">
        <v>5</v>
      </c>
      <c r="CL1289">
        <v>305</v>
      </c>
      <c r="CM1289">
        <v>0</v>
      </c>
    </row>
    <row r="1290" spans="1:206" ht="19.5">
      <c r="CH1290">
        <v>98</v>
      </c>
      <c r="CI1290" t="s">
        <v>63</v>
      </c>
      <c r="CJ1290" s="8">
        <v>43942</v>
      </c>
      <c r="CK1290">
        <v>5</v>
      </c>
      <c r="CL1290">
        <v>305</v>
      </c>
      <c r="CM1290">
        <v>0</v>
      </c>
    </row>
    <row r="1291" spans="1:206" ht="19.5">
      <c r="CH1291">
        <v>98</v>
      </c>
      <c r="CI1291" t="s">
        <v>63</v>
      </c>
      <c r="CJ1291" s="8">
        <v>43943</v>
      </c>
      <c r="CK1291">
        <v>5</v>
      </c>
      <c r="CL1291">
        <v>305</v>
      </c>
      <c r="CM1291">
        <v>0</v>
      </c>
    </row>
    <row r="1292" spans="1:206" ht="19.5">
      <c r="CH1292">
        <v>98</v>
      </c>
      <c r="CI1292" t="s">
        <v>63</v>
      </c>
      <c r="CJ1292" s="8">
        <v>43944</v>
      </c>
      <c r="CK1292">
        <v>5</v>
      </c>
      <c r="CL1292">
        <v>305</v>
      </c>
      <c r="CM1292">
        <v>0</v>
      </c>
    </row>
    <row r="1293" spans="1:206" ht="19.5">
      <c r="CH1293">
        <v>98</v>
      </c>
      <c r="CI1293" t="s">
        <v>63</v>
      </c>
      <c r="CJ1293" s="8">
        <v>43945</v>
      </c>
      <c r="CK1293">
        <v>5</v>
      </c>
      <c r="CL1293">
        <v>305</v>
      </c>
      <c r="CM1293">
        <v>0</v>
      </c>
    </row>
    <row r="1294" spans="1:206" ht="19.5">
      <c r="CH1294">
        <v>98</v>
      </c>
      <c r="CI1294" t="s">
        <v>63</v>
      </c>
      <c r="CJ1294" s="8">
        <v>43946</v>
      </c>
      <c r="CK1294">
        <v>5</v>
      </c>
      <c r="CL1294">
        <v>305</v>
      </c>
      <c r="CM1294">
        <v>0</v>
      </c>
    </row>
    <row r="1295" spans="1:206" ht="19.5">
      <c r="CH1295">
        <v>98</v>
      </c>
      <c r="CI1295" t="s">
        <v>63</v>
      </c>
      <c r="CJ1295" s="8">
        <v>43947</v>
      </c>
      <c r="CK1295">
        <v>6</v>
      </c>
      <c r="CL1295">
        <v>366</v>
      </c>
      <c r="CM1295">
        <v>0</v>
      </c>
    </row>
    <row r="1296" spans="1:206" ht="19.5">
      <c r="CH1296">
        <v>98</v>
      </c>
      <c r="CI1296" t="s">
        <v>63</v>
      </c>
      <c r="CJ1296" s="8">
        <v>43948</v>
      </c>
      <c r="CK1296">
        <v>6</v>
      </c>
      <c r="CL1296">
        <v>366</v>
      </c>
      <c r="CM1296">
        <v>0</v>
      </c>
    </row>
    <row r="1297" spans="1:206" ht="19.5">
      <c r="CH1297">
        <v>98</v>
      </c>
      <c r="CI1297" t="s">
        <v>63</v>
      </c>
      <c r="CJ1297" s="8">
        <v>43949</v>
      </c>
      <c r="CK1297">
        <v>6</v>
      </c>
      <c r="CL1297">
        <v>366</v>
      </c>
      <c r="CM1297">
        <v>0</v>
      </c>
    </row>
    <row r="1298" spans="1:206" ht="19.5">
      <c r="CH1298">
        <v>98</v>
      </c>
      <c r="CI1298" t="s">
        <v>63</v>
      </c>
      <c r="CJ1298" s="8">
        <v>43950</v>
      </c>
      <c r="CK1298">
        <v>6</v>
      </c>
      <c r="CL1298">
        <v>366</v>
      </c>
      <c r="CM1298">
        <v>0</v>
      </c>
    </row>
    <row r="1299" spans="1:206" ht="19.5">
      <c r="CH1299">
        <v>98</v>
      </c>
      <c r="CI1299" t="s">
        <v>63</v>
      </c>
      <c r="CJ1299" s="8">
        <v>43951</v>
      </c>
      <c r="CK1299">
        <v>7</v>
      </c>
      <c r="CL1299">
        <v>427</v>
      </c>
      <c r="CM1299">
        <v>0</v>
      </c>
    </row>
    <row r="1300" spans="1:206" ht="19.5">
      <c r="CH1300">
        <v>102</v>
      </c>
      <c r="CI1300" t="s">
        <v>64</v>
      </c>
      <c r="CJ1300" s="8">
        <v>43914</v>
      </c>
      <c r="CK1300">
        <v>0</v>
      </c>
      <c r="CM1300">
        <v>0</v>
      </c>
    </row>
    <row r="1301" spans="1:206" ht="19.5">
      <c r="CH1301">
        <v>102</v>
      </c>
      <c r="CI1301" t="s">
        <v>64</v>
      </c>
      <c r="CJ1301" s="8">
        <v>43915</v>
      </c>
      <c r="CK1301">
        <v>0</v>
      </c>
      <c r="CM1301">
        <v>0</v>
      </c>
    </row>
    <row r="1302" spans="1:206" ht="19.5">
      <c r="CH1302">
        <v>102</v>
      </c>
      <c r="CI1302" t="s">
        <v>64</v>
      </c>
      <c r="CJ1302" s="8">
        <v>43916</v>
      </c>
      <c r="CK1302">
        <v>0</v>
      </c>
      <c r="CM1302">
        <v>0</v>
      </c>
    </row>
    <row r="1303" spans="1:206" ht="19.5">
      <c r="CH1303">
        <v>102</v>
      </c>
      <c r="CI1303" t="s">
        <v>64</v>
      </c>
      <c r="CJ1303" s="8">
        <v>43917</v>
      </c>
      <c r="CK1303">
        <v>0</v>
      </c>
      <c r="CM1303">
        <v>0</v>
      </c>
    </row>
    <row r="1304" spans="1:206" ht="19.5">
      <c r="CH1304">
        <v>102</v>
      </c>
      <c r="CI1304" t="s">
        <v>64</v>
      </c>
      <c r="CJ1304" s="8">
        <v>43918</v>
      </c>
      <c r="CK1304">
        <v>0</v>
      </c>
      <c r="CM1304">
        <v>0</v>
      </c>
    </row>
    <row r="1305" spans="1:206" ht="19.5">
      <c r="CH1305">
        <v>102</v>
      </c>
      <c r="CI1305" t="s">
        <v>64</v>
      </c>
      <c r="CJ1305" s="8">
        <v>43919</v>
      </c>
      <c r="CK1305">
        <v>0</v>
      </c>
      <c r="CM1305">
        <v>0</v>
      </c>
    </row>
    <row r="1306" spans="1:206" ht="19.5">
      <c r="CH1306">
        <v>102</v>
      </c>
      <c r="CI1306" t="s">
        <v>64</v>
      </c>
      <c r="CJ1306" s="8">
        <v>43920</v>
      </c>
      <c r="CK1306">
        <v>0</v>
      </c>
      <c r="CM1306">
        <v>0</v>
      </c>
    </row>
    <row r="1307" spans="1:206" ht="19.5">
      <c r="CH1307">
        <v>102</v>
      </c>
      <c r="CI1307" t="s">
        <v>64</v>
      </c>
      <c r="CJ1307" s="8">
        <v>43921</v>
      </c>
      <c r="CK1307">
        <v>0</v>
      </c>
      <c r="CM1307">
        <v>0</v>
      </c>
    </row>
    <row r="1308" spans="1:206" ht="19.5">
      <c r="CH1308">
        <v>102</v>
      </c>
      <c r="CI1308" t="s">
        <v>64</v>
      </c>
      <c r="CJ1308" s="8">
        <v>43922</v>
      </c>
      <c r="CK1308">
        <v>0</v>
      </c>
      <c r="CM1308">
        <v>0</v>
      </c>
    </row>
    <row r="1309" spans="1:206" ht="19.5">
      <c r="CH1309">
        <v>102</v>
      </c>
      <c r="CI1309" t="s">
        <v>64</v>
      </c>
      <c r="CJ1309" s="8">
        <v>43923</v>
      </c>
      <c r="CK1309">
        <v>0</v>
      </c>
      <c r="CM1309">
        <v>0</v>
      </c>
    </row>
    <row r="1310" spans="1:206" ht="19.5">
      <c r="CH1310">
        <v>102</v>
      </c>
      <c r="CI1310" t="s">
        <v>64</v>
      </c>
      <c r="CJ1310" s="8">
        <v>43924</v>
      </c>
      <c r="CK1310">
        <v>0</v>
      </c>
      <c r="CM1310">
        <v>0</v>
      </c>
    </row>
    <row r="1311" spans="1:206" ht="19.5">
      <c r="CH1311">
        <v>102</v>
      </c>
      <c r="CI1311" t="s">
        <v>64</v>
      </c>
      <c r="CJ1311" s="8">
        <v>43925</v>
      </c>
      <c r="CK1311">
        <v>0</v>
      </c>
      <c r="CM1311">
        <v>0</v>
      </c>
    </row>
    <row r="1312" spans="1:206" ht="19.5">
      <c r="CH1312">
        <v>102</v>
      </c>
      <c r="CI1312" t="s">
        <v>64</v>
      </c>
      <c r="CJ1312" s="8">
        <v>43926</v>
      </c>
      <c r="CK1312">
        <v>0</v>
      </c>
      <c r="CM1312">
        <v>0</v>
      </c>
    </row>
    <row r="1313" spans="1:206" ht="19.5">
      <c r="CH1313">
        <v>102</v>
      </c>
      <c r="CI1313" t="s">
        <v>64</v>
      </c>
      <c r="CJ1313" s="8">
        <v>43927</v>
      </c>
      <c r="CK1313">
        <v>0</v>
      </c>
      <c r="CM1313">
        <v>0</v>
      </c>
    </row>
    <row r="1314" spans="1:206" ht="19.5">
      <c r="CH1314">
        <v>102</v>
      </c>
      <c r="CI1314" t="s">
        <v>64</v>
      </c>
      <c r="CJ1314" s="8">
        <v>43928</v>
      </c>
      <c r="CK1314">
        <v>0</v>
      </c>
      <c r="CM1314">
        <v>0</v>
      </c>
    </row>
    <row r="1315" spans="1:206" ht="19.5">
      <c r="CH1315">
        <v>102</v>
      </c>
      <c r="CI1315" t="s">
        <v>64</v>
      </c>
      <c r="CJ1315" s="8">
        <v>43929</v>
      </c>
      <c r="CK1315">
        <v>0</v>
      </c>
      <c r="CM1315">
        <v>0</v>
      </c>
    </row>
    <row r="1316" spans="1:206" ht="19.5">
      <c r="CH1316">
        <v>102</v>
      </c>
      <c r="CI1316" t="s">
        <v>64</v>
      </c>
      <c r="CJ1316" s="8">
        <v>43930</v>
      </c>
      <c r="CK1316">
        <v>0</v>
      </c>
      <c r="CM1316">
        <v>0</v>
      </c>
    </row>
    <row r="1317" spans="1:206" ht="19.5">
      <c r="CH1317">
        <v>102</v>
      </c>
      <c r="CI1317" t="s">
        <v>64</v>
      </c>
      <c r="CJ1317" s="8">
        <v>43931</v>
      </c>
      <c r="CK1317">
        <v>0</v>
      </c>
      <c r="CM1317">
        <v>0</v>
      </c>
    </row>
    <row r="1318" spans="1:206" ht="19.5">
      <c r="CH1318">
        <v>102</v>
      </c>
      <c r="CI1318" t="s">
        <v>64</v>
      </c>
      <c r="CJ1318" s="8">
        <v>43932</v>
      </c>
      <c r="CK1318">
        <v>0</v>
      </c>
      <c r="CM1318">
        <v>0</v>
      </c>
    </row>
    <row r="1319" spans="1:206" ht="19.5">
      <c r="CH1319">
        <v>102</v>
      </c>
      <c r="CI1319" t="s">
        <v>64</v>
      </c>
      <c r="CJ1319" s="8">
        <v>43933</v>
      </c>
      <c r="CK1319">
        <v>0</v>
      </c>
      <c r="CM1319">
        <v>0</v>
      </c>
    </row>
    <row r="1320" spans="1:206" ht="19.5">
      <c r="CH1320">
        <v>102</v>
      </c>
      <c r="CI1320" t="s">
        <v>64</v>
      </c>
      <c r="CJ1320" s="8">
        <v>43934</v>
      </c>
      <c r="CK1320">
        <v>0</v>
      </c>
      <c r="CM1320">
        <v>0</v>
      </c>
    </row>
    <row r="1321" spans="1:206" ht="19.5">
      <c r="CH1321">
        <v>102</v>
      </c>
      <c r="CI1321" t="s">
        <v>64</v>
      </c>
      <c r="CJ1321" s="8">
        <v>43935</v>
      </c>
      <c r="CK1321">
        <v>0</v>
      </c>
      <c r="CM1321">
        <v>0</v>
      </c>
    </row>
    <row r="1322" spans="1:206" ht="19.5">
      <c r="CH1322">
        <v>102</v>
      </c>
      <c r="CI1322" t="s">
        <v>64</v>
      </c>
      <c r="CJ1322" s="8">
        <v>43936</v>
      </c>
      <c r="CK1322">
        <v>0</v>
      </c>
      <c r="CM1322">
        <v>0</v>
      </c>
    </row>
    <row r="1323" spans="1:206" ht="19.5">
      <c r="CH1323">
        <v>102</v>
      </c>
      <c r="CI1323" t="s">
        <v>64</v>
      </c>
      <c r="CJ1323" s="8">
        <v>43937</v>
      </c>
      <c r="CK1323">
        <v>0</v>
      </c>
      <c r="CL1323">
        <v>0</v>
      </c>
      <c r="CM1323">
        <v>0</v>
      </c>
    </row>
    <row r="1324" spans="1:206" ht="19.5">
      <c r="CH1324">
        <v>102</v>
      </c>
      <c r="CI1324" t="s">
        <v>64</v>
      </c>
      <c r="CJ1324" s="8">
        <v>43938</v>
      </c>
      <c r="CK1324">
        <v>1</v>
      </c>
      <c r="CL1324">
        <v>19</v>
      </c>
      <c r="CM1324">
        <v>0</v>
      </c>
    </row>
    <row r="1325" spans="1:206" ht="19.5">
      <c r="CH1325">
        <v>102</v>
      </c>
      <c r="CI1325" t="s">
        <v>64</v>
      </c>
      <c r="CJ1325" s="8">
        <v>43939</v>
      </c>
      <c r="CK1325">
        <v>1</v>
      </c>
      <c r="CL1325">
        <v>19</v>
      </c>
      <c r="CM1325">
        <v>0</v>
      </c>
    </row>
    <row r="1326" spans="1:206" ht="19.5">
      <c r="CH1326">
        <v>102</v>
      </c>
      <c r="CI1326" t="s">
        <v>64</v>
      </c>
      <c r="CJ1326" s="8">
        <v>43940</v>
      </c>
      <c r="CK1326">
        <v>2</v>
      </c>
      <c r="CL1326">
        <v>38</v>
      </c>
      <c r="CM1326">
        <v>0</v>
      </c>
    </row>
    <row r="1327" spans="1:206" ht="19.5">
      <c r="CH1327">
        <v>102</v>
      </c>
      <c r="CI1327" t="s">
        <v>64</v>
      </c>
      <c r="CJ1327" s="8">
        <v>43941</v>
      </c>
      <c r="CK1327">
        <v>2</v>
      </c>
      <c r="CL1327">
        <v>38</v>
      </c>
      <c r="CM1327">
        <v>0</v>
      </c>
    </row>
    <row r="1328" spans="1:206" ht="19.5">
      <c r="CH1328">
        <v>102</v>
      </c>
      <c r="CI1328" t="s">
        <v>64</v>
      </c>
      <c r="CJ1328" s="8">
        <v>43942</v>
      </c>
      <c r="CK1328">
        <v>1</v>
      </c>
      <c r="CL1328">
        <v>19</v>
      </c>
      <c r="CM1328">
        <v>0</v>
      </c>
    </row>
    <row r="1329" spans="1:206" ht="19.5">
      <c r="CH1329">
        <v>102</v>
      </c>
      <c r="CI1329" t="s">
        <v>64</v>
      </c>
      <c r="CJ1329" s="8">
        <v>43943</v>
      </c>
      <c r="CK1329">
        <v>1</v>
      </c>
      <c r="CL1329">
        <v>19</v>
      </c>
      <c r="CM1329">
        <v>0</v>
      </c>
    </row>
    <row r="1330" spans="1:206" ht="19.5">
      <c r="CH1330">
        <v>102</v>
      </c>
      <c r="CI1330" t="s">
        <v>64</v>
      </c>
      <c r="CJ1330" s="8">
        <v>43944</v>
      </c>
      <c r="CK1330">
        <v>2</v>
      </c>
      <c r="CL1330">
        <v>38</v>
      </c>
      <c r="CM1330">
        <v>0</v>
      </c>
    </row>
    <row r="1331" spans="1:206" ht="19.5">
      <c r="CH1331">
        <v>102</v>
      </c>
      <c r="CI1331" t="s">
        <v>64</v>
      </c>
      <c r="CJ1331" s="8">
        <v>43945</v>
      </c>
      <c r="CK1331">
        <v>2</v>
      </c>
      <c r="CL1331">
        <v>38</v>
      </c>
      <c r="CM1331">
        <v>0</v>
      </c>
    </row>
    <row r="1332" spans="1:206" ht="19.5">
      <c r="CH1332">
        <v>102</v>
      </c>
      <c r="CI1332" t="s">
        <v>64</v>
      </c>
      <c r="CJ1332" s="8">
        <v>43946</v>
      </c>
      <c r="CK1332">
        <v>2</v>
      </c>
      <c r="CL1332">
        <v>38</v>
      </c>
      <c r="CM1332">
        <v>0</v>
      </c>
    </row>
    <row r="1333" spans="1:206" ht="19.5">
      <c r="CH1333">
        <v>102</v>
      </c>
      <c r="CI1333" t="s">
        <v>64</v>
      </c>
      <c r="CJ1333" s="8">
        <v>43947</v>
      </c>
      <c r="CK1333">
        <v>2</v>
      </c>
      <c r="CL1333">
        <v>38</v>
      </c>
      <c r="CM1333">
        <v>0</v>
      </c>
    </row>
    <row r="1334" spans="1:206" ht="19.5">
      <c r="CH1334">
        <v>102</v>
      </c>
      <c r="CI1334" t="s">
        <v>64</v>
      </c>
      <c r="CJ1334" s="8">
        <v>43948</v>
      </c>
      <c r="CK1334">
        <v>2</v>
      </c>
      <c r="CL1334">
        <v>38</v>
      </c>
      <c r="CM1334">
        <v>0</v>
      </c>
    </row>
    <row r="1335" spans="1:206" ht="19.5">
      <c r="CH1335">
        <v>102</v>
      </c>
      <c r="CI1335" t="s">
        <v>64</v>
      </c>
      <c r="CJ1335" s="8">
        <v>43949</v>
      </c>
      <c r="CK1335">
        <v>2</v>
      </c>
      <c r="CL1335">
        <v>38</v>
      </c>
      <c r="CM1335">
        <v>0</v>
      </c>
    </row>
    <row r="1336" spans="1:206" ht="19.5">
      <c r="CH1336">
        <v>102</v>
      </c>
      <c r="CI1336" t="s">
        <v>64</v>
      </c>
      <c r="CJ1336" s="8">
        <v>43950</v>
      </c>
      <c r="CK1336">
        <v>3</v>
      </c>
      <c r="CL1336">
        <v>57</v>
      </c>
      <c r="CM1336">
        <v>0</v>
      </c>
    </row>
    <row r="1337" spans="1:206" ht="19.5">
      <c r="CH1337">
        <v>102</v>
      </c>
      <c r="CI1337" t="s">
        <v>64</v>
      </c>
      <c r="CJ1337" s="8">
        <v>43951</v>
      </c>
      <c r="CK1337">
        <v>3</v>
      </c>
      <c r="CL1337">
        <v>57</v>
      </c>
      <c r="CM1337">
        <v>0</v>
      </c>
    </row>
    <row r="1338" spans="1:206" ht="19.5">
      <c r="CH1338">
        <v>104</v>
      </c>
      <c r="CI1338" t="s">
        <v>65</v>
      </c>
      <c r="CJ1338" s="8">
        <v>43914</v>
      </c>
      <c r="CK1338">
        <v>2</v>
      </c>
      <c r="CM1338">
        <v>0</v>
      </c>
    </row>
    <row r="1339" spans="1:206" ht="19.5">
      <c r="CH1339">
        <v>104</v>
      </c>
      <c r="CI1339" t="s">
        <v>65</v>
      </c>
      <c r="CJ1339" s="8">
        <v>43915</v>
      </c>
      <c r="CK1339">
        <v>2</v>
      </c>
      <c r="CM1339">
        <v>0</v>
      </c>
    </row>
    <row r="1340" spans="1:206" ht="19.5">
      <c r="CH1340">
        <v>104</v>
      </c>
      <c r="CI1340" t="s">
        <v>65</v>
      </c>
      <c r="CJ1340" s="8">
        <v>43916</v>
      </c>
      <c r="CK1340">
        <v>2</v>
      </c>
      <c r="CM1340">
        <v>0</v>
      </c>
    </row>
    <row r="1341" spans="1:206" ht="19.5">
      <c r="CH1341">
        <v>104</v>
      </c>
      <c r="CI1341" t="s">
        <v>65</v>
      </c>
      <c r="CJ1341" s="8">
        <v>43917</v>
      </c>
      <c r="CK1341">
        <v>2</v>
      </c>
      <c r="CM1341">
        <v>0</v>
      </c>
    </row>
    <row r="1342" spans="1:206" ht="19.5">
      <c r="CH1342">
        <v>104</v>
      </c>
      <c r="CI1342" t="s">
        <v>65</v>
      </c>
      <c r="CJ1342" s="8">
        <v>43918</v>
      </c>
      <c r="CK1342">
        <v>2</v>
      </c>
      <c r="CM1342">
        <v>0</v>
      </c>
    </row>
    <row r="1343" spans="1:206" ht="19.5">
      <c r="CH1343">
        <v>104</v>
      </c>
      <c r="CI1343" t="s">
        <v>65</v>
      </c>
      <c r="CJ1343" s="8">
        <v>43919</v>
      </c>
      <c r="CK1343">
        <v>2</v>
      </c>
      <c r="CM1343">
        <v>0</v>
      </c>
    </row>
    <row r="1344" spans="1:206" ht="19.5">
      <c r="CH1344">
        <v>104</v>
      </c>
      <c r="CI1344" t="s">
        <v>65</v>
      </c>
      <c r="CJ1344" s="8">
        <v>43920</v>
      </c>
      <c r="CK1344">
        <v>2</v>
      </c>
      <c r="CM1344">
        <v>0</v>
      </c>
    </row>
    <row r="1345" spans="1:206" ht="19.5">
      <c r="CH1345">
        <v>104</v>
      </c>
      <c r="CI1345" t="s">
        <v>65</v>
      </c>
      <c r="CJ1345" s="8">
        <v>43921</v>
      </c>
      <c r="CK1345">
        <v>2</v>
      </c>
      <c r="CM1345">
        <v>1</v>
      </c>
    </row>
    <row r="1346" spans="1:206" ht="19.5">
      <c r="CH1346">
        <v>104</v>
      </c>
      <c r="CI1346" t="s">
        <v>65</v>
      </c>
      <c r="CJ1346" s="8">
        <v>43922</v>
      </c>
      <c r="CK1346">
        <v>2</v>
      </c>
      <c r="CM1346">
        <v>1</v>
      </c>
    </row>
    <row r="1347" spans="1:206" ht="19.5">
      <c r="CH1347">
        <v>104</v>
      </c>
      <c r="CI1347" t="s">
        <v>65</v>
      </c>
      <c r="CJ1347" s="8">
        <v>43923</v>
      </c>
      <c r="CK1347">
        <v>2</v>
      </c>
      <c r="CM1347">
        <v>1</v>
      </c>
    </row>
    <row r="1348" spans="1:206" ht="19.5">
      <c r="CH1348">
        <v>104</v>
      </c>
      <c r="CI1348" t="s">
        <v>65</v>
      </c>
      <c r="CJ1348" s="8">
        <v>43924</v>
      </c>
      <c r="CK1348">
        <v>3</v>
      </c>
      <c r="CM1348">
        <v>1</v>
      </c>
    </row>
    <row r="1349" spans="1:206" ht="19.5">
      <c r="CH1349">
        <v>104</v>
      </c>
      <c r="CI1349" t="s">
        <v>65</v>
      </c>
      <c r="CJ1349" s="8">
        <v>43925</v>
      </c>
      <c r="CK1349">
        <v>5</v>
      </c>
      <c r="CM1349">
        <v>1</v>
      </c>
    </row>
    <row r="1350" spans="1:206" ht="19.5">
      <c r="CH1350">
        <v>104</v>
      </c>
      <c r="CI1350" t="s">
        <v>65</v>
      </c>
      <c r="CJ1350" s="8">
        <v>43926</v>
      </c>
      <c r="CK1350">
        <v>5</v>
      </c>
      <c r="CM1350">
        <v>1</v>
      </c>
    </row>
    <row r="1351" spans="1:206" ht="19.5">
      <c r="CH1351">
        <v>104</v>
      </c>
      <c r="CI1351" t="s">
        <v>65</v>
      </c>
      <c r="CJ1351" s="8">
        <v>43927</v>
      </c>
      <c r="CK1351">
        <v>6</v>
      </c>
      <c r="CM1351">
        <v>1</v>
      </c>
    </row>
    <row r="1352" spans="1:206" ht="19.5">
      <c r="CH1352">
        <v>104</v>
      </c>
      <c r="CI1352" t="s">
        <v>65</v>
      </c>
      <c r="CJ1352" s="8">
        <v>43928</v>
      </c>
      <c r="CK1352">
        <v>6</v>
      </c>
      <c r="CM1352">
        <v>1</v>
      </c>
    </row>
    <row r="1353" spans="1:206" ht="19.5">
      <c r="CH1353">
        <v>104</v>
      </c>
      <c r="CI1353" t="s">
        <v>65</v>
      </c>
      <c r="CJ1353" s="8">
        <v>43929</v>
      </c>
      <c r="CK1353">
        <v>8</v>
      </c>
      <c r="CM1353">
        <v>1</v>
      </c>
    </row>
    <row r="1354" spans="1:206" ht="19.5">
      <c r="CH1354">
        <v>104</v>
      </c>
      <c r="CI1354" t="s">
        <v>65</v>
      </c>
      <c r="CJ1354" s="8">
        <v>43930</v>
      </c>
      <c r="CK1354">
        <v>12</v>
      </c>
      <c r="CM1354">
        <v>1</v>
      </c>
    </row>
    <row r="1355" spans="1:206" ht="19.5">
      <c r="CH1355">
        <v>104</v>
      </c>
      <c r="CI1355" t="s">
        <v>65</v>
      </c>
      <c r="CJ1355" s="8">
        <v>43931</v>
      </c>
      <c r="CK1355">
        <v>13</v>
      </c>
      <c r="CM1355">
        <v>1</v>
      </c>
    </row>
    <row r="1356" spans="1:206" ht="19.5">
      <c r="CH1356">
        <v>104</v>
      </c>
      <c r="CI1356" t="s">
        <v>65</v>
      </c>
      <c r="CJ1356" s="8">
        <v>43932</v>
      </c>
      <c r="CK1356">
        <v>15</v>
      </c>
      <c r="CM1356">
        <v>1</v>
      </c>
    </row>
    <row r="1357" spans="1:206" ht="19.5">
      <c r="CH1357">
        <v>104</v>
      </c>
      <c r="CI1357" t="s">
        <v>65</v>
      </c>
      <c r="CJ1357" s="8">
        <v>43933</v>
      </c>
      <c r="CK1357">
        <v>13</v>
      </c>
      <c r="CM1357">
        <v>1</v>
      </c>
    </row>
    <row r="1358" spans="1:206" ht="19.5">
      <c r="CH1358">
        <v>104</v>
      </c>
      <c r="CI1358" t="s">
        <v>65</v>
      </c>
      <c r="CJ1358" s="8">
        <v>43934</v>
      </c>
      <c r="CK1358">
        <v>19</v>
      </c>
      <c r="CM1358">
        <v>1</v>
      </c>
    </row>
    <row r="1359" spans="1:206" ht="19.5">
      <c r="CH1359">
        <v>104</v>
      </c>
      <c r="CI1359" t="s">
        <v>65</v>
      </c>
      <c r="CJ1359" s="8">
        <v>43935</v>
      </c>
      <c r="CK1359">
        <v>22</v>
      </c>
      <c r="CM1359">
        <v>1</v>
      </c>
    </row>
    <row r="1360" spans="1:206" ht="19.5">
      <c r="CH1360">
        <v>104</v>
      </c>
      <c r="CI1360" t="s">
        <v>65</v>
      </c>
      <c r="CJ1360" s="8">
        <v>43936</v>
      </c>
      <c r="CK1360">
        <v>22</v>
      </c>
      <c r="CM1360">
        <v>1</v>
      </c>
    </row>
    <row r="1361" spans="1:206" ht="19.5">
      <c r="CH1361">
        <v>104</v>
      </c>
      <c r="CI1361" t="s">
        <v>65</v>
      </c>
      <c r="CJ1361" s="8">
        <v>43937</v>
      </c>
      <c r="CK1361">
        <v>24</v>
      </c>
      <c r="CL1361">
        <v>61</v>
      </c>
      <c r="CM1361">
        <v>1</v>
      </c>
    </row>
    <row r="1362" spans="1:206" ht="19.5">
      <c r="CH1362">
        <v>104</v>
      </c>
      <c r="CI1362" t="s">
        <v>65</v>
      </c>
      <c r="CJ1362" s="8">
        <v>43938</v>
      </c>
      <c r="CK1362">
        <v>26</v>
      </c>
      <c r="CL1362">
        <v>66</v>
      </c>
      <c r="CM1362">
        <v>1</v>
      </c>
    </row>
    <row r="1363" spans="1:206" ht="19.5">
      <c r="CH1363">
        <v>104</v>
      </c>
      <c r="CI1363" t="s">
        <v>65</v>
      </c>
      <c r="CJ1363" s="8">
        <v>43939</v>
      </c>
      <c r="CK1363">
        <v>26</v>
      </c>
      <c r="CL1363">
        <v>66</v>
      </c>
      <c r="CM1363">
        <v>1</v>
      </c>
    </row>
    <row r="1364" spans="1:206" ht="19.5">
      <c r="CH1364">
        <v>104</v>
      </c>
      <c r="CI1364" t="s">
        <v>65</v>
      </c>
      <c r="CJ1364" s="8">
        <v>43940</v>
      </c>
      <c r="CK1364">
        <v>26</v>
      </c>
      <c r="CL1364">
        <v>66</v>
      </c>
      <c r="CM1364">
        <v>1</v>
      </c>
    </row>
    <row r="1365" spans="1:206" ht="19.5">
      <c r="CH1365">
        <v>104</v>
      </c>
      <c r="CI1365" t="s">
        <v>65</v>
      </c>
      <c r="CJ1365" s="8">
        <v>43941</v>
      </c>
      <c r="CK1365">
        <v>27</v>
      </c>
      <c r="CL1365">
        <v>69</v>
      </c>
      <c r="CM1365">
        <v>1</v>
      </c>
    </row>
    <row r="1366" spans="1:206" ht="19.5">
      <c r="CH1366">
        <v>104</v>
      </c>
      <c r="CI1366" t="s">
        <v>65</v>
      </c>
      <c r="CJ1366" s="8">
        <v>43942</v>
      </c>
      <c r="CK1366">
        <v>30</v>
      </c>
      <c r="CL1366">
        <v>77</v>
      </c>
      <c r="CM1366">
        <v>1</v>
      </c>
    </row>
    <row r="1367" spans="1:206" ht="19.5">
      <c r="CH1367">
        <v>104</v>
      </c>
      <c r="CI1367" t="s">
        <v>65</v>
      </c>
      <c r="CJ1367" s="8">
        <v>43943</v>
      </c>
      <c r="CK1367">
        <v>31</v>
      </c>
      <c r="CL1367">
        <v>79</v>
      </c>
      <c r="CM1367">
        <v>1</v>
      </c>
    </row>
    <row r="1368" spans="1:206" ht="19.5">
      <c r="CH1368">
        <v>104</v>
      </c>
      <c r="CI1368" t="s">
        <v>65</v>
      </c>
      <c r="CJ1368" s="8">
        <v>43944</v>
      </c>
      <c r="CK1368">
        <v>33</v>
      </c>
      <c r="CL1368">
        <v>84</v>
      </c>
      <c r="CM1368">
        <v>1</v>
      </c>
    </row>
    <row r="1369" spans="1:206" ht="19.5">
      <c r="CH1369">
        <v>104</v>
      </c>
      <c r="CI1369" t="s">
        <v>65</v>
      </c>
      <c r="CJ1369" s="8">
        <v>43945</v>
      </c>
      <c r="CK1369">
        <v>34</v>
      </c>
      <c r="CL1369">
        <v>87</v>
      </c>
      <c r="CM1369">
        <v>1</v>
      </c>
    </row>
    <row r="1370" spans="1:206" ht="19.5">
      <c r="CH1370">
        <v>104</v>
      </c>
      <c r="CI1370" t="s">
        <v>65</v>
      </c>
      <c r="CJ1370" s="8">
        <v>43946</v>
      </c>
      <c r="CK1370">
        <v>35</v>
      </c>
      <c r="CL1370">
        <v>89</v>
      </c>
      <c r="CM1370">
        <v>1</v>
      </c>
    </row>
    <row r="1371" spans="1:206" ht="19.5">
      <c r="CH1371">
        <v>104</v>
      </c>
      <c r="CI1371" t="s">
        <v>65</v>
      </c>
      <c r="CJ1371" s="8">
        <v>43947</v>
      </c>
      <c r="CK1371">
        <v>36</v>
      </c>
      <c r="CL1371">
        <v>92</v>
      </c>
      <c r="CM1371">
        <v>2</v>
      </c>
    </row>
    <row r="1372" spans="1:206" ht="19.5">
      <c r="CH1372">
        <v>104</v>
      </c>
      <c r="CI1372" t="s">
        <v>65</v>
      </c>
      <c r="CJ1372" s="8">
        <v>43948</v>
      </c>
      <c r="CK1372">
        <v>38</v>
      </c>
      <c r="CL1372">
        <v>97</v>
      </c>
      <c r="CM1372">
        <v>2</v>
      </c>
    </row>
    <row r="1373" spans="1:206" ht="19.5">
      <c r="CH1373">
        <v>104</v>
      </c>
      <c r="CI1373" t="s">
        <v>65</v>
      </c>
      <c r="CJ1373" s="8">
        <v>43949</v>
      </c>
      <c r="CK1373">
        <v>41</v>
      </c>
      <c r="CL1373">
        <v>105</v>
      </c>
      <c r="CM1373">
        <v>2</v>
      </c>
    </row>
    <row r="1374" spans="1:206" ht="19.5">
      <c r="CH1374">
        <v>104</v>
      </c>
      <c r="CI1374" t="s">
        <v>65</v>
      </c>
      <c r="CJ1374" s="8">
        <v>43950</v>
      </c>
      <c r="CK1374">
        <v>39</v>
      </c>
      <c r="CL1374">
        <v>100</v>
      </c>
      <c r="CM1374">
        <v>2</v>
      </c>
    </row>
    <row r="1375" spans="1:206" ht="19.5">
      <c r="CH1375">
        <v>104</v>
      </c>
      <c r="CI1375" t="s">
        <v>65</v>
      </c>
      <c r="CJ1375" s="8">
        <v>43951</v>
      </c>
      <c r="CK1375">
        <v>41</v>
      </c>
      <c r="CL1375">
        <v>105</v>
      </c>
      <c r="CM1375">
        <v>2</v>
      </c>
    </row>
    <row r="1376" spans="1:206" ht="19.5">
      <c r="CH1376">
        <v>113</v>
      </c>
      <c r="CI1376" t="s">
        <v>66</v>
      </c>
      <c r="CJ1376" s="8">
        <v>43914</v>
      </c>
      <c r="CK1376">
        <v>1</v>
      </c>
      <c r="CM1376">
        <v>0</v>
      </c>
    </row>
    <row r="1377" spans="1:206" ht="19.5">
      <c r="CH1377">
        <v>113</v>
      </c>
      <c r="CI1377" t="s">
        <v>66</v>
      </c>
      <c r="CJ1377" s="8">
        <v>43915</v>
      </c>
      <c r="CK1377">
        <v>2</v>
      </c>
      <c r="CM1377">
        <v>0</v>
      </c>
    </row>
    <row r="1378" spans="1:206" ht="19.5">
      <c r="CH1378">
        <v>113</v>
      </c>
      <c r="CI1378" t="s">
        <v>66</v>
      </c>
      <c r="CJ1378" s="8">
        <v>43916</v>
      </c>
      <c r="CK1378">
        <v>2</v>
      </c>
      <c r="CM1378">
        <v>0</v>
      </c>
    </row>
    <row r="1379" spans="1:206" ht="19.5">
      <c r="CH1379">
        <v>113</v>
      </c>
      <c r="CI1379" t="s">
        <v>66</v>
      </c>
      <c r="CJ1379" s="8">
        <v>43917</v>
      </c>
      <c r="CK1379">
        <v>2</v>
      </c>
      <c r="CM1379">
        <v>0</v>
      </c>
    </row>
    <row r="1380" spans="1:206" ht="19.5">
      <c r="CH1380">
        <v>113</v>
      </c>
      <c r="CI1380" t="s">
        <v>66</v>
      </c>
      <c r="CJ1380" s="8">
        <v>43918</v>
      </c>
      <c r="CK1380">
        <v>2</v>
      </c>
      <c r="CM1380">
        <v>0</v>
      </c>
    </row>
    <row r="1381" spans="1:206" ht="19.5">
      <c r="CH1381">
        <v>113</v>
      </c>
      <c r="CI1381" t="s">
        <v>66</v>
      </c>
      <c r="CJ1381" s="8">
        <v>43919</v>
      </c>
      <c r="CK1381">
        <v>2</v>
      </c>
      <c r="CM1381">
        <v>0</v>
      </c>
    </row>
    <row r="1382" spans="1:206" ht="19.5">
      <c r="CH1382">
        <v>113</v>
      </c>
      <c r="CI1382" t="s">
        <v>66</v>
      </c>
      <c r="CJ1382" s="8">
        <v>43920</v>
      </c>
      <c r="CK1382">
        <v>3</v>
      </c>
      <c r="CM1382">
        <v>0</v>
      </c>
    </row>
    <row r="1383" spans="1:206" ht="19.5">
      <c r="CH1383">
        <v>113</v>
      </c>
      <c r="CI1383" t="s">
        <v>66</v>
      </c>
      <c r="CJ1383" s="8">
        <v>43921</v>
      </c>
      <c r="CK1383">
        <v>3</v>
      </c>
      <c r="CM1383">
        <v>0</v>
      </c>
    </row>
    <row r="1384" spans="1:206" ht="19.5">
      <c r="CH1384">
        <v>113</v>
      </c>
      <c r="CI1384" t="s">
        <v>66</v>
      </c>
      <c r="CJ1384" s="8">
        <v>43922</v>
      </c>
      <c r="CK1384">
        <v>3</v>
      </c>
      <c r="CM1384">
        <v>0</v>
      </c>
    </row>
    <row r="1385" spans="1:206" ht="19.5">
      <c r="CH1385">
        <v>113</v>
      </c>
      <c r="CI1385" t="s">
        <v>66</v>
      </c>
      <c r="CJ1385" s="8">
        <v>43923</v>
      </c>
      <c r="CK1385">
        <v>4</v>
      </c>
      <c r="CM1385">
        <v>1</v>
      </c>
    </row>
    <row r="1386" spans="1:206" ht="19.5">
      <c r="CH1386">
        <v>113</v>
      </c>
      <c r="CI1386" t="s">
        <v>66</v>
      </c>
      <c r="CJ1386" s="8">
        <v>43924</v>
      </c>
      <c r="CK1386">
        <v>6</v>
      </c>
      <c r="CM1386">
        <v>0</v>
      </c>
    </row>
    <row r="1387" spans="1:206" ht="19.5">
      <c r="CH1387">
        <v>113</v>
      </c>
      <c r="CI1387" t="s">
        <v>66</v>
      </c>
      <c r="CJ1387" s="8">
        <v>43925</v>
      </c>
      <c r="CK1387">
        <v>7</v>
      </c>
      <c r="CM1387">
        <v>2</v>
      </c>
    </row>
    <row r="1388" spans="1:206" ht="19.5">
      <c r="CH1388">
        <v>113</v>
      </c>
      <c r="CI1388" t="s">
        <v>66</v>
      </c>
      <c r="CJ1388" s="8">
        <v>43926</v>
      </c>
      <c r="CK1388">
        <v>8</v>
      </c>
      <c r="CM1388">
        <v>2</v>
      </c>
    </row>
    <row r="1389" spans="1:206" ht="19.5">
      <c r="CH1389">
        <v>113</v>
      </c>
      <c r="CI1389" t="s">
        <v>66</v>
      </c>
      <c r="CJ1389" s="8">
        <v>43927</v>
      </c>
      <c r="CK1389">
        <v>10</v>
      </c>
      <c r="CM1389">
        <v>3</v>
      </c>
    </row>
    <row r="1390" spans="1:206" ht="19.5">
      <c r="CH1390">
        <v>113</v>
      </c>
      <c r="CI1390" t="s">
        <v>66</v>
      </c>
      <c r="CJ1390" s="8">
        <v>43928</v>
      </c>
      <c r="CK1390">
        <v>13</v>
      </c>
      <c r="CM1390">
        <v>3</v>
      </c>
    </row>
    <row r="1391" spans="1:206" ht="19.5">
      <c r="CH1391">
        <v>113</v>
      </c>
      <c r="CI1391" t="s">
        <v>66</v>
      </c>
      <c r="CJ1391" s="8">
        <v>43929</v>
      </c>
      <c r="CK1391">
        <v>15</v>
      </c>
      <c r="CM1391">
        <v>3</v>
      </c>
    </row>
    <row r="1392" spans="1:206" ht="19.5">
      <c r="CH1392">
        <v>113</v>
      </c>
      <c r="CI1392" t="s">
        <v>66</v>
      </c>
      <c r="CJ1392" s="8">
        <v>43930</v>
      </c>
      <c r="CK1392">
        <v>19</v>
      </c>
      <c r="CM1392">
        <v>4</v>
      </c>
    </row>
    <row r="1393" spans="1:206" ht="19.5">
      <c r="CH1393">
        <v>113</v>
      </c>
      <c r="CI1393" t="s">
        <v>66</v>
      </c>
      <c r="CJ1393" s="8">
        <v>43931</v>
      </c>
      <c r="CK1393">
        <v>23</v>
      </c>
      <c r="CM1393">
        <v>5</v>
      </c>
    </row>
    <row r="1394" spans="1:206" ht="19.5">
      <c r="CH1394">
        <v>113</v>
      </c>
      <c r="CI1394" t="s">
        <v>66</v>
      </c>
      <c r="CJ1394" s="8">
        <v>43932</v>
      </c>
      <c r="CK1394">
        <v>28</v>
      </c>
      <c r="CM1394">
        <v>5</v>
      </c>
    </row>
    <row r="1395" spans="1:206" ht="19.5">
      <c r="CH1395">
        <v>113</v>
      </c>
      <c r="CI1395" t="s">
        <v>66</v>
      </c>
      <c r="CJ1395" s="8">
        <v>43933</v>
      </c>
      <c r="CK1395">
        <v>28</v>
      </c>
      <c r="CM1395">
        <v>5</v>
      </c>
    </row>
    <row r="1396" spans="1:206" ht="19.5">
      <c r="CH1396">
        <v>113</v>
      </c>
      <c r="CI1396" t="s">
        <v>66</v>
      </c>
      <c r="CJ1396" s="8">
        <v>43934</v>
      </c>
      <c r="CK1396">
        <v>30</v>
      </c>
      <c r="CM1396">
        <v>4</v>
      </c>
    </row>
    <row r="1397" spans="1:206" ht="19.5">
      <c r="CH1397">
        <v>113</v>
      </c>
      <c r="CI1397" t="s">
        <v>66</v>
      </c>
      <c r="CJ1397" s="8">
        <v>43935</v>
      </c>
      <c r="CK1397">
        <v>30</v>
      </c>
      <c r="CM1397">
        <v>4</v>
      </c>
    </row>
    <row r="1398" spans="1:206" ht="19.5">
      <c r="CH1398">
        <v>113</v>
      </c>
      <c r="CI1398" t="s">
        <v>66</v>
      </c>
      <c r="CJ1398" s="8">
        <v>43936</v>
      </c>
      <c r="CK1398">
        <v>31</v>
      </c>
      <c r="CM1398">
        <v>7</v>
      </c>
    </row>
    <row r="1399" spans="1:206" ht="19.5">
      <c r="CH1399">
        <v>113</v>
      </c>
      <c r="CI1399" t="s">
        <v>66</v>
      </c>
      <c r="CJ1399" s="8">
        <v>43937</v>
      </c>
      <c r="CK1399">
        <v>31</v>
      </c>
      <c r="CL1399">
        <v>333</v>
      </c>
      <c r="CM1399">
        <v>7</v>
      </c>
    </row>
    <row r="1400" spans="1:206" ht="19.5">
      <c r="CH1400">
        <v>113</v>
      </c>
      <c r="CI1400" t="s">
        <v>66</v>
      </c>
      <c r="CJ1400" s="8">
        <v>43938</v>
      </c>
      <c r="CK1400">
        <v>33</v>
      </c>
      <c r="CL1400">
        <v>355</v>
      </c>
      <c r="CM1400">
        <v>7</v>
      </c>
    </row>
    <row r="1401" spans="1:206" ht="19.5">
      <c r="CH1401">
        <v>113</v>
      </c>
      <c r="CI1401" t="s">
        <v>66</v>
      </c>
      <c r="CJ1401" s="8">
        <v>43939</v>
      </c>
      <c r="CK1401">
        <v>36</v>
      </c>
      <c r="CL1401">
        <v>387</v>
      </c>
      <c r="CM1401">
        <v>8</v>
      </c>
    </row>
    <row r="1402" spans="1:206" ht="19.5">
      <c r="CH1402">
        <v>113</v>
      </c>
      <c r="CI1402" t="s">
        <v>66</v>
      </c>
      <c r="CJ1402" s="8">
        <v>43940</v>
      </c>
      <c r="CK1402">
        <v>36</v>
      </c>
      <c r="CL1402">
        <v>387</v>
      </c>
      <c r="CM1402">
        <v>8</v>
      </c>
    </row>
    <row r="1403" spans="1:206" ht="19.5">
      <c r="CH1403">
        <v>113</v>
      </c>
      <c r="CI1403" t="s">
        <v>66</v>
      </c>
      <c r="CJ1403" s="8">
        <v>43941</v>
      </c>
      <c r="CK1403">
        <v>38</v>
      </c>
      <c r="CL1403">
        <v>408</v>
      </c>
      <c r="CM1403">
        <v>8</v>
      </c>
    </row>
    <row r="1404" spans="1:206" ht="19.5">
      <c r="CH1404">
        <v>113</v>
      </c>
      <c r="CI1404" t="s">
        <v>66</v>
      </c>
      <c r="CJ1404" s="8">
        <v>43942</v>
      </c>
      <c r="CK1404">
        <v>40</v>
      </c>
      <c r="CL1404">
        <v>430</v>
      </c>
      <c r="CM1404">
        <v>9</v>
      </c>
    </row>
    <row r="1405" spans="1:206" ht="19.5">
      <c r="CH1405">
        <v>113</v>
      </c>
      <c r="CI1405" t="s">
        <v>66</v>
      </c>
      <c r="CJ1405" s="8">
        <v>43943</v>
      </c>
      <c r="CK1405">
        <v>41</v>
      </c>
      <c r="CL1405">
        <v>441</v>
      </c>
      <c r="CM1405">
        <v>9</v>
      </c>
    </row>
    <row r="1406" spans="1:206" ht="19.5">
      <c r="CH1406">
        <v>113</v>
      </c>
      <c r="CI1406" t="s">
        <v>66</v>
      </c>
      <c r="CJ1406" s="8">
        <v>43944</v>
      </c>
      <c r="CK1406">
        <v>42</v>
      </c>
      <c r="CL1406">
        <v>451</v>
      </c>
      <c r="CM1406">
        <v>9</v>
      </c>
    </row>
    <row r="1407" spans="1:206" ht="19.5">
      <c r="CH1407">
        <v>113</v>
      </c>
      <c r="CI1407" t="s">
        <v>66</v>
      </c>
      <c r="CJ1407" s="8">
        <v>43945</v>
      </c>
      <c r="CK1407">
        <v>44</v>
      </c>
      <c r="CL1407">
        <v>473</v>
      </c>
      <c r="CM1407">
        <v>10</v>
      </c>
    </row>
    <row r="1408" spans="1:206" ht="19.5">
      <c r="CH1408">
        <v>113</v>
      </c>
      <c r="CI1408" t="s">
        <v>66</v>
      </c>
      <c r="CJ1408" s="8">
        <v>43946</v>
      </c>
      <c r="CK1408">
        <v>46</v>
      </c>
      <c r="CL1408">
        <v>494</v>
      </c>
      <c r="CM1408">
        <v>10</v>
      </c>
    </row>
    <row r="1409" spans="1:206" ht="19.5">
      <c r="CH1409">
        <v>113</v>
      </c>
      <c r="CI1409" t="s">
        <v>66</v>
      </c>
      <c r="CJ1409" s="8">
        <v>43947</v>
      </c>
      <c r="CK1409">
        <v>47</v>
      </c>
      <c r="CL1409">
        <v>505</v>
      </c>
      <c r="CM1409">
        <v>10</v>
      </c>
    </row>
    <row r="1410" spans="1:206" ht="19.5">
      <c r="CH1410">
        <v>113</v>
      </c>
      <c r="CI1410" t="s">
        <v>66</v>
      </c>
      <c r="CJ1410" s="8">
        <v>43948</v>
      </c>
      <c r="CK1410">
        <v>47</v>
      </c>
      <c r="CL1410">
        <v>505</v>
      </c>
      <c r="CM1410">
        <v>11</v>
      </c>
    </row>
    <row r="1411" spans="1:206" ht="19.5">
      <c r="CH1411">
        <v>113</v>
      </c>
      <c r="CI1411" t="s">
        <v>66</v>
      </c>
      <c r="CJ1411" s="8">
        <v>43949</v>
      </c>
      <c r="CK1411">
        <v>50</v>
      </c>
      <c r="CL1411">
        <v>537</v>
      </c>
      <c r="CM1411">
        <v>12</v>
      </c>
    </row>
    <row r="1412" spans="1:206" ht="19.5">
      <c r="CH1412">
        <v>113</v>
      </c>
      <c r="CI1412" t="s">
        <v>66</v>
      </c>
      <c r="CJ1412" s="8">
        <v>43950</v>
      </c>
      <c r="CK1412">
        <v>50</v>
      </c>
      <c r="CL1412">
        <v>537</v>
      </c>
      <c r="CM1412">
        <v>12</v>
      </c>
    </row>
    <row r="1413" spans="1:206" ht="19.5">
      <c r="CH1413">
        <v>113</v>
      </c>
      <c r="CI1413" t="s">
        <v>66</v>
      </c>
      <c r="CJ1413" s="8">
        <v>43951</v>
      </c>
      <c r="CK1413">
        <v>50</v>
      </c>
      <c r="CL1413">
        <v>537</v>
      </c>
      <c r="CM1413">
        <v>12</v>
      </c>
    </row>
    <row r="1414" spans="1:206" ht="19.5">
      <c r="CH1414">
        <v>119</v>
      </c>
      <c r="CI1414" t="s">
        <v>67</v>
      </c>
      <c r="CJ1414" s="8">
        <v>43914</v>
      </c>
      <c r="CK1414">
        <v>8</v>
      </c>
      <c r="CM1414">
        <v>0</v>
      </c>
    </row>
    <row r="1415" spans="1:206" ht="19.5">
      <c r="CH1415">
        <v>119</v>
      </c>
      <c r="CI1415" t="s">
        <v>67</v>
      </c>
      <c r="CJ1415" s="8">
        <v>43915</v>
      </c>
      <c r="CK1415">
        <v>8</v>
      </c>
      <c r="CM1415">
        <v>1</v>
      </c>
    </row>
    <row r="1416" spans="1:206" ht="19.5">
      <c r="CH1416">
        <v>119</v>
      </c>
      <c r="CI1416" t="s">
        <v>67</v>
      </c>
      <c r="CJ1416" s="8">
        <v>43916</v>
      </c>
      <c r="CK1416">
        <v>9</v>
      </c>
      <c r="CM1416">
        <v>1</v>
      </c>
    </row>
    <row r="1417" spans="1:206" ht="19.5">
      <c r="CH1417">
        <v>119</v>
      </c>
      <c r="CI1417" t="s">
        <v>67</v>
      </c>
      <c r="CJ1417" s="8">
        <v>43917</v>
      </c>
      <c r="CK1417">
        <v>11</v>
      </c>
      <c r="CM1417">
        <v>1</v>
      </c>
    </row>
    <row r="1418" spans="1:206" ht="19.5">
      <c r="CH1418">
        <v>119</v>
      </c>
      <c r="CI1418" t="s">
        <v>67</v>
      </c>
      <c r="CJ1418" s="8">
        <v>43918</v>
      </c>
      <c r="CK1418">
        <v>14</v>
      </c>
      <c r="CM1418">
        <v>1</v>
      </c>
    </row>
    <row r="1419" spans="1:206" ht="19.5">
      <c r="CH1419">
        <v>119</v>
      </c>
      <c r="CI1419" t="s">
        <v>67</v>
      </c>
      <c r="CJ1419" s="8">
        <v>43919</v>
      </c>
      <c r="CK1419">
        <v>14</v>
      </c>
      <c r="CM1419">
        <v>1</v>
      </c>
    </row>
    <row r="1420" spans="1:206" ht="19.5">
      <c r="CH1420">
        <v>119</v>
      </c>
      <c r="CI1420" t="s">
        <v>67</v>
      </c>
      <c r="CJ1420" s="8">
        <v>43920</v>
      </c>
      <c r="CK1420">
        <v>15</v>
      </c>
      <c r="CM1420">
        <v>1</v>
      </c>
    </row>
    <row r="1421" spans="1:206" ht="19.5">
      <c r="CH1421">
        <v>119</v>
      </c>
      <c r="CI1421" t="s">
        <v>67</v>
      </c>
      <c r="CJ1421" s="8">
        <v>43921</v>
      </c>
      <c r="CK1421">
        <v>17</v>
      </c>
      <c r="CM1421">
        <v>1</v>
      </c>
    </row>
    <row r="1422" spans="1:206" ht="19.5">
      <c r="CH1422">
        <v>119</v>
      </c>
      <c r="CI1422" t="s">
        <v>67</v>
      </c>
      <c r="CJ1422" s="8">
        <v>43922</v>
      </c>
      <c r="CK1422">
        <v>20</v>
      </c>
      <c r="CM1422">
        <v>1</v>
      </c>
    </row>
    <row r="1423" spans="1:206" ht="19.5">
      <c r="CH1423">
        <v>119</v>
      </c>
      <c r="CI1423" t="s">
        <v>67</v>
      </c>
      <c r="CJ1423" s="8">
        <v>43923</v>
      </c>
      <c r="CK1423">
        <v>22</v>
      </c>
      <c r="CM1423">
        <v>1</v>
      </c>
    </row>
    <row r="1424" spans="1:206" ht="19.5">
      <c r="CH1424">
        <v>119</v>
      </c>
      <c r="CI1424" t="s">
        <v>67</v>
      </c>
      <c r="CJ1424" s="8">
        <v>43924</v>
      </c>
      <c r="CK1424">
        <v>26</v>
      </c>
      <c r="CM1424">
        <v>1</v>
      </c>
    </row>
    <row r="1425" spans="1:206" ht="19.5">
      <c r="CH1425">
        <v>119</v>
      </c>
      <c r="CI1425" t="s">
        <v>67</v>
      </c>
      <c r="CJ1425" s="8">
        <v>43925</v>
      </c>
      <c r="CK1425">
        <v>28</v>
      </c>
      <c r="CM1425">
        <v>1</v>
      </c>
    </row>
    <row r="1426" spans="1:206" ht="19.5">
      <c r="CH1426">
        <v>119</v>
      </c>
      <c r="CI1426" t="s">
        <v>67</v>
      </c>
      <c r="CJ1426" s="8">
        <v>43926</v>
      </c>
      <c r="CK1426">
        <v>29</v>
      </c>
      <c r="CM1426">
        <v>1</v>
      </c>
    </row>
    <row r="1427" spans="1:206" ht="19.5">
      <c r="CH1427">
        <v>119</v>
      </c>
      <c r="CI1427" t="s">
        <v>67</v>
      </c>
      <c r="CJ1427" s="8">
        <v>43927</v>
      </c>
      <c r="CK1427">
        <v>31</v>
      </c>
      <c r="CM1427">
        <v>1</v>
      </c>
    </row>
    <row r="1428" spans="1:206" ht="19.5">
      <c r="CH1428">
        <v>119</v>
      </c>
      <c r="CI1428" t="s">
        <v>67</v>
      </c>
      <c r="CJ1428" s="8">
        <v>43928</v>
      </c>
      <c r="CK1428">
        <v>45</v>
      </c>
      <c r="CM1428">
        <v>4</v>
      </c>
    </row>
    <row r="1429" spans="1:206" ht="19.5">
      <c r="CH1429">
        <v>119</v>
      </c>
      <c r="CI1429" t="s">
        <v>67</v>
      </c>
      <c r="CJ1429" s="8">
        <v>43929</v>
      </c>
      <c r="CK1429">
        <v>50</v>
      </c>
      <c r="CM1429">
        <v>5</v>
      </c>
    </row>
    <row r="1430" spans="1:206" ht="19.5">
      <c r="CH1430">
        <v>119</v>
      </c>
      <c r="CI1430" t="s">
        <v>67</v>
      </c>
      <c r="CJ1430" s="8">
        <v>43930</v>
      </c>
      <c r="CK1430">
        <v>58</v>
      </c>
      <c r="CM1430">
        <v>5</v>
      </c>
    </row>
    <row r="1431" spans="1:206" ht="19.5">
      <c r="CH1431">
        <v>119</v>
      </c>
      <c r="CI1431" t="s">
        <v>67</v>
      </c>
      <c r="CJ1431" s="8">
        <v>43931</v>
      </c>
      <c r="CK1431">
        <v>62</v>
      </c>
      <c r="CM1431">
        <v>5</v>
      </c>
    </row>
    <row r="1432" spans="1:206" ht="19.5">
      <c r="CH1432">
        <v>119</v>
      </c>
      <c r="CI1432" t="s">
        <v>67</v>
      </c>
      <c r="CJ1432" s="8">
        <v>43932</v>
      </c>
      <c r="CK1432">
        <v>63</v>
      </c>
      <c r="CM1432">
        <v>5</v>
      </c>
    </row>
    <row r="1433" spans="1:206" ht="19.5">
      <c r="CH1433">
        <v>119</v>
      </c>
      <c r="CI1433" t="s">
        <v>67</v>
      </c>
      <c r="CJ1433" s="8">
        <v>43933</v>
      </c>
      <c r="CK1433">
        <v>65</v>
      </c>
      <c r="CM1433">
        <v>6</v>
      </c>
    </row>
    <row r="1434" spans="1:206" ht="19.5">
      <c r="CH1434">
        <v>119</v>
      </c>
      <c r="CI1434" t="s">
        <v>67</v>
      </c>
      <c r="CJ1434" s="8">
        <v>43934</v>
      </c>
      <c r="CK1434">
        <v>77</v>
      </c>
      <c r="CM1434">
        <v>6</v>
      </c>
    </row>
    <row r="1435" spans="1:206" ht="19.5">
      <c r="CH1435">
        <v>119</v>
      </c>
      <c r="CI1435" t="s">
        <v>67</v>
      </c>
      <c r="CJ1435" s="8">
        <v>43935</v>
      </c>
      <c r="CK1435">
        <v>84</v>
      </c>
      <c r="CM1435">
        <v>10</v>
      </c>
    </row>
    <row r="1436" spans="1:206" ht="19.5">
      <c r="CH1436">
        <v>119</v>
      </c>
      <c r="CI1436" t="s">
        <v>67</v>
      </c>
      <c r="CJ1436" s="8">
        <v>43936</v>
      </c>
      <c r="CK1436">
        <v>101</v>
      </c>
      <c r="CM1436">
        <v>12</v>
      </c>
    </row>
    <row r="1437" spans="1:206" ht="19.5">
      <c r="CH1437">
        <v>119</v>
      </c>
      <c r="CI1437" t="s">
        <v>67</v>
      </c>
      <c r="CJ1437" s="8">
        <v>43937</v>
      </c>
      <c r="CK1437">
        <v>104</v>
      </c>
      <c r="CL1437">
        <v>516</v>
      </c>
      <c r="CM1437">
        <v>13</v>
      </c>
    </row>
    <row r="1438" spans="1:206" ht="19.5">
      <c r="CH1438">
        <v>119</v>
      </c>
      <c r="CI1438" t="s">
        <v>67</v>
      </c>
      <c r="CJ1438" s="8">
        <v>43938</v>
      </c>
      <c r="CK1438">
        <v>108</v>
      </c>
      <c r="CL1438">
        <v>536</v>
      </c>
      <c r="CM1438">
        <v>13</v>
      </c>
    </row>
    <row r="1439" spans="1:206" ht="19.5">
      <c r="CH1439">
        <v>119</v>
      </c>
      <c r="CI1439" t="s">
        <v>67</v>
      </c>
      <c r="CJ1439" s="8">
        <v>43939</v>
      </c>
      <c r="CK1439">
        <v>121</v>
      </c>
      <c r="CL1439">
        <v>601</v>
      </c>
      <c r="CM1439">
        <v>15</v>
      </c>
    </row>
    <row r="1440" spans="1:206" ht="19.5">
      <c r="CH1440">
        <v>119</v>
      </c>
      <c r="CI1440" t="s">
        <v>67</v>
      </c>
      <c r="CJ1440" s="8">
        <v>43940</v>
      </c>
      <c r="CK1440">
        <v>130</v>
      </c>
      <c r="CL1440">
        <v>645</v>
      </c>
      <c r="CM1440">
        <v>15</v>
      </c>
    </row>
    <row r="1441" spans="1:206" ht="19.5">
      <c r="CH1441">
        <v>119</v>
      </c>
      <c r="CI1441" t="s">
        <v>67</v>
      </c>
      <c r="CJ1441" s="8">
        <v>43941</v>
      </c>
      <c r="CK1441">
        <v>159</v>
      </c>
      <c r="CL1441">
        <v>789</v>
      </c>
      <c r="CM1441">
        <v>16</v>
      </c>
    </row>
    <row r="1442" spans="1:206" ht="19.5">
      <c r="CH1442">
        <v>119</v>
      </c>
      <c r="CI1442" t="s">
        <v>67</v>
      </c>
      <c r="CJ1442" s="8">
        <v>43942</v>
      </c>
      <c r="CK1442">
        <v>169</v>
      </c>
      <c r="CL1442">
        <v>839</v>
      </c>
      <c r="CM1442">
        <v>20</v>
      </c>
    </row>
    <row r="1443" spans="1:206" ht="19.5">
      <c r="CH1443">
        <v>119</v>
      </c>
      <c r="CI1443" t="s">
        <v>67</v>
      </c>
      <c r="CJ1443" s="8">
        <v>43943</v>
      </c>
      <c r="CK1443">
        <v>180</v>
      </c>
      <c r="CL1443">
        <v>894</v>
      </c>
      <c r="CM1443">
        <v>24</v>
      </c>
    </row>
    <row r="1444" spans="1:206" ht="19.5">
      <c r="CH1444">
        <v>119</v>
      </c>
      <c r="CI1444" t="s">
        <v>67</v>
      </c>
      <c r="CJ1444" s="8">
        <v>43944</v>
      </c>
      <c r="CK1444">
        <v>184</v>
      </c>
      <c r="CL1444">
        <v>913</v>
      </c>
      <c r="CM1444">
        <v>25</v>
      </c>
    </row>
    <row r="1445" spans="1:206" ht="19.5">
      <c r="CH1445">
        <v>119</v>
      </c>
      <c r="CI1445" t="s">
        <v>67</v>
      </c>
      <c r="CJ1445" s="8">
        <v>43945</v>
      </c>
      <c r="CK1445">
        <v>199</v>
      </c>
      <c r="CL1445">
        <v>988</v>
      </c>
      <c r="CM1445">
        <v>28</v>
      </c>
    </row>
    <row r="1446" spans="1:206" ht="19.5">
      <c r="CH1446">
        <v>119</v>
      </c>
      <c r="CI1446" t="s">
        <v>67</v>
      </c>
      <c r="CJ1446" s="8">
        <v>43946</v>
      </c>
      <c r="CK1446">
        <v>202</v>
      </c>
      <c r="CL1446">
        <v>1003</v>
      </c>
      <c r="CM1446">
        <v>31</v>
      </c>
    </row>
    <row r="1447" spans="1:206" ht="19.5">
      <c r="CH1447">
        <v>119</v>
      </c>
      <c r="CI1447" t="s">
        <v>67</v>
      </c>
      <c r="CJ1447" s="8">
        <v>43947</v>
      </c>
      <c r="CK1447">
        <v>205</v>
      </c>
      <c r="CL1447">
        <v>1018</v>
      </c>
      <c r="CM1447">
        <v>31</v>
      </c>
    </row>
    <row r="1448" spans="1:206" ht="19.5">
      <c r="CH1448">
        <v>119</v>
      </c>
      <c r="CI1448" t="s">
        <v>67</v>
      </c>
      <c r="CJ1448" s="8">
        <v>43948</v>
      </c>
      <c r="CK1448">
        <v>214</v>
      </c>
      <c r="CL1448">
        <v>1062</v>
      </c>
      <c r="CM1448">
        <v>33</v>
      </c>
    </row>
    <row r="1449" spans="1:206" ht="19.5">
      <c r="CH1449">
        <v>119</v>
      </c>
      <c r="CI1449" t="s">
        <v>67</v>
      </c>
      <c r="CJ1449" s="8">
        <v>43949</v>
      </c>
      <c r="CK1449">
        <v>215</v>
      </c>
      <c r="CL1449">
        <v>1067</v>
      </c>
      <c r="CM1449">
        <v>33</v>
      </c>
    </row>
    <row r="1450" spans="1:206" ht="19.5">
      <c r="CH1450">
        <v>119</v>
      </c>
      <c r="CI1450" t="s">
        <v>67</v>
      </c>
      <c r="CJ1450" s="8">
        <v>43950</v>
      </c>
      <c r="CK1450">
        <v>217</v>
      </c>
      <c r="CL1450">
        <v>1077</v>
      </c>
      <c r="CM1450">
        <v>35</v>
      </c>
    </row>
    <row r="1451" spans="1:206" ht="19.5">
      <c r="CH1451">
        <v>119</v>
      </c>
      <c r="CI1451" t="s">
        <v>67</v>
      </c>
      <c r="CJ1451" s="8">
        <v>43951</v>
      </c>
      <c r="CK1451">
        <v>225</v>
      </c>
      <c r="CL1451">
        <v>1117</v>
      </c>
      <c r="CM1451">
        <v>40</v>
      </c>
    </row>
    <row r="1452" spans="1:206" ht="19.5">
      <c r="CH1452">
        <v>128</v>
      </c>
      <c r="CI1452" t="s">
        <v>68</v>
      </c>
      <c r="CJ1452" s="8">
        <v>43914</v>
      </c>
      <c r="CK1452">
        <v>0</v>
      </c>
      <c r="CM1452">
        <v>0</v>
      </c>
    </row>
    <row r="1453" spans="1:206" ht="19.5">
      <c r="CH1453">
        <v>128</v>
      </c>
      <c r="CI1453" t="s">
        <v>68</v>
      </c>
      <c r="CJ1453" s="8">
        <v>43915</v>
      </c>
      <c r="CK1453">
        <v>3</v>
      </c>
      <c r="CM1453">
        <v>0</v>
      </c>
    </row>
    <row r="1454" spans="1:206" ht="19.5">
      <c r="CH1454">
        <v>128</v>
      </c>
      <c r="CI1454" t="s">
        <v>68</v>
      </c>
      <c r="CJ1454" s="8">
        <v>43916</v>
      </c>
      <c r="CK1454">
        <v>3</v>
      </c>
      <c r="CM1454">
        <v>0</v>
      </c>
    </row>
    <row r="1455" spans="1:206" ht="19.5">
      <c r="CH1455">
        <v>128</v>
      </c>
      <c r="CI1455" t="s">
        <v>68</v>
      </c>
      <c r="CJ1455" s="8">
        <v>43917</v>
      </c>
      <c r="CK1455">
        <v>4</v>
      </c>
      <c r="CM1455">
        <v>0</v>
      </c>
    </row>
    <row r="1456" spans="1:206" ht="19.5">
      <c r="CH1456">
        <v>128</v>
      </c>
      <c r="CI1456" t="s">
        <v>68</v>
      </c>
      <c r="CJ1456" s="8">
        <v>43918</v>
      </c>
      <c r="CK1456">
        <v>5</v>
      </c>
      <c r="CM1456">
        <v>0</v>
      </c>
    </row>
    <row r="1457" spans="1:206" ht="19.5">
      <c r="CH1457">
        <v>128</v>
      </c>
      <c r="CI1457" t="s">
        <v>68</v>
      </c>
      <c r="CJ1457" s="8">
        <v>43919</v>
      </c>
      <c r="CK1457">
        <v>5</v>
      </c>
      <c r="CM1457">
        <v>0</v>
      </c>
    </row>
    <row r="1458" spans="1:206" ht="19.5">
      <c r="CH1458">
        <v>128</v>
      </c>
      <c r="CI1458" t="s">
        <v>68</v>
      </c>
      <c r="CJ1458" s="8">
        <v>43920</v>
      </c>
      <c r="CK1458">
        <v>5</v>
      </c>
      <c r="CM1458">
        <v>0</v>
      </c>
    </row>
    <row r="1459" spans="1:206" ht="19.5">
      <c r="CH1459">
        <v>128</v>
      </c>
      <c r="CI1459" t="s">
        <v>68</v>
      </c>
      <c r="CJ1459" s="8">
        <v>43921</v>
      </c>
      <c r="CK1459">
        <v>7</v>
      </c>
      <c r="CM1459">
        <v>0</v>
      </c>
    </row>
    <row r="1460" spans="1:206" ht="19.5">
      <c r="CH1460">
        <v>128</v>
      </c>
      <c r="CI1460" t="s">
        <v>68</v>
      </c>
      <c r="CJ1460" s="8">
        <v>43922</v>
      </c>
      <c r="CK1460">
        <v>9</v>
      </c>
      <c r="CM1460">
        <v>0</v>
      </c>
    </row>
    <row r="1461" spans="1:206" ht="19.5">
      <c r="CH1461">
        <v>128</v>
      </c>
      <c r="CI1461" t="s">
        <v>68</v>
      </c>
      <c r="CJ1461" s="8">
        <v>43923</v>
      </c>
      <c r="CK1461">
        <v>9</v>
      </c>
      <c r="CM1461">
        <v>0</v>
      </c>
    </row>
    <row r="1462" spans="1:206" ht="19.5">
      <c r="CH1462">
        <v>128</v>
      </c>
      <c r="CI1462" t="s">
        <v>68</v>
      </c>
      <c r="CJ1462" s="8">
        <v>43924</v>
      </c>
      <c r="CK1462">
        <v>9</v>
      </c>
      <c r="CM1462">
        <v>0</v>
      </c>
    </row>
    <row r="1463" spans="1:206" ht="19.5">
      <c r="CH1463">
        <v>128</v>
      </c>
      <c r="CI1463" t="s">
        <v>68</v>
      </c>
      <c r="CJ1463" s="8">
        <v>43925</v>
      </c>
      <c r="CK1463">
        <v>10</v>
      </c>
      <c r="CM1463">
        <v>0</v>
      </c>
    </row>
    <row r="1464" spans="1:206" ht="19.5">
      <c r="CH1464">
        <v>128</v>
      </c>
      <c r="CI1464" t="s">
        <v>68</v>
      </c>
      <c r="CJ1464" s="8">
        <v>43926</v>
      </c>
      <c r="CK1464">
        <v>10</v>
      </c>
      <c r="CM1464">
        <v>0</v>
      </c>
    </row>
    <row r="1465" spans="1:206" ht="19.5">
      <c r="CH1465">
        <v>128</v>
      </c>
      <c r="CI1465" t="s">
        <v>68</v>
      </c>
      <c r="CJ1465" s="8">
        <v>43927</v>
      </c>
      <c r="CK1465">
        <v>11</v>
      </c>
      <c r="CM1465">
        <v>0</v>
      </c>
    </row>
    <row r="1466" spans="1:206" ht="19.5">
      <c r="CH1466">
        <v>128</v>
      </c>
      <c r="CI1466" t="s">
        <v>68</v>
      </c>
      <c r="CJ1466" s="8">
        <v>43928</v>
      </c>
      <c r="CK1466">
        <v>15</v>
      </c>
      <c r="CM1466">
        <v>0</v>
      </c>
    </row>
    <row r="1467" spans="1:206" ht="19.5">
      <c r="CH1467">
        <v>128</v>
      </c>
      <c r="CI1467" t="s">
        <v>68</v>
      </c>
      <c r="CJ1467" s="8">
        <v>43929</v>
      </c>
      <c r="CK1467">
        <v>21</v>
      </c>
      <c r="CM1467">
        <v>0</v>
      </c>
    </row>
    <row r="1468" spans="1:206" ht="19.5">
      <c r="CH1468">
        <v>128</v>
      </c>
      <c r="CI1468" t="s">
        <v>68</v>
      </c>
      <c r="CJ1468" s="8">
        <v>43930</v>
      </c>
      <c r="CK1468">
        <v>21</v>
      </c>
      <c r="CM1468">
        <v>0</v>
      </c>
    </row>
    <row r="1469" spans="1:206" ht="19.5">
      <c r="CH1469">
        <v>128</v>
      </c>
      <c r="CI1469" t="s">
        <v>68</v>
      </c>
      <c r="CJ1469" s="8">
        <v>43931</v>
      </c>
      <c r="CK1469">
        <v>22</v>
      </c>
      <c r="CM1469">
        <v>0</v>
      </c>
    </row>
    <row r="1470" spans="1:206" ht="19.5">
      <c r="CH1470">
        <v>128</v>
      </c>
      <c r="CI1470" t="s">
        <v>68</v>
      </c>
      <c r="CJ1470" s="8">
        <v>43932</v>
      </c>
      <c r="CK1470">
        <v>22</v>
      </c>
      <c r="CM1470">
        <v>0</v>
      </c>
    </row>
    <row r="1471" spans="1:206" ht="19.5">
      <c r="CH1471">
        <v>128</v>
      </c>
      <c r="CI1471" t="s">
        <v>68</v>
      </c>
      <c r="CJ1471" s="8">
        <v>43933</v>
      </c>
      <c r="CK1471">
        <v>22</v>
      </c>
      <c r="CM1471">
        <v>0</v>
      </c>
    </row>
    <row r="1472" spans="1:206" ht="19.5">
      <c r="CH1472">
        <v>128</v>
      </c>
      <c r="CI1472" t="s">
        <v>68</v>
      </c>
      <c r="CJ1472" s="8">
        <v>43934</v>
      </c>
      <c r="CK1472">
        <v>33</v>
      </c>
      <c r="CM1472">
        <v>0</v>
      </c>
    </row>
    <row r="1473" spans="1:206" ht="19.5">
      <c r="CH1473">
        <v>128</v>
      </c>
      <c r="CI1473" t="s">
        <v>68</v>
      </c>
      <c r="CJ1473" s="8">
        <v>43935</v>
      </c>
      <c r="CK1473">
        <v>35</v>
      </c>
      <c r="CM1473">
        <v>0</v>
      </c>
    </row>
    <row r="1474" spans="1:206" ht="19.5">
      <c r="CH1474">
        <v>128</v>
      </c>
      <c r="CI1474" t="s">
        <v>68</v>
      </c>
      <c r="CJ1474" s="8">
        <v>43936</v>
      </c>
      <c r="CK1474">
        <v>41</v>
      </c>
      <c r="CM1474">
        <v>2</v>
      </c>
    </row>
    <row r="1475" spans="1:206" ht="19.5">
      <c r="CH1475">
        <v>128</v>
      </c>
      <c r="CI1475" t="s">
        <v>68</v>
      </c>
      <c r="CJ1475" s="8">
        <v>43937</v>
      </c>
      <c r="CK1475">
        <v>42</v>
      </c>
      <c r="CL1475">
        <v>168</v>
      </c>
      <c r="CM1475">
        <v>2</v>
      </c>
    </row>
    <row r="1476" spans="1:206" ht="19.5">
      <c r="CH1476">
        <v>128</v>
      </c>
      <c r="CI1476" t="s">
        <v>68</v>
      </c>
      <c r="CJ1476" s="8">
        <v>43938</v>
      </c>
      <c r="CK1476">
        <v>43</v>
      </c>
      <c r="CL1476">
        <v>172</v>
      </c>
      <c r="CM1476">
        <v>3</v>
      </c>
    </row>
    <row r="1477" spans="1:206" ht="19.5">
      <c r="CH1477">
        <v>128</v>
      </c>
      <c r="CI1477" t="s">
        <v>68</v>
      </c>
      <c r="CJ1477" s="8">
        <v>43939</v>
      </c>
      <c r="CK1477">
        <v>45</v>
      </c>
      <c r="CL1477">
        <v>180</v>
      </c>
      <c r="CM1477">
        <v>3</v>
      </c>
    </row>
    <row r="1478" spans="1:206" ht="19.5">
      <c r="CH1478">
        <v>128</v>
      </c>
      <c r="CI1478" t="s">
        <v>68</v>
      </c>
      <c r="CJ1478" s="8">
        <v>43940</v>
      </c>
      <c r="CK1478">
        <v>47</v>
      </c>
      <c r="CL1478">
        <v>188</v>
      </c>
      <c r="CM1478">
        <v>3</v>
      </c>
    </row>
    <row r="1479" spans="1:206" ht="19.5">
      <c r="CH1479">
        <v>128</v>
      </c>
      <c r="CI1479" t="s">
        <v>68</v>
      </c>
      <c r="CJ1479" s="8">
        <v>43941</v>
      </c>
      <c r="CK1479">
        <v>56</v>
      </c>
      <c r="CL1479">
        <v>224</v>
      </c>
      <c r="CM1479">
        <v>3</v>
      </c>
    </row>
    <row r="1480" spans="1:206" ht="19.5">
      <c r="CH1480">
        <v>128</v>
      </c>
      <c r="CI1480" t="s">
        <v>68</v>
      </c>
      <c r="CJ1480" s="8">
        <v>43942</v>
      </c>
      <c r="CK1480">
        <v>56</v>
      </c>
      <c r="CL1480">
        <v>224</v>
      </c>
      <c r="CM1480">
        <v>3</v>
      </c>
    </row>
    <row r="1481" spans="1:206" ht="19.5">
      <c r="CH1481">
        <v>128</v>
      </c>
      <c r="CI1481" t="s">
        <v>68</v>
      </c>
      <c r="CJ1481" s="8">
        <v>43943</v>
      </c>
      <c r="CK1481">
        <v>59</v>
      </c>
      <c r="CL1481">
        <v>236</v>
      </c>
      <c r="CM1481">
        <v>3</v>
      </c>
    </row>
    <row r="1482" spans="1:206" ht="19.5">
      <c r="CH1482">
        <v>128</v>
      </c>
      <c r="CI1482" t="s">
        <v>68</v>
      </c>
      <c r="CJ1482" s="8">
        <v>43944</v>
      </c>
      <c r="CK1482">
        <v>59</v>
      </c>
      <c r="CL1482">
        <v>236</v>
      </c>
      <c r="CM1482">
        <v>3</v>
      </c>
    </row>
    <row r="1483" spans="1:206" ht="19.5">
      <c r="CH1483">
        <v>128</v>
      </c>
      <c r="CI1483" t="s">
        <v>68</v>
      </c>
      <c r="CJ1483" s="8">
        <v>43945</v>
      </c>
      <c r="CK1483">
        <v>60</v>
      </c>
      <c r="CL1483">
        <v>240</v>
      </c>
      <c r="CM1483">
        <v>3</v>
      </c>
    </row>
    <row r="1484" spans="1:206" ht="19.5">
      <c r="CH1484">
        <v>128</v>
      </c>
      <c r="CI1484" t="s">
        <v>68</v>
      </c>
      <c r="CJ1484" s="8">
        <v>43946</v>
      </c>
      <c r="CK1484">
        <v>61</v>
      </c>
      <c r="CL1484">
        <v>244</v>
      </c>
      <c r="CM1484">
        <v>3</v>
      </c>
    </row>
    <row r="1485" spans="1:206" ht="19.5">
      <c r="CH1485">
        <v>128</v>
      </c>
      <c r="CI1485" t="s">
        <v>68</v>
      </c>
      <c r="CJ1485" s="8">
        <v>43947</v>
      </c>
      <c r="CK1485">
        <v>62</v>
      </c>
      <c r="CL1485">
        <v>248</v>
      </c>
      <c r="CM1485">
        <v>3</v>
      </c>
    </row>
    <row r="1486" spans="1:206" ht="19.5">
      <c r="CH1486">
        <v>128</v>
      </c>
      <c r="CI1486" t="s">
        <v>68</v>
      </c>
      <c r="CJ1486" s="8">
        <v>43948</v>
      </c>
      <c r="CK1486">
        <v>63</v>
      </c>
      <c r="CL1486">
        <v>252</v>
      </c>
      <c r="CM1486">
        <v>3</v>
      </c>
    </row>
    <row r="1487" spans="1:206" ht="19.5">
      <c r="CH1487">
        <v>128</v>
      </c>
      <c r="CI1487" t="s">
        <v>68</v>
      </c>
      <c r="CJ1487" s="8">
        <v>43949</v>
      </c>
      <c r="CK1487">
        <v>63</v>
      </c>
      <c r="CL1487">
        <v>252</v>
      </c>
      <c r="CM1487">
        <v>5</v>
      </c>
    </row>
    <row r="1488" spans="1:206" ht="19.5">
      <c r="CH1488">
        <v>128</v>
      </c>
      <c r="CI1488" t="s">
        <v>68</v>
      </c>
      <c r="CJ1488" s="8">
        <v>43950</v>
      </c>
      <c r="CK1488">
        <v>67</v>
      </c>
      <c r="CL1488">
        <v>268</v>
      </c>
      <c r="CM1488">
        <v>5</v>
      </c>
    </row>
    <row r="1489" spans="1:206" ht="19.5">
      <c r="CH1489">
        <v>128</v>
      </c>
      <c r="CI1489" t="s">
        <v>68</v>
      </c>
      <c r="CJ1489" s="8">
        <v>43951</v>
      </c>
      <c r="CK1489">
        <v>69</v>
      </c>
      <c r="CL1489">
        <v>276</v>
      </c>
      <c r="CM1489">
        <v>6</v>
      </c>
    </row>
    <row r="1490" spans="1:206" ht="19.5">
      <c r="CH1490">
        <v>132</v>
      </c>
      <c r="CI1490" t="s">
        <v>69</v>
      </c>
      <c r="CJ1490" s="8">
        <v>43914</v>
      </c>
      <c r="CK1490">
        <v>3</v>
      </c>
      <c r="CM1490">
        <v>0</v>
      </c>
    </row>
    <row r="1491" spans="1:206" ht="19.5">
      <c r="CH1491">
        <v>132</v>
      </c>
      <c r="CI1491" t="s">
        <v>69</v>
      </c>
      <c r="CJ1491" s="8">
        <v>43915</v>
      </c>
      <c r="CK1491">
        <v>3</v>
      </c>
      <c r="CM1491">
        <v>0</v>
      </c>
    </row>
    <row r="1492" spans="1:206" ht="19.5">
      <c r="CH1492">
        <v>132</v>
      </c>
      <c r="CI1492" t="s">
        <v>69</v>
      </c>
      <c r="CJ1492" s="8">
        <v>43916</v>
      </c>
      <c r="CK1492">
        <v>4</v>
      </c>
      <c r="CM1492">
        <v>0</v>
      </c>
    </row>
    <row r="1493" spans="1:206" ht="19.5">
      <c r="CH1493">
        <v>132</v>
      </c>
      <c r="CI1493" t="s">
        <v>69</v>
      </c>
      <c r="CJ1493" s="8">
        <v>43917</v>
      </c>
      <c r="CK1493">
        <v>4</v>
      </c>
      <c r="CM1493">
        <v>0</v>
      </c>
    </row>
    <row r="1494" spans="1:206" ht="19.5">
      <c r="CH1494">
        <v>132</v>
      </c>
      <c r="CI1494" t="s">
        <v>69</v>
      </c>
      <c r="CJ1494" s="8">
        <v>43918</v>
      </c>
      <c r="CK1494">
        <v>4</v>
      </c>
      <c r="CM1494">
        <v>0</v>
      </c>
    </row>
    <row r="1495" spans="1:206" ht="19.5">
      <c r="CH1495">
        <v>132</v>
      </c>
      <c r="CI1495" t="s">
        <v>69</v>
      </c>
      <c r="CJ1495" s="8">
        <v>43919</v>
      </c>
      <c r="CK1495">
        <v>7</v>
      </c>
      <c r="CM1495">
        <v>0</v>
      </c>
    </row>
    <row r="1496" spans="1:206" ht="19.5">
      <c r="CH1496">
        <v>132</v>
      </c>
      <c r="CI1496" t="s">
        <v>69</v>
      </c>
      <c r="CJ1496" s="8">
        <v>43920</v>
      </c>
      <c r="CK1496">
        <v>8</v>
      </c>
      <c r="CM1496">
        <v>0</v>
      </c>
    </row>
    <row r="1497" spans="1:206" ht="19.5">
      <c r="CH1497">
        <v>132</v>
      </c>
      <c r="CI1497" t="s">
        <v>69</v>
      </c>
      <c r="CJ1497" s="8">
        <v>43921</v>
      </c>
      <c r="CK1497">
        <v>9</v>
      </c>
      <c r="CM1497">
        <v>0</v>
      </c>
    </row>
    <row r="1498" spans="1:206" ht="19.5">
      <c r="CH1498">
        <v>132</v>
      </c>
      <c r="CI1498" t="s">
        <v>69</v>
      </c>
      <c r="CJ1498" s="8">
        <v>43922</v>
      </c>
      <c r="CK1498">
        <v>10</v>
      </c>
      <c r="CM1498">
        <v>0</v>
      </c>
    </row>
    <row r="1499" spans="1:206" ht="19.5">
      <c r="CH1499">
        <v>132</v>
      </c>
      <c r="CI1499" t="s">
        <v>69</v>
      </c>
      <c r="CJ1499" s="8">
        <v>43923</v>
      </c>
      <c r="CK1499">
        <v>12</v>
      </c>
      <c r="CM1499">
        <v>0</v>
      </c>
    </row>
    <row r="1500" spans="1:206" ht="19.5">
      <c r="CH1500">
        <v>132</v>
      </c>
      <c r="CI1500" t="s">
        <v>69</v>
      </c>
      <c r="CJ1500" s="8">
        <v>43924</v>
      </c>
      <c r="CK1500">
        <v>15</v>
      </c>
      <c r="CM1500">
        <v>0</v>
      </c>
    </row>
    <row r="1501" spans="1:206" ht="19.5">
      <c r="CH1501">
        <v>132</v>
      </c>
      <c r="CI1501" t="s">
        <v>69</v>
      </c>
      <c r="CJ1501" s="8">
        <v>43925</v>
      </c>
      <c r="CK1501">
        <v>14</v>
      </c>
      <c r="CM1501">
        <v>0</v>
      </c>
    </row>
    <row r="1502" spans="1:206" ht="19.5">
      <c r="CH1502">
        <v>132</v>
      </c>
      <c r="CI1502" t="s">
        <v>69</v>
      </c>
      <c r="CJ1502" s="8">
        <v>43926</v>
      </c>
      <c r="CK1502">
        <v>14</v>
      </c>
      <c r="CM1502">
        <v>0</v>
      </c>
    </row>
    <row r="1503" spans="1:206" ht="19.5">
      <c r="CH1503">
        <v>132</v>
      </c>
      <c r="CI1503" t="s">
        <v>69</v>
      </c>
      <c r="CJ1503" s="8">
        <v>43927</v>
      </c>
      <c r="CK1503">
        <v>16</v>
      </c>
      <c r="CM1503">
        <v>0</v>
      </c>
    </row>
    <row r="1504" spans="1:206" ht="19.5">
      <c r="CH1504">
        <v>132</v>
      </c>
      <c r="CI1504" t="s">
        <v>69</v>
      </c>
      <c r="CJ1504" s="8">
        <v>43928</v>
      </c>
      <c r="CK1504">
        <v>18</v>
      </c>
      <c r="CM1504">
        <v>0</v>
      </c>
    </row>
    <row r="1505" spans="1:206" ht="19.5">
      <c r="CH1505">
        <v>132</v>
      </c>
      <c r="CI1505" t="s">
        <v>69</v>
      </c>
      <c r="CJ1505" s="8">
        <v>43929</v>
      </c>
      <c r="CK1505">
        <v>22</v>
      </c>
      <c r="CM1505">
        <v>0</v>
      </c>
    </row>
    <row r="1506" spans="1:206" ht="19.5">
      <c r="CH1506">
        <v>132</v>
      </c>
      <c r="CI1506" t="s">
        <v>69</v>
      </c>
      <c r="CJ1506" s="8">
        <v>43930</v>
      </c>
      <c r="CK1506">
        <v>27</v>
      </c>
      <c r="CM1506">
        <v>0</v>
      </c>
    </row>
    <row r="1507" spans="1:206" ht="19.5">
      <c r="CH1507">
        <v>132</v>
      </c>
      <c r="CI1507" t="s">
        <v>69</v>
      </c>
      <c r="CJ1507" s="8">
        <v>43931</v>
      </c>
      <c r="CK1507">
        <v>28</v>
      </c>
      <c r="CM1507">
        <v>1</v>
      </c>
    </row>
    <row r="1508" spans="1:206" ht="19.5">
      <c r="CH1508">
        <v>132</v>
      </c>
      <c r="CI1508" t="s">
        <v>69</v>
      </c>
      <c r="CJ1508" s="8">
        <v>43932</v>
      </c>
      <c r="CK1508">
        <v>30</v>
      </c>
      <c r="CM1508">
        <v>1</v>
      </c>
    </row>
    <row r="1509" spans="1:206" ht="19.5">
      <c r="CH1509">
        <v>132</v>
      </c>
      <c r="CI1509" t="s">
        <v>69</v>
      </c>
      <c r="CJ1509" s="8">
        <v>43933</v>
      </c>
      <c r="CK1509">
        <v>32</v>
      </c>
      <c r="CM1509">
        <v>1</v>
      </c>
    </row>
    <row r="1510" spans="1:206" ht="19.5">
      <c r="CH1510">
        <v>132</v>
      </c>
      <c r="CI1510" t="s">
        <v>69</v>
      </c>
      <c r="CJ1510" s="8">
        <v>43934</v>
      </c>
      <c r="CK1510">
        <v>37</v>
      </c>
      <c r="CM1510">
        <v>1</v>
      </c>
    </row>
    <row r="1511" spans="1:206" ht="19.5">
      <c r="CH1511">
        <v>132</v>
      </c>
      <c r="CI1511" t="s">
        <v>69</v>
      </c>
      <c r="CJ1511" s="8">
        <v>43935</v>
      </c>
      <c r="CK1511">
        <v>37</v>
      </c>
      <c r="CM1511">
        <v>1</v>
      </c>
    </row>
    <row r="1512" spans="1:206" ht="19.5">
      <c r="CH1512">
        <v>132</v>
      </c>
      <c r="CI1512" t="s">
        <v>69</v>
      </c>
      <c r="CJ1512" s="8">
        <v>43936</v>
      </c>
      <c r="CK1512">
        <v>41</v>
      </c>
      <c r="CM1512">
        <v>1</v>
      </c>
    </row>
    <row r="1513" spans="1:206" ht="19.5">
      <c r="CH1513">
        <v>132</v>
      </c>
      <c r="CI1513" t="s">
        <v>69</v>
      </c>
      <c r="CJ1513" s="8">
        <v>43937</v>
      </c>
      <c r="CK1513">
        <v>46</v>
      </c>
      <c r="CL1513">
        <v>177</v>
      </c>
      <c r="CM1513">
        <v>2</v>
      </c>
    </row>
    <row r="1514" spans="1:206" ht="19.5">
      <c r="CH1514">
        <v>132</v>
      </c>
      <c r="CI1514" t="s">
        <v>69</v>
      </c>
      <c r="CJ1514" s="8">
        <v>43938</v>
      </c>
      <c r="CK1514">
        <v>48</v>
      </c>
      <c r="CL1514">
        <v>184</v>
      </c>
      <c r="CM1514">
        <v>2</v>
      </c>
    </row>
    <row r="1515" spans="1:206" ht="19.5">
      <c r="CH1515">
        <v>132</v>
      </c>
      <c r="CI1515" t="s">
        <v>69</v>
      </c>
      <c r="CJ1515" s="8">
        <v>43939</v>
      </c>
      <c r="CK1515">
        <v>47</v>
      </c>
      <c r="CL1515">
        <v>180</v>
      </c>
      <c r="CM1515">
        <v>3</v>
      </c>
    </row>
    <row r="1516" spans="1:206" ht="19.5">
      <c r="CH1516">
        <v>132</v>
      </c>
      <c r="CI1516" t="s">
        <v>69</v>
      </c>
      <c r="CJ1516" s="8">
        <v>43940</v>
      </c>
      <c r="CK1516">
        <v>48</v>
      </c>
      <c r="CL1516">
        <v>184</v>
      </c>
      <c r="CM1516">
        <v>3</v>
      </c>
    </row>
    <row r="1517" spans="1:206" ht="19.5">
      <c r="CH1517">
        <v>132</v>
      </c>
      <c r="CI1517" t="s">
        <v>69</v>
      </c>
      <c r="CJ1517" s="8">
        <v>43941</v>
      </c>
      <c r="CK1517">
        <v>57</v>
      </c>
      <c r="CL1517">
        <v>219</v>
      </c>
      <c r="CM1517">
        <v>5</v>
      </c>
    </row>
    <row r="1518" spans="1:206" ht="19.5">
      <c r="CH1518">
        <v>132</v>
      </c>
      <c r="CI1518" t="s">
        <v>69</v>
      </c>
      <c r="CJ1518" s="8">
        <v>43942</v>
      </c>
      <c r="CK1518">
        <v>57</v>
      </c>
      <c r="CL1518">
        <v>219</v>
      </c>
      <c r="CM1518">
        <v>5</v>
      </c>
    </row>
    <row r="1519" spans="1:206" ht="19.5">
      <c r="CH1519">
        <v>132</v>
      </c>
      <c r="CI1519" t="s">
        <v>69</v>
      </c>
      <c r="CJ1519" s="8">
        <v>43943</v>
      </c>
      <c r="CK1519">
        <v>65</v>
      </c>
      <c r="CL1519">
        <v>249</v>
      </c>
      <c r="CM1519">
        <v>8</v>
      </c>
    </row>
    <row r="1520" spans="1:206" ht="19.5">
      <c r="CH1520">
        <v>132</v>
      </c>
      <c r="CI1520" t="s">
        <v>69</v>
      </c>
      <c r="CJ1520" s="8">
        <v>43944</v>
      </c>
      <c r="CK1520">
        <v>69</v>
      </c>
      <c r="CL1520">
        <v>265</v>
      </c>
      <c r="CM1520">
        <v>8</v>
      </c>
    </row>
    <row r="1521" spans="1:206" ht="19.5">
      <c r="CH1521">
        <v>132</v>
      </c>
      <c r="CI1521" t="s">
        <v>69</v>
      </c>
      <c r="CJ1521" s="8">
        <v>43945</v>
      </c>
      <c r="CK1521">
        <v>74</v>
      </c>
      <c r="CL1521">
        <v>284</v>
      </c>
      <c r="CM1521">
        <v>12</v>
      </c>
    </row>
    <row r="1522" spans="1:206" ht="19.5">
      <c r="CH1522">
        <v>132</v>
      </c>
      <c r="CI1522" t="s">
        <v>69</v>
      </c>
      <c r="CJ1522" s="8">
        <v>43946</v>
      </c>
      <c r="CK1522">
        <v>75</v>
      </c>
      <c r="CL1522">
        <v>288</v>
      </c>
      <c r="CM1522">
        <v>12</v>
      </c>
    </row>
    <row r="1523" spans="1:206" ht="19.5">
      <c r="CH1523">
        <v>132</v>
      </c>
      <c r="CI1523" t="s">
        <v>69</v>
      </c>
      <c r="CJ1523" s="8">
        <v>43947</v>
      </c>
      <c r="CK1523">
        <v>78</v>
      </c>
      <c r="CL1523">
        <v>299</v>
      </c>
      <c r="CM1523">
        <v>12</v>
      </c>
    </row>
    <row r="1524" spans="1:206" ht="19.5">
      <c r="CH1524">
        <v>132</v>
      </c>
      <c r="CI1524" t="s">
        <v>69</v>
      </c>
      <c r="CJ1524" s="8">
        <v>43948</v>
      </c>
      <c r="CK1524">
        <v>80</v>
      </c>
      <c r="CL1524">
        <v>307</v>
      </c>
      <c r="CM1524">
        <v>15</v>
      </c>
    </row>
    <row r="1525" spans="1:206" ht="19.5">
      <c r="CH1525">
        <v>132</v>
      </c>
      <c r="CI1525" t="s">
        <v>69</v>
      </c>
      <c r="CJ1525" s="8">
        <v>43949</v>
      </c>
      <c r="CK1525">
        <v>80</v>
      </c>
      <c r="CL1525">
        <v>307</v>
      </c>
      <c r="CM1525">
        <v>16</v>
      </c>
    </row>
    <row r="1526" spans="1:206" ht="19.5">
      <c r="CH1526">
        <v>132</v>
      </c>
      <c r="CI1526" t="s">
        <v>69</v>
      </c>
      <c r="CJ1526" s="8">
        <v>43950</v>
      </c>
      <c r="CK1526">
        <v>82</v>
      </c>
      <c r="CL1526">
        <v>315</v>
      </c>
      <c r="CM1526">
        <v>18</v>
      </c>
    </row>
    <row r="1527" spans="1:206" ht="19.5">
      <c r="CH1527">
        <v>132</v>
      </c>
      <c r="CI1527" t="s">
        <v>69</v>
      </c>
      <c r="CJ1527" s="8">
        <v>43951</v>
      </c>
      <c r="CK1527">
        <v>83</v>
      </c>
      <c r="CL1527">
        <v>319</v>
      </c>
      <c r="CM1527">
        <v>18</v>
      </c>
    </row>
    <row r="1528" spans="1:206" ht="19.5">
      <c r="CH1528">
        <v>137</v>
      </c>
      <c r="CI1528" t="s">
        <v>70</v>
      </c>
      <c r="CJ1528" s="8">
        <v>43914</v>
      </c>
      <c r="CK1528">
        <v>1</v>
      </c>
      <c r="CM1528">
        <v>0</v>
      </c>
    </row>
    <row r="1529" spans="1:206" ht="19.5">
      <c r="CH1529">
        <v>137</v>
      </c>
      <c r="CI1529" t="s">
        <v>70</v>
      </c>
      <c r="CJ1529" s="8">
        <v>43915</v>
      </c>
      <c r="CK1529">
        <v>1</v>
      </c>
      <c r="CM1529">
        <v>0</v>
      </c>
    </row>
    <row r="1530" spans="1:206" ht="19.5">
      <c r="CH1530">
        <v>137</v>
      </c>
      <c r="CI1530" t="s">
        <v>70</v>
      </c>
      <c r="CJ1530" s="8">
        <v>43916</v>
      </c>
      <c r="CK1530">
        <v>1</v>
      </c>
      <c r="CM1530">
        <v>0</v>
      </c>
    </row>
    <row r="1531" spans="1:206" ht="19.5">
      <c r="CH1531">
        <v>137</v>
      </c>
      <c r="CI1531" t="s">
        <v>70</v>
      </c>
      <c r="CJ1531" s="8">
        <v>43917</v>
      </c>
      <c r="CK1531">
        <v>1</v>
      </c>
      <c r="CM1531">
        <v>0</v>
      </c>
    </row>
    <row r="1532" spans="1:206" ht="19.5">
      <c r="CH1532">
        <v>137</v>
      </c>
      <c r="CI1532" t="s">
        <v>70</v>
      </c>
      <c r="CJ1532" s="8">
        <v>43918</v>
      </c>
      <c r="CK1532">
        <v>1</v>
      </c>
      <c r="CM1532">
        <v>0</v>
      </c>
    </row>
    <row r="1533" spans="1:206" ht="19.5">
      <c r="CH1533">
        <v>137</v>
      </c>
      <c r="CI1533" t="s">
        <v>70</v>
      </c>
      <c r="CJ1533" s="8">
        <v>43919</v>
      </c>
      <c r="CK1533">
        <v>1</v>
      </c>
      <c r="CM1533">
        <v>0</v>
      </c>
    </row>
    <row r="1534" spans="1:206" ht="19.5">
      <c r="CH1534">
        <v>137</v>
      </c>
      <c r="CI1534" t="s">
        <v>70</v>
      </c>
      <c r="CJ1534" s="8">
        <v>43920</v>
      </c>
      <c r="CK1534">
        <v>1</v>
      </c>
      <c r="CM1534">
        <v>0</v>
      </c>
    </row>
    <row r="1535" spans="1:206" ht="19.5">
      <c r="CH1535">
        <v>137</v>
      </c>
      <c r="CI1535" t="s">
        <v>70</v>
      </c>
      <c r="CJ1535" s="8">
        <v>43921</v>
      </c>
      <c r="CK1535">
        <v>2</v>
      </c>
      <c r="CM1535">
        <v>0</v>
      </c>
    </row>
    <row r="1536" spans="1:206" ht="19.5">
      <c r="CH1536">
        <v>137</v>
      </c>
      <c r="CI1536" t="s">
        <v>70</v>
      </c>
      <c r="CJ1536" s="8">
        <v>43922</v>
      </c>
      <c r="CK1536">
        <v>2</v>
      </c>
      <c r="CM1536">
        <v>0</v>
      </c>
    </row>
    <row r="1537" spans="1:206" ht="19.5">
      <c r="CH1537">
        <v>137</v>
      </c>
      <c r="CI1537" t="s">
        <v>70</v>
      </c>
      <c r="CJ1537" s="8">
        <v>43923</v>
      </c>
      <c r="CK1537">
        <v>2</v>
      </c>
      <c r="CM1537">
        <v>0</v>
      </c>
    </row>
    <row r="1538" spans="1:206" ht="19.5">
      <c r="CH1538">
        <v>137</v>
      </c>
      <c r="CI1538" t="s">
        <v>70</v>
      </c>
      <c r="CJ1538" s="8">
        <v>43924</v>
      </c>
      <c r="CK1538">
        <v>3</v>
      </c>
      <c r="CM1538">
        <v>1</v>
      </c>
    </row>
    <row r="1539" spans="1:206" ht="19.5">
      <c r="CH1539">
        <v>137</v>
      </c>
      <c r="CI1539" t="s">
        <v>70</v>
      </c>
      <c r="CJ1539" s="8">
        <v>43925</v>
      </c>
      <c r="CK1539">
        <v>6</v>
      </c>
      <c r="CM1539">
        <v>1</v>
      </c>
    </row>
    <row r="1540" spans="1:206" ht="19.5">
      <c r="CH1540">
        <v>137</v>
      </c>
      <c r="CI1540" t="s">
        <v>70</v>
      </c>
      <c r="CJ1540" s="8">
        <v>43926</v>
      </c>
      <c r="CK1540">
        <v>6</v>
      </c>
      <c r="CM1540">
        <v>2</v>
      </c>
    </row>
    <row r="1541" spans="1:206" ht="19.5">
      <c r="CH1541">
        <v>137</v>
      </c>
      <c r="CI1541" t="s">
        <v>70</v>
      </c>
      <c r="CJ1541" s="8">
        <v>43927</v>
      </c>
      <c r="CK1541">
        <v>6</v>
      </c>
      <c r="CM1541">
        <v>2</v>
      </c>
    </row>
    <row r="1542" spans="1:206" ht="19.5">
      <c r="CH1542">
        <v>137</v>
      </c>
      <c r="CI1542" t="s">
        <v>70</v>
      </c>
      <c r="CJ1542" s="8">
        <v>43928</v>
      </c>
      <c r="CK1542">
        <v>9</v>
      </c>
      <c r="CM1542">
        <v>2</v>
      </c>
    </row>
    <row r="1543" spans="1:206" ht="19.5">
      <c r="CH1543">
        <v>137</v>
      </c>
      <c r="CI1543" t="s">
        <v>70</v>
      </c>
      <c r="CJ1543" s="8">
        <v>43929</v>
      </c>
      <c r="CK1543">
        <v>15</v>
      </c>
      <c r="CM1543">
        <v>2</v>
      </c>
    </row>
    <row r="1544" spans="1:206" ht="19.5">
      <c r="CH1544">
        <v>137</v>
      </c>
      <c r="CI1544" t="s">
        <v>70</v>
      </c>
      <c r="CJ1544" s="8">
        <v>43930</v>
      </c>
      <c r="CK1544">
        <v>14</v>
      </c>
      <c r="CM1544">
        <v>2</v>
      </c>
    </row>
    <row r="1545" spans="1:206" ht="19.5">
      <c r="CH1545">
        <v>137</v>
      </c>
      <c r="CI1545" t="s">
        <v>70</v>
      </c>
      <c r="CJ1545" s="8">
        <v>43931</v>
      </c>
      <c r="CK1545">
        <v>13</v>
      </c>
      <c r="CM1545">
        <v>2</v>
      </c>
    </row>
    <row r="1546" spans="1:206" ht="19.5">
      <c r="CH1546">
        <v>137</v>
      </c>
      <c r="CI1546" t="s">
        <v>70</v>
      </c>
      <c r="CJ1546" s="8">
        <v>43932</v>
      </c>
      <c r="CK1546">
        <v>19</v>
      </c>
      <c r="CM1546">
        <v>2</v>
      </c>
    </row>
    <row r="1547" spans="1:206" ht="19.5">
      <c r="CH1547">
        <v>137</v>
      </c>
      <c r="CI1547" t="s">
        <v>70</v>
      </c>
      <c r="CJ1547" s="8">
        <v>43933</v>
      </c>
      <c r="CK1547">
        <v>19</v>
      </c>
      <c r="CM1547">
        <v>2</v>
      </c>
    </row>
    <row r="1548" spans="1:206" ht="19.5">
      <c r="CH1548">
        <v>137</v>
      </c>
      <c r="CI1548" t="s">
        <v>70</v>
      </c>
      <c r="CJ1548" s="8">
        <v>43934</v>
      </c>
      <c r="CK1548">
        <v>19</v>
      </c>
      <c r="CM1548">
        <v>2</v>
      </c>
    </row>
    <row r="1549" spans="1:206" ht="19.5">
      <c r="CH1549">
        <v>137</v>
      </c>
      <c r="CI1549" t="s">
        <v>70</v>
      </c>
      <c r="CJ1549" s="8">
        <v>43935</v>
      </c>
      <c r="CK1549">
        <v>18</v>
      </c>
      <c r="CM1549">
        <v>2</v>
      </c>
    </row>
    <row r="1550" spans="1:206" ht="19.5">
      <c r="CH1550">
        <v>137</v>
      </c>
      <c r="CI1550" t="s">
        <v>70</v>
      </c>
      <c r="CJ1550" s="8">
        <v>43936</v>
      </c>
      <c r="CK1550">
        <v>21</v>
      </c>
      <c r="CM1550">
        <v>1</v>
      </c>
    </row>
    <row r="1551" spans="1:206" ht="19.5">
      <c r="CH1551">
        <v>137</v>
      </c>
      <c r="CI1551" t="s">
        <v>70</v>
      </c>
      <c r="CJ1551" s="8">
        <v>43937</v>
      </c>
      <c r="CK1551">
        <v>18</v>
      </c>
      <c r="CL1551">
        <v>98</v>
      </c>
      <c r="CM1551">
        <v>1</v>
      </c>
    </row>
    <row r="1552" spans="1:206" ht="19.5">
      <c r="CH1552">
        <v>137</v>
      </c>
      <c r="CI1552" t="s">
        <v>70</v>
      </c>
      <c r="CJ1552" s="8">
        <v>43938</v>
      </c>
      <c r="CK1552">
        <v>18</v>
      </c>
      <c r="CL1552">
        <v>98</v>
      </c>
      <c r="CM1552">
        <v>1</v>
      </c>
    </row>
    <row r="1553" spans="1:206" ht="19.5">
      <c r="CH1553">
        <v>137</v>
      </c>
      <c r="CI1553" t="s">
        <v>70</v>
      </c>
      <c r="CJ1553" s="8">
        <v>43939</v>
      </c>
      <c r="CK1553">
        <v>18</v>
      </c>
      <c r="CL1553">
        <v>98</v>
      </c>
      <c r="CM1553">
        <v>1</v>
      </c>
    </row>
    <row r="1554" spans="1:206" ht="19.5">
      <c r="CH1554">
        <v>137</v>
      </c>
      <c r="CI1554" t="s">
        <v>70</v>
      </c>
      <c r="CJ1554" s="8">
        <v>43940</v>
      </c>
      <c r="CK1554">
        <v>20</v>
      </c>
      <c r="CL1554">
        <v>108</v>
      </c>
      <c r="CM1554">
        <v>1</v>
      </c>
    </row>
    <row r="1555" spans="1:206" ht="19.5">
      <c r="CH1555">
        <v>137</v>
      </c>
      <c r="CI1555" t="s">
        <v>70</v>
      </c>
      <c r="CJ1555" s="8">
        <v>43941</v>
      </c>
      <c r="CK1555">
        <v>23</v>
      </c>
      <c r="CL1555">
        <v>125</v>
      </c>
      <c r="CM1555">
        <v>2</v>
      </c>
    </row>
    <row r="1556" spans="1:206" ht="19.5">
      <c r="CH1556">
        <v>137</v>
      </c>
      <c r="CI1556" t="s">
        <v>70</v>
      </c>
      <c r="CJ1556" s="8">
        <v>43942</v>
      </c>
      <c r="CK1556">
        <v>23</v>
      </c>
      <c r="CL1556">
        <v>125</v>
      </c>
      <c r="CM1556">
        <v>2</v>
      </c>
    </row>
    <row r="1557" spans="1:206" ht="19.5">
      <c r="CH1557">
        <v>137</v>
      </c>
      <c r="CI1557" t="s">
        <v>70</v>
      </c>
      <c r="CJ1557" s="8">
        <v>43943</v>
      </c>
      <c r="CK1557">
        <v>24</v>
      </c>
      <c r="CL1557">
        <v>130</v>
      </c>
      <c r="CM1557">
        <v>2</v>
      </c>
    </row>
    <row r="1558" spans="1:206" ht="19.5">
      <c r="CH1558">
        <v>137</v>
      </c>
      <c r="CI1558" t="s">
        <v>70</v>
      </c>
      <c r="CJ1558" s="8">
        <v>43944</v>
      </c>
      <c r="CK1558">
        <v>24</v>
      </c>
      <c r="CL1558">
        <v>130</v>
      </c>
      <c r="CM1558">
        <v>2</v>
      </c>
    </row>
    <row r="1559" spans="1:206" ht="19.5">
      <c r="CH1559">
        <v>137</v>
      </c>
      <c r="CI1559" t="s">
        <v>70</v>
      </c>
      <c r="CJ1559" s="8">
        <v>43945</v>
      </c>
      <c r="CK1559">
        <v>26</v>
      </c>
      <c r="CL1559">
        <v>141</v>
      </c>
      <c r="CM1559">
        <v>2</v>
      </c>
    </row>
    <row r="1560" spans="1:206" ht="19.5">
      <c r="CH1560">
        <v>137</v>
      </c>
      <c r="CI1560" t="s">
        <v>70</v>
      </c>
      <c r="CJ1560" s="8">
        <v>43946</v>
      </c>
      <c r="CK1560">
        <v>27</v>
      </c>
      <c r="CL1560">
        <v>146</v>
      </c>
      <c r="CM1560">
        <v>2</v>
      </c>
    </row>
    <row r="1561" spans="1:206" ht="19.5">
      <c r="CH1561">
        <v>137</v>
      </c>
      <c r="CI1561" t="s">
        <v>70</v>
      </c>
      <c r="CJ1561" s="8">
        <v>43947</v>
      </c>
      <c r="CK1561">
        <v>27</v>
      </c>
      <c r="CL1561">
        <v>146</v>
      </c>
      <c r="CM1561">
        <v>4</v>
      </c>
    </row>
    <row r="1562" spans="1:206" ht="19.5">
      <c r="CH1562">
        <v>137</v>
      </c>
      <c r="CI1562" t="s">
        <v>70</v>
      </c>
      <c r="CJ1562" s="8">
        <v>43948</v>
      </c>
      <c r="CK1562">
        <v>27</v>
      </c>
      <c r="CL1562">
        <v>146</v>
      </c>
      <c r="CM1562">
        <v>5</v>
      </c>
    </row>
    <row r="1563" spans="1:206" ht="19.5">
      <c r="CH1563">
        <v>137</v>
      </c>
      <c r="CI1563" t="s">
        <v>70</v>
      </c>
      <c r="CJ1563" s="8">
        <v>43949</v>
      </c>
      <c r="CK1563">
        <v>26</v>
      </c>
      <c r="CL1563">
        <v>141</v>
      </c>
      <c r="CM1563">
        <v>4</v>
      </c>
    </row>
    <row r="1564" spans="1:206" ht="19.5">
      <c r="CH1564">
        <v>137</v>
      </c>
      <c r="CI1564" t="s">
        <v>70</v>
      </c>
      <c r="CJ1564" s="8">
        <v>43950</v>
      </c>
      <c r="CK1564">
        <v>26</v>
      </c>
      <c r="CL1564">
        <v>141</v>
      </c>
      <c r="CM1564">
        <v>4</v>
      </c>
    </row>
    <row r="1565" spans="1:206" ht="19.5">
      <c r="CH1565">
        <v>137</v>
      </c>
      <c r="CI1565" t="s">
        <v>70</v>
      </c>
      <c r="CJ1565" s="8">
        <v>43951</v>
      </c>
      <c r="CK1565">
        <v>26</v>
      </c>
      <c r="CL1565">
        <v>141</v>
      </c>
      <c r="CM1565">
        <v>4</v>
      </c>
    </row>
    <row r="1566" spans="1:206" ht="19.5">
      <c r="CH1566">
        <v>143</v>
      </c>
      <c r="CI1566" t="s">
        <v>71</v>
      </c>
      <c r="CJ1566" s="8">
        <v>43914</v>
      </c>
      <c r="CK1566">
        <v>2</v>
      </c>
      <c r="CM1566">
        <v>0</v>
      </c>
    </row>
    <row r="1567" spans="1:206" ht="19.5">
      <c r="CH1567">
        <v>143</v>
      </c>
      <c r="CI1567" t="s">
        <v>71</v>
      </c>
      <c r="CJ1567" s="8">
        <v>43915</v>
      </c>
      <c r="CK1567">
        <v>4</v>
      </c>
      <c r="CM1567">
        <v>0</v>
      </c>
    </row>
    <row r="1568" spans="1:206" ht="19.5">
      <c r="CH1568">
        <v>143</v>
      </c>
      <c r="CI1568" t="s">
        <v>71</v>
      </c>
      <c r="CJ1568" s="8">
        <v>43916</v>
      </c>
      <c r="CK1568">
        <v>7</v>
      </c>
      <c r="CM1568">
        <v>0</v>
      </c>
    </row>
    <row r="1569" spans="1:206" ht="19.5">
      <c r="CH1569">
        <v>143</v>
      </c>
      <c r="CI1569" t="s">
        <v>71</v>
      </c>
      <c r="CJ1569" s="8">
        <v>43917</v>
      </c>
      <c r="CK1569">
        <v>8</v>
      </c>
      <c r="CM1569">
        <v>0</v>
      </c>
    </row>
    <row r="1570" spans="1:206" ht="19.5">
      <c r="CH1570">
        <v>143</v>
      </c>
      <c r="CI1570" t="s">
        <v>71</v>
      </c>
      <c r="CJ1570" s="8">
        <v>43918</v>
      </c>
      <c r="CK1570">
        <v>13</v>
      </c>
      <c r="CM1570">
        <v>0</v>
      </c>
    </row>
    <row r="1571" spans="1:206" ht="19.5">
      <c r="CH1571">
        <v>143</v>
      </c>
      <c r="CI1571" t="s">
        <v>71</v>
      </c>
      <c r="CJ1571" s="8">
        <v>43919</v>
      </c>
      <c r="CK1571">
        <v>14</v>
      </c>
      <c r="CM1571">
        <v>0</v>
      </c>
    </row>
    <row r="1572" spans="1:206" ht="19.5">
      <c r="CH1572">
        <v>143</v>
      </c>
      <c r="CI1572" t="s">
        <v>71</v>
      </c>
      <c r="CJ1572" s="8">
        <v>43920</v>
      </c>
      <c r="CK1572">
        <v>18</v>
      </c>
      <c r="CM1572">
        <v>1</v>
      </c>
    </row>
    <row r="1573" spans="1:206" ht="19.5">
      <c r="CH1573">
        <v>143</v>
      </c>
      <c r="CI1573" t="s">
        <v>71</v>
      </c>
      <c r="CJ1573" s="8">
        <v>43921</v>
      </c>
      <c r="CK1573">
        <v>20</v>
      </c>
      <c r="CM1573">
        <v>1</v>
      </c>
    </row>
    <row r="1574" spans="1:206" ht="19.5">
      <c r="CH1574">
        <v>143</v>
      </c>
      <c r="CI1574" t="s">
        <v>71</v>
      </c>
      <c r="CJ1574" s="8">
        <v>43922</v>
      </c>
      <c r="CK1574">
        <v>22</v>
      </c>
      <c r="CM1574">
        <v>1</v>
      </c>
    </row>
    <row r="1575" spans="1:206" ht="19.5">
      <c r="CH1575">
        <v>143</v>
      </c>
      <c r="CI1575" t="s">
        <v>71</v>
      </c>
      <c r="CJ1575" s="8">
        <v>43923</v>
      </c>
      <c r="CK1575">
        <v>24</v>
      </c>
      <c r="CM1575">
        <v>1</v>
      </c>
    </row>
    <row r="1576" spans="1:206" ht="19.5">
      <c r="CH1576">
        <v>143</v>
      </c>
      <c r="CI1576" t="s">
        <v>71</v>
      </c>
      <c r="CJ1576" s="8">
        <v>43924</v>
      </c>
      <c r="CK1576">
        <v>30</v>
      </c>
      <c r="CM1576">
        <v>2</v>
      </c>
    </row>
    <row r="1577" spans="1:206" ht="19.5">
      <c r="CH1577">
        <v>143</v>
      </c>
      <c r="CI1577" t="s">
        <v>71</v>
      </c>
      <c r="CJ1577" s="8">
        <v>43925</v>
      </c>
      <c r="CK1577">
        <v>31</v>
      </c>
      <c r="CM1577">
        <v>3</v>
      </c>
    </row>
    <row r="1578" spans="1:206" ht="19.5">
      <c r="CH1578">
        <v>143</v>
      </c>
      <c r="CI1578" t="s">
        <v>71</v>
      </c>
      <c r="CJ1578" s="8">
        <v>43926</v>
      </c>
      <c r="CK1578">
        <v>32</v>
      </c>
      <c r="CM1578">
        <v>3</v>
      </c>
    </row>
    <row r="1579" spans="1:206" ht="19.5">
      <c r="CH1579">
        <v>143</v>
      </c>
      <c r="CI1579" t="s">
        <v>71</v>
      </c>
      <c r="CJ1579" s="8">
        <v>43927</v>
      </c>
      <c r="CK1579">
        <v>44</v>
      </c>
      <c r="CM1579">
        <v>4</v>
      </c>
    </row>
    <row r="1580" spans="1:206" ht="19.5">
      <c r="CH1580">
        <v>143</v>
      </c>
      <c r="CI1580" t="s">
        <v>71</v>
      </c>
      <c r="CJ1580" s="8">
        <v>43928</v>
      </c>
      <c r="CK1580">
        <v>50</v>
      </c>
      <c r="CM1580">
        <v>6</v>
      </c>
    </row>
    <row r="1581" spans="1:206" ht="19.5">
      <c r="CH1581">
        <v>143</v>
      </c>
      <c r="CI1581" t="s">
        <v>71</v>
      </c>
      <c r="CJ1581" s="8">
        <v>43929</v>
      </c>
      <c r="CK1581">
        <v>62</v>
      </c>
      <c r="CM1581">
        <v>7</v>
      </c>
    </row>
    <row r="1582" spans="1:206" ht="19.5">
      <c r="CH1582">
        <v>143</v>
      </c>
      <c r="CI1582" t="s">
        <v>71</v>
      </c>
      <c r="CJ1582" s="8">
        <v>43930</v>
      </c>
      <c r="CK1582">
        <v>71</v>
      </c>
      <c r="CM1582">
        <v>8</v>
      </c>
    </row>
    <row r="1583" spans="1:206" ht="19.5">
      <c r="CH1583">
        <v>143</v>
      </c>
      <c r="CI1583" t="s">
        <v>71</v>
      </c>
      <c r="CJ1583" s="8">
        <v>43931</v>
      </c>
      <c r="CK1583">
        <v>87</v>
      </c>
      <c r="CM1583">
        <v>10</v>
      </c>
    </row>
    <row r="1584" spans="1:206" ht="19.5">
      <c r="CH1584">
        <v>143</v>
      </c>
      <c r="CI1584" t="s">
        <v>71</v>
      </c>
      <c r="CJ1584" s="8">
        <v>43932</v>
      </c>
      <c r="CK1584">
        <v>104</v>
      </c>
      <c r="CM1584">
        <v>13</v>
      </c>
    </row>
    <row r="1585" spans="1:206" ht="19.5">
      <c r="CH1585">
        <v>143</v>
      </c>
      <c r="CI1585" t="s">
        <v>71</v>
      </c>
      <c r="CJ1585" s="8">
        <v>43933</v>
      </c>
      <c r="CK1585">
        <v>110</v>
      </c>
      <c r="CM1585">
        <v>15</v>
      </c>
    </row>
    <row r="1586" spans="1:206" ht="19.5">
      <c r="CH1586">
        <v>143</v>
      </c>
      <c r="CI1586" t="s">
        <v>71</v>
      </c>
      <c r="CJ1586" s="8">
        <v>43934</v>
      </c>
      <c r="CK1586">
        <v>120</v>
      </c>
      <c r="CM1586">
        <v>15</v>
      </c>
    </row>
    <row r="1587" spans="1:206" ht="19.5">
      <c r="CH1587">
        <v>143</v>
      </c>
      <c r="CI1587" t="s">
        <v>71</v>
      </c>
      <c r="CJ1587" s="8">
        <v>43935</v>
      </c>
      <c r="CK1587">
        <v>129</v>
      </c>
      <c r="CM1587">
        <v>18</v>
      </c>
    </row>
    <row r="1588" spans="1:206" ht="19.5">
      <c r="CH1588">
        <v>143</v>
      </c>
      <c r="CI1588" t="s">
        <v>71</v>
      </c>
      <c r="CJ1588" s="8">
        <v>43936</v>
      </c>
      <c r="CK1588">
        <v>152</v>
      </c>
      <c r="CM1588">
        <v>24</v>
      </c>
    </row>
    <row r="1589" spans="1:206" ht="19.5">
      <c r="CH1589">
        <v>143</v>
      </c>
      <c r="CI1589" t="s">
        <v>71</v>
      </c>
      <c r="CJ1589" s="8">
        <v>43937</v>
      </c>
      <c r="CK1589">
        <v>174</v>
      </c>
      <c r="CL1589">
        <v>508</v>
      </c>
      <c r="CM1589">
        <v>28</v>
      </c>
    </row>
    <row r="1590" spans="1:206" ht="19.5">
      <c r="CH1590">
        <v>143</v>
      </c>
      <c r="CI1590" t="s">
        <v>71</v>
      </c>
      <c r="CJ1590" s="8">
        <v>43938</v>
      </c>
      <c r="CK1590">
        <v>187</v>
      </c>
      <c r="CL1590">
        <v>546</v>
      </c>
      <c r="CM1590">
        <v>30</v>
      </c>
    </row>
    <row r="1591" spans="1:206" ht="19.5">
      <c r="CH1591">
        <v>143</v>
      </c>
      <c r="CI1591" t="s">
        <v>71</v>
      </c>
      <c r="CJ1591" s="8">
        <v>43939</v>
      </c>
      <c r="CK1591">
        <v>196</v>
      </c>
      <c r="CL1591">
        <v>573</v>
      </c>
      <c r="CM1591">
        <v>32</v>
      </c>
    </row>
    <row r="1592" spans="1:206" ht="19.5">
      <c r="CH1592">
        <v>143</v>
      </c>
      <c r="CI1592" t="s">
        <v>71</v>
      </c>
      <c r="CJ1592" s="8">
        <v>43940</v>
      </c>
      <c r="CK1592">
        <v>200</v>
      </c>
      <c r="CL1592">
        <v>584</v>
      </c>
      <c r="CM1592">
        <v>32</v>
      </c>
    </row>
    <row r="1593" spans="1:206" ht="19.5">
      <c r="CH1593">
        <v>143</v>
      </c>
      <c r="CI1593" t="s">
        <v>71</v>
      </c>
      <c r="CJ1593" s="8">
        <v>43941</v>
      </c>
      <c r="CK1593">
        <v>215</v>
      </c>
      <c r="CL1593">
        <v>628</v>
      </c>
      <c r="CM1593">
        <v>39</v>
      </c>
    </row>
    <row r="1594" spans="1:206" ht="19.5">
      <c r="CH1594">
        <v>143</v>
      </c>
      <c r="CI1594" t="s">
        <v>71</v>
      </c>
      <c r="CJ1594" s="8">
        <v>43942</v>
      </c>
      <c r="CK1594">
        <v>216</v>
      </c>
      <c r="CL1594">
        <v>631</v>
      </c>
      <c r="CM1594">
        <v>40</v>
      </c>
    </row>
    <row r="1595" spans="1:206" ht="19.5">
      <c r="CH1595">
        <v>143</v>
      </c>
      <c r="CI1595" t="s">
        <v>71</v>
      </c>
      <c r="CJ1595" s="8">
        <v>43943</v>
      </c>
      <c r="CK1595">
        <v>230</v>
      </c>
      <c r="CL1595">
        <v>672</v>
      </c>
      <c r="CM1595">
        <v>43</v>
      </c>
    </row>
    <row r="1596" spans="1:206" ht="19.5">
      <c r="CH1596">
        <v>143</v>
      </c>
      <c r="CI1596" t="s">
        <v>71</v>
      </c>
      <c r="CJ1596" s="8">
        <v>43944</v>
      </c>
      <c r="CK1596">
        <v>242</v>
      </c>
      <c r="CL1596">
        <v>707</v>
      </c>
      <c r="CM1596">
        <v>45</v>
      </c>
    </row>
    <row r="1597" spans="1:206" ht="19.5">
      <c r="CH1597">
        <v>143</v>
      </c>
      <c r="CI1597" t="s">
        <v>71</v>
      </c>
      <c r="CJ1597" s="8">
        <v>43945</v>
      </c>
      <c r="CK1597">
        <v>265</v>
      </c>
      <c r="CL1597">
        <v>774</v>
      </c>
      <c r="CM1597">
        <v>46</v>
      </c>
    </row>
    <row r="1598" spans="1:206" ht="19.5">
      <c r="CH1598">
        <v>143</v>
      </c>
      <c r="CI1598" t="s">
        <v>71</v>
      </c>
      <c r="CJ1598" s="8">
        <v>43946</v>
      </c>
      <c r="CK1598">
        <v>273</v>
      </c>
      <c r="CL1598">
        <v>798</v>
      </c>
      <c r="CM1598">
        <v>49</v>
      </c>
    </row>
    <row r="1599" spans="1:206" ht="19.5">
      <c r="CH1599">
        <v>143</v>
      </c>
      <c r="CI1599" t="s">
        <v>71</v>
      </c>
      <c r="CJ1599" s="8">
        <v>43947</v>
      </c>
      <c r="CK1599">
        <v>278</v>
      </c>
      <c r="CL1599">
        <v>812</v>
      </c>
      <c r="CM1599">
        <v>49</v>
      </c>
    </row>
    <row r="1600" spans="1:206" ht="19.5">
      <c r="CH1600">
        <v>143</v>
      </c>
      <c r="CI1600" t="s">
        <v>71</v>
      </c>
      <c r="CJ1600" s="8">
        <v>43948</v>
      </c>
      <c r="CK1600">
        <v>288</v>
      </c>
      <c r="CL1600">
        <v>841</v>
      </c>
      <c r="CM1600">
        <v>49</v>
      </c>
    </row>
    <row r="1601" spans="1:206" ht="19.5">
      <c r="CH1601">
        <v>143</v>
      </c>
      <c r="CI1601" t="s">
        <v>71</v>
      </c>
      <c r="CJ1601" s="8">
        <v>43949</v>
      </c>
      <c r="CK1601">
        <v>294</v>
      </c>
      <c r="CL1601">
        <v>859</v>
      </c>
      <c r="CM1601">
        <v>49</v>
      </c>
    </row>
    <row r="1602" spans="1:206" ht="19.5">
      <c r="CH1602">
        <v>143</v>
      </c>
      <c r="CI1602" t="s">
        <v>71</v>
      </c>
      <c r="CJ1602" s="8">
        <v>43950</v>
      </c>
      <c r="CK1602">
        <v>304</v>
      </c>
      <c r="CL1602">
        <v>888</v>
      </c>
      <c r="CM1602">
        <v>52</v>
      </c>
    </row>
    <row r="1603" spans="1:206" ht="19.5">
      <c r="CH1603">
        <v>143</v>
      </c>
      <c r="CI1603" t="s">
        <v>71</v>
      </c>
      <c r="CJ1603" s="8">
        <v>43951</v>
      </c>
      <c r="CK1603">
        <v>320</v>
      </c>
      <c r="CL1603">
        <v>935</v>
      </c>
      <c r="CM1603">
        <v>53</v>
      </c>
    </row>
    <row r="1604" spans="1:206" ht="19.5">
      <c r="CH1604">
        <v>146</v>
      </c>
      <c r="CI1604" t="s">
        <v>72</v>
      </c>
      <c r="CJ1604" s="8">
        <v>43914</v>
      </c>
      <c r="CK1604">
        <v>3</v>
      </c>
      <c r="CM1604">
        <v>0</v>
      </c>
    </row>
    <row r="1605" spans="1:206" ht="19.5">
      <c r="CH1605">
        <v>146</v>
      </c>
      <c r="CI1605" t="s">
        <v>72</v>
      </c>
      <c r="CJ1605" s="8">
        <v>43915</v>
      </c>
      <c r="CK1605">
        <v>4</v>
      </c>
      <c r="CM1605">
        <v>0</v>
      </c>
    </row>
    <row r="1606" spans="1:206" ht="19.5">
      <c r="CH1606">
        <v>146</v>
      </c>
      <c r="CI1606" t="s">
        <v>72</v>
      </c>
      <c r="CJ1606" s="8">
        <v>43916</v>
      </c>
      <c r="CK1606">
        <v>5</v>
      </c>
      <c r="CM1606">
        <v>0</v>
      </c>
    </row>
    <row r="1607" spans="1:206" ht="19.5">
      <c r="CH1607">
        <v>146</v>
      </c>
      <c r="CI1607" t="s">
        <v>72</v>
      </c>
      <c r="CJ1607" s="8">
        <v>43917</v>
      </c>
      <c r="CK1607">
        <v>4</v>
      </c>
      <c r="CM1607">
        <v>0</v>
      </c>
    </row>
    <row r="1608" spans="1:206" ht="19.5">
      <c r="CH1608">
        <v>146</v>
      </c>
      <c r="CI1608" t="s">
        <v>72</v>
      </c>
      <c r="CJ1608" s="8">
        <v>43918</v>
      </c>
      <c r="CK1608">
        <v>7</v>
      </c>
      <c r="CM1608">
        <v>0</v>
      </c>
    </row>
    <row r="1609" spans="1:206" ht="19.5">
      <c r="CH1609">
        <v>146</v>
      </c>
      <c r="CI1609" t="s">
        <v>72</v>
      </c>
      <c r="CJ1609" s="8">
        <v>43919</v>
      </c>
      <c r="CK1609">
        <v>8</v>
      </c>
      <c r="CM1609">
        <v>0</v>
      </c>
    </row>
    <row r="1610" spans="1:206" ht="19.5">
      <c r="CH1610">
        <v>146</v>
      </c>
      <c r="CI1610" t="s">
        <v>72</v>
      </c>
      <c r="CJ1610" s="8">
        <v>43920</v>
      </c>
      <c r="CK1610">
        <v>10</v>
      </c>
      <c r="CM1610">
        <v>0</v>
      </c>
    </row>
    <row r="1611" spans="1:206" ht="19.5">
      <c r="CH1611">
        <v>146</v>
      </c>
      <c r="CI1611" t="s">
        <v>72</v>
      </c>
      <c r="CJ1611" s="8">
        <v>43921</v>
      </c>
      <c r="CK1611">
        <v>11</v>
      </c>
      <c r="CM1611">
        <v>0</v>
      </c>
    </row>
    <row r="1612" spans="1:206" ht="19.5">
      <c r="CH1612">
        <v>146</v>
      </c>
      <c r="CI1612" t="s">
        <v>72</v>
      </c>
      <c r="CJ1612" s="8">
        <v>43922</v>
      </c>
      <c r="CK1612">
        <v>13</v>
      </c>
      <c r="CM1612">
        <v>0</v>
      </c>
    </row>
    <row r="1613" spans="1:206" ht="19.5">
      <c r="CH1613">
        <v>146</v>
      </c>
      <c r="CI1613" t="s">
        <v>72</v>
      </c>
      <c r="CJ1613" s="8">
        <v>43923</v>
      </c>
      <c r="CK1613">
        <v>14</v>
      </c>
      <c r="CM1613">
        <v>0</v>
      </c>
    </row>
    <row r="1614" spans="1:206" ht="19.5">
      <c r="CH1614">
        <v>146</v>
      </c>
      <c r="CI1614" t="s">
        <v>72</v>
      </c>
      <c r="CJ1614" s="8">
        <v>43924</v>
      </c>
      <c r="CK1614">
        <v>15</v>
      </c>
      <c r="CM1614">
        <v>0</v>
      </c>
    </row>
    <row r="1615" spans="1:206" ht="19.5">
      <c r="CH1615">
        <v>146</v>
      </c>
      <c r="CI1615" t="s">
        <v>72</v>
      </c>
      <c r="CJ1615" s="8">
        <v>43925</v>
      </c>
      <c r="CK1615">
        <v>20</v>
      </c>
      <c r="CM1615">
        <v>0</v>
      </c>
    </row>
    <row r="1616" spans="1:206" ht="19.5">
      <c r="CH1616">
        <v>146</v>
      </c>
      <c r="CI1616" t="s">
        <v>72</v>
      </c>
      <c r="CJ1616" s="8">
        <v>43926</v>
      </c>
      <c r="CK1616">
        <v>21</v>
      </c>
      <c r="CM1616">
        <v>0</v>
      </c>
    </row>
    <row r="1617" spans="1:206" ht="19.5">
      <c r="CH1617">
        <v>146</v>
      </c>
      <c r="CI1617" t="s">
        <v>72</v>
      </c>
      <c r="CJ1617" s="8">
        <v>43927</v>
      </c>
      <c r="CK1617">
        <v>22</v>
      </c>
      <c r="CM1617">
        <v>0</v>
      </c>
    </row>
    <row r="1618" spans="1:206" ht="19.5">
      <c r="CH1618">
        <v>146</v>
      </c>
      <c r="CI1618" t="s">
        <v>72</v>
      </c>
      <c r="CJ1618" s="8">
        <v>43928</v>
      </c>
      <c r="CK1618">
        <v>24</v>
      </c>
      <c r="CM1618">
        <v>0</v>
      </c>
    </row>
    <row r="1619" spans="1:206" ht="19.5">
      <c r="CH1619">
        <v>146</v>
      </c>
      <c r="CI1619" t="s">
        <v>72</v>
      </c>
      <c r="CJ1619" s="8">
        <v>43929</v>
      </c>
      <c r="CK1619">
        <v>29</v>
      </c>
      <c r="CM1619">
        <v>0</v>
      </c>
    </row>
    <row r="1620" spans="1:206" ht="19.5">
      <c r="CH1620">
        <v>146</v>
      </c>
      <c r="CI1620" t="s">
        <v>72</v>
      </c>
      <c r="CJ1620" s="8">
        <v>43930</v>
      </c>
      <c r="CK1620">
        <v>33</v>
      </c>
      <c r="CM1620">
        <v>0</v>
      </c>
    </row>
    <row r="1621" spans="1:206" ht="19.5">
      <c r="CH1621">
        <v>146</v>
      </c>
      <c r="CI1621" t="s">
        <v>72</v>
      </c>
      <c r="CJ1621" s="8">
        <v>43931</v>
      </c>
      <c r="CK1621">
        <v>40</v>
      </c>
      <c r="CM1621">
        <v>0</v>
      </c>
    </row>
    <row r="1622" spans="1:206" ht="19.5">
      <c r="CH1622">
        <v>146</v>
      </c>
      <c r="CI1622" t="s">
        <v>72</v>
      </c>
      <c r="CJ1622" s="8">
        <v>43932</v>
      </c>
      <c r="CK1622">
        <v>44</v>
      </c>
      <c r="CM1622">
        <v>0</v>
      </c>
    </row>
    <row r="1623" spans="1:206" ht="19.5">
      <c r="CH1623">
        <v>146</v>
      </c>
      <c r="CI1623" t="s">
        <v>72</v>
      </c>
      <c r="CJ1623" s="8">
        <v>43933</v>
      </c>
      <c r="CK1623">
        <v>52</v>
      </c>
      <c r="CM1623">
        <v>1</v>
      </c>
    </row>
    <row r="1624" spans="1:206" ht="19.5">
      <c r="CH1624">
        <v>146</v>
      </c>
      <c r="CI1624" t="s">
        <v>72</v>
      </c>
      <c r="CJ1624" s="8">
        <v>43934</v>
      </c>
      <c r="CK1624">
        <v>60</v>
      </c>
      <c r="CM1624">
        <v>1</v>
      </c>
    </row>
    <row r="1625" spans="1:206" ht="19.5">
      <c r="CH1625">
        <v>146</v>
      </c>
      <c r="CI1625" t="s">
        <v>72</v>
      </c>
      <c r="CJ1625" s="8">
        <v>43935</v>
      </c>
      <c r="CK1625">
        <v>61</v>
      </c>
      <c r="CM1625">
        <v>2</v>
      </c>
    </row>
    <row r="1626" spans="1:206" ht="19.5">
      <c r="CH1626">
        <v>146</v>
      </c>
      <c r="CI1626" t="s">
        <v>72</v>
      </c>
      <c r="CJ1626" s="8">
        <v>43936</v>
      </c>
      <c r="CK1626">
        <v>67</v>
      </c>
      <c r="CM1626">
        <v>2</v>
      </c>
    </row>
    <row r="1627" spans="1:206" ht="19.5">
      <c r="CH1627">
        <v>146</v>
      </c>
      <c r="CI1627" t="s">
        <v>72</v>
      </c>
      <c r="CJ1627" s="8">
        <v>43937</v>
      </c>
      <c r="CK1627">
        <v>74</v>
      </c>
      <c r="CL1627">
        <v>253</v>
      </c>
      <c r="CM1627">
        <v>2</v>
      </c>
    </row>
    <row r="1628" spans="1:206" ht="19.5">
      <c r="CH1628">
        <v>146</v>
      </c>
      <c r="CI1628" t="s">
        <v>72</v>
      </c>
      <c r="CJ1628" s="8">
        <v>43938</v>
      </c>
      <c r="CK1628">
        <v>82</v>
      </c>
      <c r="CL1628">
        <v>280</v>
      </c>
      <c r="CM1628">
        <v>5</v>
      </c>
    </row>
    <row r="1629" spans="1:206" ht="19.5">
      <c r="CH1629">
        <v>146</v>
      </c>
      <c r="CI1629" t="s">
        <v>72</v>
      </c>
      <c r="CJ1629" s="8">
        <v>43939</v>
      </c>
      <c r="CK1629">
        <v>87</v>
      </c>
      <c r="CL1629">
        <v>297</v>
      </c>
      <c r="CM1629">
        <v>5</v>
      </c>
    </row>
    <row r="1630" spans="1:206" ht="19.5">
      <c r="CH1630">
        <v>146</v>
      </c>
      <c r="CI1630" t="s">
        <v>72</v>
      </c>
      <c r="CJ1630" s="8">
        <v>43940</v>
      </c>
      <c r="CK1630">
        <v>90</v>
      </c>
      <c r="CL1630">
        <v>307</v>
      </c>
      <c r="CM1630">
        <v>5</v>
      </c>
    </row>
    <row r="1631" spans="1:206" ht="19.5">
      <c r="CH1631">
        <v>146</v>
      </c>
      <c r="CI1631" t="s">
        <v>72</v>
      </c>
      <c r="CJ1631" s="8">
        <v>43941</v>
      </c>
      <c r="CK1631">
        <v>93</v>
      </c>
      <c r="CL1631">
        <v>317</v>
      </c>
      <c r="CM1631">
        <v>5</v>
      </c>
    </row>
    <row r="1632" spans="1:206" ht="19.5">
      <c r="CH1632">
        <v>146</v>
      </c>
      <c r="CI1632" t="s">
        <v>72</v>
      </c>
      <c r="CJ1632" s="8">
        <v>43942</v>
      </c>
      <c r="CK1632">
        <v>94</v>
      </c>
      <c r="CL1632">
        <v>321</v>
      </c>
      <c r="CM1632">
        <v>6</v>
      </c>
    </row>
    <row r="1633" spans="1:206" ht="19.5">
      <c r="CH1633">
        <v>146</v>
      </c>
      <c r="CI1633" t="s">
        <v>72</v>
      </c>
      <c r="CJ1633" s="8">
        <v>43943</v>
      </c>
      <c r="CK1633">
        <v>99</v>
      </c>
      <c r="CL1633">
        <v>338</v>
      </c>
      <c r="CM1633">
        <v>7</v>
      </c>
    </row>
    <row r="1634" spans="1:206" ht="19.5">
      <c r="CH1634">
        <v>146</v>
      </c>
      <c r="CI1634" t="s">
        <v>72</v>
      </c>
      <c r="CJ1634" s="8">
        <v>43944</v>
      </c>
      <c r="CK1634">
        <v>100</v>
      </c>
      <c r="CL1634">
        <v>341</v>
      </c>
      <c r="CM1634">
        <v>7</v>
      </c>
    </row>
    <row r="1635" spans="1:206" ht="19.5">
      <c r="CH1635">
        <v>146</v>
      </c>
      <c r="CI1635" t="s">
        <v>72</v>
      </c>
      <c r="CJ1635" s="8">
        <v>43945</v>
      </c>
      <c r="CK1635">
        <v>100</v>
      </c>
      <c r="CL1635">
        <v>341</v>
      </c>
      <c r="CM1635">
        <v>6</v>
      </c>
    </row>
    <row r="1636" spans="1:206" ht="19.5">
      <c r="CH1636">
        <v>146</v>
      </c>
      <c r="CI1636" t="s">
        <v>72</v>
      </c>
      <c r="CJ1636" s="8">
        <v>43946</v>
      </c>
      <c r="CK1636">
        <v>104</v>
      </c>
      <c r="CL1636">
        <v>355</v>
      </c>
      <c r="CM1636">
        <v>7</v>
      </c>
    </row>
    <row r="1637" spans="1:206" ht="19.5">
      <c r="CH1637">
        <v>146</v>
      </c>
      <c r="CI1637" t="s">
        <v>72</v>
      </c>
      <c r="CJ1637" s="8">
        <v>43947</v>
      </c>
      <c r="CK1637">
        <v>120</v>
      </c>
      <c r="CL1637">
        <v>410</v>
      </c>
      <c r="CM1637">
        <v>7</v>
      </c>
    </row>
    <row r="1638" spans="1:206" ht="19.5">
      <c r="CH1638">
        <v>146</v>
      </c>
      <c r="CI1638" t="s">
        <v>72</v>
      </c>
      <c r="CJ1638" s="8">
        <v>43948</v>
      </c>
      <c r="CK1638">
        <v>122</v>
      </c>
      <c r="CL1638">
        <v>416</v>
      </c>
      <c r="CM1638">
        <v>7</v>
      </c>
    </row>
    <row r="1639" spans="1:206" ht="19.5">
      <c r="CH1639">
        <v>146</v>
      </c>
      <c r="CI1639" t="s">
        <v>72</v>
      </c>
      <c r="CJ1639" s="8">
        <v>43949</v>
      </c>
      <c r="CK1639">
        <v>122</v>
      </c>
      <c r="CL1639">
        <v>416</v>
      </c>
      <c r="CM1639">
        <v>8</v>
      </c>
    </row>
    <row r="1640" spans="1:206" ht="19.5">
      <c r="CH1640">
        <v>146</v>
      </c>
      <c r="CI1640" t="s">
        <v>72</v>
      </c>
      <c r="CJ1640" s="8">
        <v>43950</v>
      </c>
      <c r="CK1640">
        <v>124</v>
      </c>
      <c r="CL1640">
        <v>423</v>
      </c>
      <c r="CM1640">
        <v>8</v>
      </c>
    </row>
    <row r="1641" spans="1:206" ht="19.5">
      <c r="CH1641">
        <v>146</v>
      </c>
      <c r="CI1641" t="s">
        <v>72</v>
      </c>
      <c r="CJ1641" s="8">
        <v>43951</v>
      </c>
      <c r="CK1641">
        <v>124</v>
      </c>
      <c r="CL1641">
        <v>423</v>
      </c>
      <c r="CM1641">
        <v>8</v>
      </c>
    </row>
    <row r="1642" spans="1:206" ht="19.5">
      <c r="CH1642">
        <v>148</v>
      </c>
      <c r="CI1642" t="s">
        <v>73</v>
      </c>
      <c r="CJ1642" s="8">
        <v>43914</v>
      </c>
      <c r="CK1642">
        <v>0</v>
      </c>
      <c r="CM1642">
        <v>0</v>
      </c>
    </row>
    <row r="1643" spans="1:206" ht="19.5">
      <c r="CH1643">
        <v>148</v>
      </c>
      <c r="CI1643" t="s">
        <v>73</v>
      </c>
      <c r="CJ1643" s="8">
        <v>43915</v>
      </c>
      <c r="CK1643">
        <v>2</v>
      </c>
      <c r="CM1643">
        <v>0</v>
      </c>
    </row>
    <row r="1644" spans="1:206" ht="19.5">
      <c r="CH1644">
        <v>148</v>
      </c>
      <c r="CI1644" t="s">
        <v>73</v>
      </c>
      <c r="CJ1644" s="8">
        <v>43916</v>
      </c>
      <c r="CK1644">
        <v>2</v>
      </c>
      <c r="CM1644">
        <v>0</v>
      </c>
    </row>
    <row r="1645" spans="1:206" ht="19.5">
      <c r="CH1645">
        <v>148</v>
      </c>
      <c r="CI1645" t="s">
        <v>73</v>
      </c>
      <c r="CJ1645" s="8">
        <v>43917</v>
      </c>
      <c r="CK1645">
        <v>2</v>
      </c>
      <c r="CM1645">
        <v>0</v>
      </c>
    </row>
    <row r="1646" spans="1:206" ht="19.5">
      <c r="CH1646">
        <v>148</v>
      </c>
      <c r="CI1646" t="s">
        <v>73</v>
      </c>
      <c r="CJ1646" s="8">
        <v>43918</v>
      </c>
      <c r="CK1646">
        <v>3</v>
      </c>
      <c r="CM1646">
        <v>0</v>
      </c>
    </row>
    <row r="1647" spans="1:206" ht="19.5">
      <c r="CH1647">
        <v>148</v>
      </c>
      <c r="CI1647" t="s">
        <v>73</v>
      </c>
      <c r="CJ1647" s="8">
        <v>43919</v>
      </c>
      <c r="CK1647">
        <v>5</v>
      </c>
      <c r="CM1647">
        <v>0</v>
      </c>
    </row>
    <row r="1648" spans="1:206" ht="19.5">
      <c r="CH1648">
        <v>148</v>
      </c>
      <c r="CI1648" t="s">
        <v>73</v>
      </c>
      <c r="CJ1648" s="8">
        <v>43920</v>
      </c>
      <c r="CK1648">
        <v>8</v>
      </c>
      <c r="CM1648">
        <v>0</v>
      </c>
    </row>
    <row r="1649" spans="1:206" ht="19.5">
      <c r="CH1649">
        <v>148</v>
      </c>
      <c r="CI1649" t="s">
        <v>73</v>
      </c>
      <c r="CJ1649" s="8">
        <v>43921</v>
      </c>
      <c r="CK1649">
        <v>10</v>
      </c>
      <c r="CM1649">
        <v>1</v>
      </c>
    </row>
    <row r="1650" spans="1:206" ht="19.5">
      <c r="CH1650">
        <v>148</v>
      </c>
      <c r="CI1650" t="s">
        <v>73</v>
      </c>
      <c r="CJ1650" s="8">
        <v>43922</v>
      </c>
      <c r="CK1650">
        <v>14</v>
      </c>
      <c r="CM1650">
        <v>1</v>
      </c>
    </row>
    <row r="1651" spans="1:206" ht="19.5">
      <c r="CH1651">
        <v>148</v>
      </c>
      <c r="CI1651" t="s">
        <v>73</v>
      </c>
      <c r="CJ1651" s="8">
        <v>43923</v>
      </c>
      <c r="CK1651">
        <v>18</v>
      </c>
      <c r="CM1651">
        <v>1</v>
      </c>
    </row>
    <row r="1652" spans="1:206" ht="19.5">
      <c r="CH1652">
        <v>148</v>
      </c>
      <c r="CI1652" t="s">
        <v>73</v>
      </c>
      <c r="CJ1652" s="8">
        <v>43924</v>
      </c>
      <c r="CK1652">
        <v>24</v>
      </c>
      <c r="CM1652">
        <v>0</v>
      </c>
    </row>
    <row r="1653" spans="1:206" ht="19.5">
      <c r="CH1653">
        <v>148</v>
      </c>
      <c r="CI1653" t="s">
        <v>73</v>
      </c>
      <c r="CJ1653" s="8">
        <v>43925</v>
      </c>
      <c r="CK1653">
        <v>23</v>
      </c>
      <c r="CM1653">
        <v>2</v>
      </c>
    </row>
    <row r="1654" spans="1:206" ht="19.5">
      <c r="CH1654">
        <v>148</v>
      </c>
      <c r="CI1654" t="s">
        <v>73</v>
      </c>
      <c r="CJ1654" s="8">
        <v>43926</v>
      </c>
      <c r="CK1654">
        <v>23</v>
      </c>
      <c r="CM1654">
        <v>2</v>
      </c>
    </row>
    <row r="1655" spans="1:206" ht="19.5">
      <c r="CH1655">
        <v>148</v>
      </c>
      <c r="CI1655" t="s">
        <v>73</v>
      </c>
      <c r="CJ1655" s="8">
        <v>43927</v>
      </c>
      <c r="CK1655">
        <v>30</v>
      </c>
      <c r="CM1655">
        <v>2</v>
      </c>
    </row>
    <row r="1656" spans="1:206" ht="19.5">
      <c r="CH1656">
        <v>148</v>
      </c>
      <c r="CI1656" t="s">
        <v>73</v>
      </c>
      <c r="CJ1656" s="8">
        <v>43928</v>
      </c>
      <c r="CK1656">
        <v>36</v>
      </c>
      <c r="CM1656">
        <v>2</v>
      </c>
    </row>
    <row r="1657" spans="1:206" ht="19.5">
      <c r="CH1657">
        <v>148</v>
      </c>
      <c r="CI1657" t="s">
        <v>73</v>
      </c>
      <c r="CJ1657" s="8">
        <v>43929</v>
      </c>
      <c r="CK1657">
        <v>42</v>
      </c>
      <c r="CM1657">
        <v>2</v>
      </c>
    </row>
    <row r="1658" spans="1:206" ht="19.5">
      <c r="CH1658">
        <v>148</v>
      </c>
      <c r="CI1658" t="s">
        <v>73</v>
      </c>
      <c r="CJ1658" s="8">
        <v>43930</v>
      </c>
      <c r="CK1658">
        <v>52</v>
      </c>
      <c r="CM1658">
        <v>2</v>
      </c>
    </row>
    <row r="1659" spans="1:206" ht="19.5">
      <c r="CH1659">
        <v>148</v>
      </c>
      <c r="CI1659" t="s">
        <v>73</v>
      </c>
      <c r="CJ1659" s="8">
        <v>43931</v>
      </c>
      <c r="CK1659">
        <v>57</v>
      </c>
      <c r="CM1659">
        <v>3</v>
      </c>
    </row>
    <row r="1660" spans="1:206" ht="19.5">
      <c r="CH1660">
        <v>148</v>
      </c>
      <c r="CI1660" t="s">
        <v>73</v>
      </c>
      <c r="CJ1660" s="8">
        <v>43932</v>
      </c>
      <c r="CK1660">
        <v>69</v>
      </c>
      <c r="CM1660">
        <v>3</v>
      </c>
    </row>
    <row r="1661" spans="1:206" ht="19.5">
      <c r="CH1661">
        <v>148</v>
      </c>
      <c r="CI1661" t="s">
        <v>73</v>
      </c>
      <c r="CJ1661" s="8">
        <v>43933</v>
      </c>
      <c r="CK1661">
        <v>70</v>
      </c>
      <c r="CM1661">
        <v>3</v>
      </c>
    </row>
    <row r="1662" spans="1:206" ht="19.5">
      <c r="CH1662">
        <v>148</v>
      </c>
      <c r="CI1662" t="s">
        <v>73</v>
      </c>
      <c r="CJ1662" s="8">
        <v>43934</v>
      </c>
      <c r="CK1662">
        <v>79</v>
      </c>
      <c r="CM1662">
        <v>3</v>
      </c>
    </row>
    <row r="1663" spans="1:206" ht="19.5">
      <c r="CH1663">
        <v>148</v>
      </c>
      <c r="CI1663" t="s">
        <v>73</v>
      </c>
      <c r="CJ1663" s="8">
        <v>43935</v>
      </c>
      <c r="CK1663">
        <v>86</v>
      </c>
      <c r="CM1663">
        <v>3</v>
      </c>
    </row>
    <row r="1664" spans="1:206" ht="19.5">
      <c r="CH1664">
        <v>148</v>
      </c>
      <c r="CI1664" t="s">
        <v>73</v>
      </c>
      <c r="CJ1664" s="8">
        <v>43936</v>
      </c>
      <c r="CK1664">
        <v>88</v>
      </c>
      <c r="CM1664">
        <v>3</v>
      </c>
    </row>
    <row r="1665" spans="1:206" ht="19.5">
      <c r="CH1665">
        <v>148</v>
      </c>
      <c r="CI1665" t="s">
        <v>73</v>
      </c>
      <c r="CJ1665" s="8">
        <v>43937</v>
      </c>
      <c r="CK1665">
        <v>99</v>
      </c>
      <c r="CL1665">
        <v>222</v>
      </c>
      <c r="CM1665">
        <v>4</v>
      </c>
    </row>
    <row r="1666" spans="1:206" ht="19.5">
      <c r="CH1666">
        <v>148</v>
      </c>
      <c r="CI1666" t="s">
        <v>73</v>
      </c>
      <c r="CJ1666" s="8">
        <v>43938</v>
      </c>
      <c r="CK1666">
        <v>109</v>
      </c>
      <c r="CL1666">
        <v>245</v>
      </c>
      <c r="CM1666">
        <v>5</v>
      </c>
    </row>
    <row r="1667" spans="1:206" ht="19.5">
      <c r="CH1667">
        <v>148</v>
      </c>
      <c r="CI1667" t="s">
        <v>73</v>
      </c>
      <c r="CJ1667" s="8">
        <v>43939</v>
      </c>
      <c r="CK1667">
        <v>114</v>
      </c>
      <c r="CL1667">
        <v>256</v>
      </c>
      <c r="CM1667">
        <v>5</v>
      </c>
    </row>
    <row r="1668" spans="1:206" ht="19.5">
      <c r="CH1668">
        <v>148</v>
      </c>
      <c r="CI1668" t="s">
        <v>73</v>
      </c>
      <c r="CJ1668" s="8">
        <v>43940</v>
      </c>
      <c r="CK1668">
        <v>124</v>
      </c>
      <c r="CL1668">
        <v>278</v>
      </c>
      <c r="CM1668">
        <v>6</v>
      </c>
    </row>
    <row r="1669" spans="1:206" ht="19.5">
      <c r="CH1669">
        <v>148</v>
      </c>
      <c r="CI1669" t="s">
        <v>73</v>
      </c>
      <c r="CJ1669" s="8">
        <v>43941</v>
      </c>
      <c r="CK1669">
        <v>137</v>
      </c>
      <c r="CL1669">
        <v>308</v>
      </c>
      <c r="CM1669">
        <v>8</v>
      </c>
    </row>
    <row r="1670" spans="1:206" ht="19.5">
      <c r="CH1670">
        <v>148</v>
      </c>
      <c r="CI1670" t="s">
        <v>73</v>
      </c>
      <c r="CJ1670" s="8">
        <v>43942</v>
      </c>
      <c r="CK1670">
        <v>143</v>
      </c>
      <c r="CL1670">
        <v>321</v>
      </c>
      <c r="CM1670">
        <v>8</v>
      </c>
    </row>
    <row r="1671" spans="1:206" ht="19.5">
      <c r="CH1671">
        <v>148</v>
      </c>
      <c r="CI1671" t="s">
        <v>73</v>
      </c>
      <c r="CJ1671" s="8">
        <v>43943</v>
      </c>
      <c r="CK1671">
        <v>157</v>
      </c>
      <c r="CL1671">
        <v>353</v>
      </c>
      <c r="CM1671">
        <v>8</v>
      </c>
    </row>
    <row r="1672" spans="1:206" ht="19.5">
      <c r="CH1672">
        <v>148</v>
      </c>
      <c r="CI1672" t="s">
        <v>73</v>
      </c>
      <c r="CJ1672" s="8">
        <v>43944</v>
      </c>
      <c r="CK1672">
        <v>164</v>
      </c>
      <c r="CL1672">
        <v>368</v>
      </c>
      <c r="CM1672">
        <v>8</v>
      </c>
    </row>
    <row r="1673" spans="1:206" ht="19.5">
      <c r="CH1673">
        <v>148</v>
      </c>
      <c r="CI1673" t="s">
        <v>73</v>
      </c>
      <c r="CJ1673" s="8">
        <v>43945</v>
      </c>
      <c r="CK1673">
        <v>185</v>
      </c>
      <c r="CL1673">
        <v>415</v>
      </c>
      <c r="CM1673">
        <v>11</v>
      </c>
    </row>
    <row r="1674" spans="1:206" ht="19.5">
      <c r="CH1674">
        <v>148</v>
      </c>
      <c r="CI1674" t="s">
        <v>73</v>
      </c>
      <c r="CJ1674" s="8">
        <v>43946</v>
      </c>
      <c r="CK1674">
        <v>186</v>
      </c>
      <c r="CL1674">
        <v>418</v>
      </c>
      <c r="CM1674">
        <v>11</v>
      </c>
    </row>
    <row r="1675" spans="1:206" ht="19.5">
      <c r="CH1675">
        <v>148</v>
      </c>
      <c r="CI1675" t="s">
        <v>73</v>
      </c>
      <c r="CJ1675" s="8">
        <v>43947</v>
      </c>
      <c r="CK1675">
        <v>198</v>
      </c>
      <c r="CL1675">
        <v>445</v>
      </c>
      <c r="CM1675">
        <v>14</v>
      </c>
    </row>
    <row r="1676" spans="1:206" ht="19.5">
      <c r="CH1676">
        <v>148</v>
      </c>
      <c r="CI1676" t="s">
        <v>73</v>
      </c>
      <c r="CJ1676" s="8">
        <v>43948</v>
      </c>
      <c r="CK1676">
        <v>210</v>
      </c>
      <c r="CL1676">
        <v>472</v>
      </c>
      <c r="CM1676">
        <v>15</v>
      </c>
    </row>
    <row r="1677" spans="1:206" ht="19.5">
      <c r="CH1677">
        <v>148</v>
      </c>
      <c r="CI1677" t="s">
        <v>73</v>
      </c>
      <c r="CJ1677" s="8">
        <v>43949</v>
      </c>
      <c r="CK1677">
        <v>220</v>
      </c>
      <c r="CL1677">
        <v>494</v>
      </c>
      <c r="CM1677">
        <v>18</v>
      </c>
    </row>
    <row r="1678" spans="1:206" ht="19.5">
      <c r="CH1678">
        <v>148</v>
      </c>
      <c r="CI1678" t="s">
        <v>73</v>
      </c>
      <c r="CJ1678" s="8">
        <v>43950</v>
      </c>
      <c r="CK1678">
        <v>226</v>
      </c>
      <c r="CL1678">
        <v>507</v>
      </c>
      <c r="CM1678">
        <v>19</v>
      </c>
    </row>
    <row r="1679" spans="1:206" ht="19.5">
      <c r="CH1679">
        <v>148</v>
      </c>
      <c r="CI1679" t="s">
        <v>73</v>
      </c>
      <c r="CJ1679" s="8">
        <v>43951</v>
      </c>
      <c r="CK1679">
        <v>249</v>
      </c>
      <c r="CL1679">
        <v>559</v>
      </c>
      <c r="CM1679">
        <v>20</v>
      </c>
    </row>
    <row r="1680" spans="1:206" ht="19.5">
      <c r="CH1680">
        <v>151</v>
      </c>
      <c r="CI1680" t="s">
        <v>74</v>
      </c>
      <c r="CJ1680" s="8">
        <v>43914</v>
      </c>
      <c r="CK1680">
        <v>10</v>
      </c>
      <c r="CM1680">
        <v>0</v>
      </c>
    </row>
    <row r="1681" spans="1:206" ht="19.5">
      <c r="CH1681">
        <v>151</v>
      </c>
      <c r="CI1681" t="s">
        <v>74</v>
      </c>
      <c r="CJ1681" s="8">
        <v>43915</v>
      </c>
      <c r="CK1681">
        <v>17</v>
      </c>
      <c r="CM1681">
        <v>0</v>
      </c>
    </row>
    <row r="1682" spans="1:206" ht="19.5">
      <c r="CH1682">
        <v>151</v>
      </c>
      <c r="CI1682" t="s">
        <v>74</v>
      </c>
      <c r="CJ1682" s="8">
        <v>43916</v>
      </c>
      <c r="CK1682">
        <v>30</v>
      </c>
      <c r="CM1682">
        <v>0</v>
      </c>
    </row>
    <row r="1683" spans="1:206" ht="19.5">
      <c r="CH1683">
        <v>151</v>
      </c>
      <c r="CI1683" t="s">
        <v>74</v>
      </c>
      <c r="CJ1683" s="8">
        <v>43917</v>
      </c>
      <c r="CK1683">
        <v>36</v>
      </c>
      <c r="CM1683">
        <v>0</v>
      </c>
    </row>
    <row r="1684" spans="1:206" ht="19.5">
      <c r="CH1684">
        <v>151</v>
      </c>
      <c r="CI1684" t="s">
        <v>74</v>
      </c>
      <c r="CJ1684" s="8">
        <v>43918</v>
      </c>
      <c r="CK1684">
        <v>38</v>
      </c>
      <c r="CM1684">
        <v>0</v>
      </c>
    </row>
    <row r="1685" spans="1:206" ht="19.5">
      <c r="CH1685">
        <v>151</v>
      </c>
      <c r="CI1685" t="s">
        <v>74</v>
      </c>
      <c r="CJ1685" s="8">
        <v>43919</v>
      </c>
      <c r="CK1685">
        <v>52</v>
      </c>
      <c r="CM1685">
        <v>0</v>
      </c>
    </row>
    <row r="1686" spans="1:206" ht="19.5">
      <c r="CH1686">
        <v>151</v>
      </c>
      <c r="CI1686" t="s">
        <v>74</v>
      </c>
      <c r="CJ1686" s="8">
        <v>43920</v>
      </c>
      <c r="CK1686">
        <v>69</v>
      </c>
      <c r="CM1686">
        <v>0</v>
      </c>
    </row>
    <row r="1687" spans="1:206" ht="19.5">
      <c r="CH1687">
        <v>151</v>
      </c>
      <c r="CI1687" t="s">
        <v>74</v>
      </c>
      <c r="CJ1687" s="8">
        <v>43921</v>
      </c>
      <c r="CK1687">
        <v>75</v>
      </c>
      <c r="CM1687">
        <v>0</v>
      </c>
    </row>
    <row r="1688" spans="1:206" ht="19.5">
      <c r="CH1688">
        <v>151</v>
      </c>
      <c r="CI1688" t="s">
        <v>74</v>
      </c>
      <c r="CJ1688" s="8">
        <v>43922</v>
      </c>
      <c r="CK1688">
        <v>86</v>
      </c>
      <c r="CM1688">
        <v>0</v>
      </c>
    </row>
    <row r="1689" spans="1:206" ht="19.5">
      <c r="CH1689">
        <v>151</v>
      </c>
      <c r="CI1689" t="s">
        <v>74</v>
      </c>
      <c r="CJ1689" s="8">
        <v>43923</v>
      </c>
      <c r="CK1689">
        <v>105</v>
      </c>
      <c r="CM1689">
        <v>0</v>
      </c>
    </row>
    <row r="1690" spans="1:206" ht="19.5">
      <c r="CH1690">
        <v>151</v>
      </c>
      <c r="CI1690" t="s">
        <v>74</v>
      </c>
      <c r="CJ1690" s="8">
        <v>43924</v>
      </c>
      <c r="CK1690">
        <v>160</v>
      </c>
      <c r="CM1690">
        <v>2</v>
      </c>
    </row>
    <row r="1691" spans="1:206" ht="19.5">
      <c r="CH1691">
        <v>151</v>
      </c>
      <c r="CI1691" t="s">
        <v>74</v>
      </c>
      <c r="CJ1691" s="8">
        <v>43925</v>
      </c>
      <c r="CK1691">
        <v>217</v>
      </c>
      <c r="CM1691">
        <v>3</v>
      </c>
    </row>
    <row r="1692" spans="1:206" ht="19.5">
      <c r="CH1692">
        <v>151</v>
      </c>
      <c r="CI1692" t="s">
        <v>74</v>
      </c>
      <c r="CJ1692" s="8">
        <v>43926</v>
      </c>
      <c r="CK1692">
        <v>236</v>
      </c>
      <c r="CM1692">
        <v>6</v>
      </c>
    </row>
    <row r="1693" spans="1:206" ht="19.5">
      <c r="CH1693">
        <v>151</v>
      </c>
      <c r="CI1693" t="s">
        <v>74</v>
      </c>
      <c r="CJ1693" s="8">
        <v>43927</v>
      </c>
      <c r="CK1693">
        <v>278</v>
      </c>
      <c r="CM1693">
        <v>7</v>
      </c>
    </row>
    <row r="1694" spans="1:206" ht="19.5">
      <c r="CH1694">
        <v>151</v>
      </c>
      <c r="CI1694" t="s">
        <v>74</v>
      </c>
      <c r="CJ1694" s="8">
        <v>43928</v>
      </c>
      <c r="CK1694">
        <v>299</v>
      </c>
      <c r="CM1694">
        <v>12</v>
      </c>
    </row>
    <row r="1695" spans="1:206" ht="19.5">
      <c r="CH1695">
        <v>151</v>
      </c>
      <c r="CI1695" t="s">
        <v>74</v>
      </c>
      <c r="CJ1695" s="8">
        <v>43929</v>
      </c>
      <c r="CK1695">
        <v>358</v>
      </c>
      <c r="CM1695">
        <v>14</v>
      </c>
    </row>
    <row r="1696" spans="1:206" ht="19.5">
      <c r="CH1696">
        <v>151</v>
      </c>
      <c r="CI1696" t="s">
        <v>74</v>
      </c>
      <c r="CJ1696" s="8">
        <v>43930</v>
      </c>
      <c r="CK1696">
        <v>400</v>
      </c>
      <c r="CM1696">
        <v>17</v>
      </c>
    </row>
    <row r="1697" spans="1:206" ht="19.5">
      <c r="CH1697">
        <v>151</v>
      </c>
      <c r="CI1697" t="s">
        <v>74</v>
      </c>
      <c r="CJ1697" s="8">
        <v>43931</v>
      </c>
      <c r="CK1697">
        <v>455</v>
      </c>
      <c r="CM1697">
        <v>20</v>
      </c>
    </row>
    <row r="1698" spans="1:206" ht="19.5">
      <c r="CH1698">
        <v>151</v>
      </c>
      <c r="CI1698" t="s">
        <v>74</v>
      </c>
      <c r="CJ1698" s="8">
        <v>43932</v>
      </c>
      <c r="CK1698">
        <v>490</v>
      </c>
      <c r="CM1698">
        <v>21</v>
      </c>
    </row>
    <row r="1699" spans="1:206" ht="19.5">
      <c r="CH1699">
        <v>151</v>
      </c>
      <c r="CI1699" t="s">
        <v>74</v>
      </c>
      <c r="CJ1699" s="8">
        <v>43933</v>
      </c>
      <c r="CK1699">
        <v>512</v>
      </c>
      <c r="CM1699">
        <v>26</v>
      </c>
    </row>
    <row r="1700" spans="1:206" ht="19.5">
      <c r="CH1700">
        <v>151</v>
      </c>
      <c r="CI1700" t="s">
        <v>74</v>
      </c>
      <c r="CJ1700" s="8">
        <v>43934</v>
      </c>
      <c r="CK1700">
        <v>594</v>
      </c>
      <c r="CM1700">
        <v>30</v>
      </c>
    </row>
    <row r="1701" spans="1:206" ht="19.5">
      <c r="CH1701">
        <v>151</v>
      </c>
      <c r="CI1701" t="s">
        <v>74</v>
      </c>
      <c r="CJ1701" s="8">
        <v>43935</v>
      </c>
      <c r="CK1701">
        <v>638</v>
      </c>
      <c r="CM1701">
        <v>38</v>
      </c>
    </row>
    <row r="1702" spans="1:206" ht="19.5">
      <c r="CH1702">
        <v>151</v>
      </c>
      <c r="CI1702" t="s">
        <v>74</v>
      </c>
      <c r="CJ1702" s="8">
        <v>43936</v>
      </c>
      <c r="CK1702">
        <v>676</v>
      </c>
      <c r="CM1702">
        <v>45</v>
      </c>
    </row>
    <row r="1703" spans="1:206" ht="19.5">
      <c r="CH1703">
        <v>151</v>
      </c>
      <c r="CI1703" t="s">
        <v>74</v>
      </c>
      <c r="CJ1703" s="8">
        <v>43937</v>
      </c>
      <c r="CK1703">
        <v>740</v>
      </c>
      <c r="CL1703">
        <v>685</v>
      </c>
      <c r="CM1703">
        <v>49</v>
      </c>
    </row>
    <row r="1704" spans="1:206" ht="19.5">
      <c r="CH1704">
        <v>151</v>
      </c>
      <c r="CI1704" t="s">
        <v>74</v>
      </c>
      <c r="CJ1704" s="8">
        <v>43938</v>
      </c>
      <c r="CK1704">
        <v>822</v>
      </c>
      <c r="CL1704">
        <v>760</v>
      </c>
      <c r="CM1704">
        <v>52</v>
      </c>
    </row>
    <row r="1705" spans="1:206" ht="19.5">
      <c r="CH1705">
        <v>151</v>
      </c>
      <c r="CI1705" t="s">
        <v>74</v>
      </c>
      <c r="CJ1705" s="8">
        <v>43939</v>
      </c>
      <c r="CK1705">
        <v>837</v>
      </c>
      <c r="CL1705">
        <v>774</v>
      </c>
      <c r="CM1705">
        <v>57</v>
      </c>
    </row>
    <row r="1706" spans="1:206" ht="19.5">
      <c r="CH1706">
        <v>151</v>
      </c>
      <c r="CI1706" t="s">
        <v>74</v>
      </c>
      <c r="CJ1706" s="8">
        <v>43940</v>
      </c>
      <c r="CK1706">
        <v>843</v>
      </c>
      <c r="CL1706">
        <v>780</v>
      </c>
      <c r="CM1706">
        <v>62</v>
      </c>
    </row>
    <row r="1707" spans="1:206" ht="19.5">
      <c r="CH1707">
        <v>151</v>
      </c>
      <c r="CI1707" t="s">
        <v>74</v>
      </c>
      <c r="CJ1707" s="8">
        <v>43941</v>
      </c>
      <c r="CK1707">
        <v>872</v>
      </c>
      <c r="CL1707">
        <v>807</v>
      </c>
      <c r="CM1707">
        <v>68</v>
      </c>
    </row>
    <row r="1708" spans="1:206" ht="19.5">
      <c r="CH1708">
        <v>151</v>
      </c>
      <c r="CI1708" t="s">
        <v>74</v>
      </c>
      <c r="CJ1708" s="8">
        <v>43942</v>
      </c>
      <c r="CK1708">
        <v>907</v>
      </c>
      <c r="CL1708">
        <v>839</v>
      </c>
      <c r="CM1708">
        <v>74</v>
      </c>
    </row>
    <row r="1709" spans="1:206" ht="19.5">
      <c r="CH1709">
        <v>151</v>
      </c>
      <c r="CI1709" t="s">
        <v>74</v>
      </c>
      <c r="CJ1709" s="8">
        <v>43943</v>
      </c>
      <c r="CK1709">
        <v>953</v>
      </c>
      <c r="CL1709">
        <v>882</v>
      </c>
      <c r="CM1709">
        <v>76</v>
      </c>
    </row>
    <row r="1710" spans="1:206" ht="19.5">
      <c r="CH1710">
        <v>151</v>
      </c>
      <c r="CI1710" t="s">
        <v>74</v>
      </c>
      <c r="CJ1710" s="8">
        <v>43944</v>
      </c>
      <c r="CK1710">
        <v>1014</v>
      </c>
      <c r="CL1710">
        <v>938</v>
      </c>
      <c r="CM1710">
        <v>81</v>
      </c>
    </row>
    <row r="1711" spans="1:206" ht="19.5">
      <c r="CH1711">
        <v>151</v>
      </c>
      <c r="CI1711" t="s">
        <v>74</v>
      </c>
      <c r="CJ1711" s="8">
        <v>43945</v>
      </c>
      <c r="CK1711">
        <v>1062</v>
      </c>
      <c r="CL1711">
        <v>982</v>
      </c>
      <c r="CM1711">
        <v>86</v>
      </c>
    </row>
    <row r="1712" spans="1:206" ht="19.5">
      <c r="CH1712">
        <v>151</v>
      </c>
      <c r="CI1712" t="s">
        <v>74</v>
      </c>
      <c r="CJ1712" s="8">
        <v>43946</v>
      </c>
      <c r="CK1712">
        <v>1104</v>
      </c>
      <c r="CL1712">
        <v>1021</v>
      </c>
      <c r="CM1712">
        <v>91</v>
      </c>
    </row>
    <row r="1713" spans="1:206" ht="19.5">
      <c r="CH1713">
        <v>151</v>
      </c>
      <c r="CI1713" t="s">
        <v>74</v>
      </c>
      <c r="CJ1713" s="8">
        <v>43947</v>
      </c>
      <c r="CK1713">
        <v>1131</v>
      </c>
      <c r="CL1713">
        <v>1046</v>
      </c>
      <c r="CM1713">
        <v>93</v>
      </c>
    </row>
    <row r="1714" spans="1:206" ht="19.5">
      <c r="CH1714">
        <v>151</v>
      </c>
      <c r="CI1714" t="s">
        <v>74</v>
      </c>
      <c r="CJ1714" s="8">
        <v>43948</v>
      </c>
      <c r="CK1714">
        <v>1200</v>
      </c>
      <c r="CL1714">
        <v>1110</v>
      </c>
      <c r="CM1714">
        <v>100</v>
      </c>
    </row>
    <row r="1715" spans="1:206" ht="19.5">
      <c r="CH1715">
        <v>151</v>
      </c>
      <c r="CI1715" t="s">
        <v>74</v>
      </c>
      <c r="CJ1715" s="8">
        <v>43949</v>
      </c>
      <c r="CK1715">
        <v>1213</v>
      </c>
      <c r="CL1715">
        <v>1122</v>
      </c>
      <c r="CM1715">
        <v>102</v>
      </c>
    </row>
    <row r="1716" spans="1:206" ht="19.5">
      <c r="CH1716">
        <v>151</v>
      </c>
      <c r="CI1716" t="s">
        <v>74</v>
      </c>
      <c r="CJ1716" s="8">
        <v>43950</v>
      </c>
      <c r="CK1716">
        <v>1236</v>
      </c>
      <c r="CL1716">
        <v>1143</v>
      </c>
      <c r="CM1716">
        <v>103</v>
      </c>
    </row>
    <row r="1717" spans="1:206" ht="19.5">
      <c r="CH1717">
        <v>151</v>
      </c>
      <c r="CI1717" t="s">
        <v>74</v>
      </c>
      <c r="CJ1717" s="8">
        <v>43951</v>
      </c>
      <c r="CK1717">
        <v>1298</v>
      </c>
      <c r="CL1717">
        <v>1201</v>
      </c>
      <c r="CM1717">
        <v>106</v>
      </c>
    </row>
    <row r="1718" spans="1:206" ht="19.5">
      <c r="CH1718">
        <v>152</v>
      </c>
      <c r="CI1718" t="s">
        <v>75</v>
      </c>
      <c r="CJ1718" s="8">
        <v>43914</v>
      </c>
      <c r="CK1718">
        <v>0</v>
      </c>
      <c r="CM1718">
        <v>0</v>
      </c>
    </row>
    <row r="1719" spans="1:206" ht="19.5">
      <c r="CH1719">
        <v>152</v>
      </c>
      <c r="CI1719" t="s">
        <v>75</v>
      </c>
      <c r="CJ1719" s="8">
        <v>43915</v>
      </c>
      <c r="CK1719">
        <v>0</v>
      </c>
      <c r="CM1719">
        <v>0</v>
      </c>
    </row>
    <row r="1720" spans="1:206" ht="19.5">
      <c r="CH1720">
        <v>152</v>
      </c>
      <c r="CI1720" t="s">
        <v>75</v>
      </c>
      <c r="CJ1720" s="8">
        <v>43916</v>
      </c>
      <c r="CK1720">
        <v>0</v>
      </c>
      <c r="CM1720">
        <v>0</v>
      </c>
    </row>
    <row r="1721" spans="1:206" ht="19.5">
      <c r="CH1721">
        <v>152</v>
      </c>
      <c r="CI1721" t="s">
        <v>75</v>
      </c>
      <c r="CJ1721" s="8">
        <v>43917</v>
      </c>
      <c r="CK1721">
        <v>0</v>
      </c>
      <c r="CM1721">
        <v>0</v>
      </c>
    </row>
    <row r="1722" spans="1:206" ht="19.5">
      <c r="CH1722">
        <v>152</v>
      </c>
      <c r="CI1722" t="s">
        <v>75</v>
      </c>
      <c r="CJ1722" s="8">
        <v>43918</v>
      </c>
      <c r="CK1722">
        <v>0</v>
      </c>
      <c r="CM1722">
        <v>0</v>
      </c>
    </row>
    <row r="1723" spans="1:206" ht="19.5">
      <c r="CH1723">
        <v>152</v>
      </c>
      <c r="CI1723" t="s">
        <v>75</v>
      </c>
      <c r="CJ1723" s="8">
        <v>43919</v>
      </c>
      <c r="CK1723">
        <v>0</v>
      </c>
      <c r="CM1723">
        <v>0</v>
      </c>
    </row>
    <row r="1724" spans="1:206" ht="19.5">
      <c r="CH1724">
        <v>152</v>
      </c>
      <c r="CI1724" t="s">
        <v>75</v>
      </c>
      <c r="CJ1724" s="8">
        <v>43920</v>
      </c>
      <c r="CK1724">
        <v>0</v>
      </c>
      <c r="CM1724">
        <v>0</v>
      </c>
    </row>
    <row r="1725" spans="1:206" ht="19.5">
      <c r="CH1725">
        <v>152</v>
      </c>
      <c r="CI1725" t="s">
        <v>75</v>
      </c>
      <c r="CJ1725" s="8">
        <v>43921</v>
      </c>
      <c r="CK1725">
        <v>0</v>
      </c>
      <c r="CM1725">
        <v>0</v>
      </c>
    </row>
    <row r="1726" spans="1:206" ht="19.5">
      <c r="CH1726">
        <v>152</v>
      </c>
      <c r="CI1726" t="s">
        <v>75</v>
      </c>
      <c r="CJ1726" s="8">
        <v>43922</v>
      </c>
      <c r="CK1726">
        <v>0</v>
      </c>
      <c r="CM1726">
        <v>0</v>
      </c>
    </row>
    <row r="1727" spans="1:206" ht="19.5">
      <c r="CH1727">
        <v>152</v>
      </c>
      <c r="CI1727" t="s">
        <v>75</v>
      </c>
      <c r="CJ1727" s="8">
        <v>43923</v>
      </c>
      <c r="CK1727">
        <v>0</v>
      </c>
      <c r="CM1727">
        <v>0</v>
      </c>
    </row>
    <row r="1728" spans="1:206" ht="19.5">
      <c r="CH1728">
        <v>152</v>
      </c>
      <c r="CI1728" t="s">
        <v>75</v>
      </c>
      <c r="CJ1728" s="8">
        <v>43924</v>
      </c>
      <c r="CK1728">
        <v>1</v>
      </c>
      <c r="CM1728">
        <v>0</v>
      </c>
    </row>
    <row r="1729" spans="1:206" ht="19.5">
      <c r="CH1729">
        <v>152</v>
      </c>
      <c r="CI1729" t="s">
        <v>75</v>
      </c>
      <c r="CJ1729" s="8">
        <v>43925</v>
      </c>
      <c r="CK1729">
        <v>4</v>
      </c>
      <c r="CM1729">
        <v>0</v>
      </c>
    </row>
    <row r="1730" spans="1:206" ht="19.5">
      <c r="CH1730">
        <v>152</v>
      </c>
      <c r="CI1730" t="s">
        <v>75</v>
      </c>
      <c r="CJ1730" s="8">
        <v>43926</v>
      </c>
      <c r="CK1730">
        <v>5</v>
      </c>
      <c r="CM1730">
        <v>0</v>
      </c>
    </row>
    <row r="1731" spans="1:206" ht="19.5">
      <c r="CH1731">
        <v>152</v>
      </c>
      <c r="CI1731" t="s">
        <v>75</v>
      </c>
      <c r="CJ1731" s="8">
        <v>43927</v>
      </c>
      <c r="CK1731">
        <v>5</v>
      </c>
      <c r="CM1731">
        <v>0</v>
      </c>
    </row>
    <row r="1732" spans="1:206" ht="19.5">
      <c r="CH1732">
        <v>152</v>
      </c>
      <c r="CI1732" t="s">
        <v>75</v>
      </c>
      <c r="CJ1732" s="8">
        <v>43928</v>
      </c>
      <c r="CK1732">
        <v>12</v>
      </c>
      <c r="CM1732">
        <v>0</v>
      </c>
    </row>
    <row r="1733" spans="1:206" ht="19.5">
      <c r="CH1733">
        <v>152</v>
      </c>
      <c r="CI1733" t="s">
        <v>75</v>
      </c>
      <c r="CJ1733" s="8">
        <v>43929</v>
      </c>
      <c r="CK1733">
        <v>17</v>
      </c>
      <c r="CM1733">
        <v>0</v>
      </c>
    </row>
    <row r="1734" spans="1:206" ht="19.5">
      <c r="CH1734">
        <v>152</v>
      </c>
      <c r="CI1734" t="s">
        <v>75</v>
      </c>
      <c r="CJ1734" s="8">
        <v>43930</v>
      </c>
      <c r="CK1734">
        <v>20</v>
      </c>
      <c r="CM1734">
        <v>0</v>
      </c>
    </row>
    <row r="1735" spans="1:206" ht="19.5">
      <c r="CH1735">
        <v>152</v>
      </c>
      <c r="CI1735" t="s">
        <v>75</v>
      </c>
      <c r="CJ1735" s="8">
        <v>43931</v>
      </c>
      <c r="CK1735">
        <v>32</v>
      </c>
      <c r="CM1735">
        <v>1</v>
      </c>
    </row>
    <row r="1736" spans="1:206" ht="19.5">
      <c r="CH1736">
        <v>152</v>
      </c>
      <c r="CI1736" t="s">
        <v>75</v>
      </c>
      <c r="CJ1736" s="8">
        <v>43932</v>
      </c>
      <c r="CK1736">
        <v>36</v>
      </c>
      <c r="CM1736">
        <v>1</v>
      </c>
    </row>
    <row r="1737" spans="1:206" ht="19.5">
      <c r="CH1737">
        <v>152</v>
      </c>
      <c r="CI1737" t="s">
        <v>75</v>
      </c>
      <c r="CJ1737" s="8">
        <v>43933</v>
      </c>
      <c r="CK1737">
        <v>38</v>
      </c>
      <c r="CM1737">
        <v>1</v>
      </c>
    </row>
    <row r="1738" spans="1:206" ht="19.5">
      <c r="CH1738">
        <v>152</v>
      </c>
      <c r="CI1738" t="s">
        <v>75</v>
      </c>
      <c r="CJ1738" s="8">
        <v>43934</v>
      </c>
      <c r="CK1738">
        <v>42</v>
      </c>
      <c r="CM1738">
        <v>1</v>
      </c>
    </row>
    <row r="1739" spans="1:206" ht="19.5">
      <c r="CH1739">
        <v>152</v>
      </c>
      <c r="CI1739" t="s">
        <v>75</v>
      </c>
      <c r="CJ1739" s="8">
        <v>43935</v>
      </c>
      <c r="CK1739">
        <v>43</v>
      </c>
      <c r="CM1739">
        <v>1</v>
      </c>
    </row>
    <row r="1740" spans="1:206" ht="19.5">
      <c r="CH1740">
        <v>152</v>
      </c>
      <c r="CI1740" t="s">
        <v>75</v>
      </c>
      <c r="CJ1740" s="8">
        <v>43936</v>
      </c>
      <c r="CK1740">
        <v>45</v>
      </c>
      <c r="CM1740">
        <v>1</v>
      </c>
    </row>
    <row r="1741" spans="1:206" ht="19.5">
      <c r="CH1741">
        <v>152</v>
      </c>
      <c r="CI1741" t="s">
        <v>75</v>
      </c>
      <c r="CJ1741" s="8">
        <v>43937</v>
      </c>
      <c r="CK1741">
        <v>50</v>
      </c>
      <c r="CL1741">
        <v>265</v>
      </c>
      <c r="CM1741">
        <v>1</v>
      </c>
    </row>
    <row r="1742" spans="1:206" ht="19.5">
      <c r="CH1742">
        <v>152</v>
      </c>
      <c r="CI1742" t="s">
        <v>75</v>
      </c>
      <c r="CJ1742" s="8">
        <v>43938</v>
      </c>
      <c r="CK1742">
        <v>54</v>
      </c>
      <c r="CL1742">
        <v>286</v>
      </c>
      <c r="CM1742">
        <v>2</v>
      </c>
    </row>
    <row r="1743" spans="1:206" ht="19.5">
      <c r="CH1743">
        <v>152</v>
      </c>
      <c r="CI1743" t="s">
        <v>75</v>
      </c>
      <c r="CJ1743" s="8">
        <v>43939</v>
      </c>
      <c r="CK1743">
        <v>66</v>
      </c>
      <c r="CL1743">
        <v>349</v>
      </c>
      <c r="CM1743">
        <v>2</v>
      </c>
    </row>
    <row r="1744" spans="1:206" ht="19.5">
      <c r="CH1744">
        <v>152</v>
      </c>
      <c r="CI1744" t="s">
        <v>75</v>
      </c>
      <c r="CJ1744" s="8">
        <v>43940</v>
      </c>
      <c r="CK1744">
        <v>78</v>
      </c>
      <c r="CL1744">
        <v>413</v>
      </c>
      <c r="CM1744">
        <v>2</v>
      </c>
    </row>
    <row r="1745" spans="1:206" ht="19.5">
      <c r="CH1745">
        <v>152</v>
      </c>
      <c r="CI1745" t="s">
        <v>75</v>
      </c>
      <c r="CJ1745" s="8">
        <v>43941</v>
      </c>
      <c r="CK1745">
        <v>82</v>
      </c>
      <c r="CL1745">
        <v>434</v>
      </c>
      <c r="CM1745">
        <v>4</v>
      </c>
    </row>
    <row r="1746" spans="1:206" ht="19.5">
      <c r="CH1746">
        <v>152</v>
      </c>
      <c r="CI1746" t="s">
        <v>75</v>
      </c>
      <c r="CJ1746" s="8">
        <v>43942</v>
      </c>
      <c r="CK1746">
        <v>83</v>
      </c>
      <c r="CL1746">
        <v>439</v>
      </c>
      <c r="CM1746">
        <v>4</v>
      </c>
    </row>
    <row r="1747" spans="1:206" ht="19.5">
      <c r="CH1747">
        <v>152</v>
      </c>
      <c r="CI1747" t="s">
        <v>75</v>
      </c>
      <c r="CJ1747" s="8">
        <v>43943</v>
      </c>
      <c r="CK1747">
        <v>84</v>
      </c>
      <c r="CL1747">
        <v>445</v>
      </c>
      <c r="CM1747">
        <v>4</v>
      </c>
    </row>
    <row r="1748" spans="1:206" ht="19.5">
      <c r="CH1748">
        <v>152</v>
      </c>
      <c r="CI1748" t="s">
        <v>75</v>
      </c>
      <c r="CJ1748" s="8">
        <v>43944</v>
      </c>
      <c r="CK1748">
        <v>91</v>
      </c>
      <c r="CL1748">
        <v>482</v>
      </c>
      <c r="CM1748">
        <v>7</v>
      </c>
    </row>
    <row r="1749" spans="1:206" ht="19.5">
      <c r="CH1749">
        <v>152</v>
      </c>
      <c r="CI1749" t="s">
        <v>75</v>
      </c>
      <c r="CJ1749" s="8">
        <v>43945</v>
      </c>
      <c r="CK1749">
        <v>94</v>
      </c>
      <c r="CL1749">
        <v>498</v>
      </c>
      <c r="CM1749">
        <v>8</v>
      </c>
    </row>
    <row r="1750" spans="1:206" ht="19.5">
      <c r="CH1750">
        <v>152</v>
      </c>
      <c r="CI1750" t="s">
        <v>75</v>
      </c>
      <c r="CJ1750" s="8">
        <v>43946</v>
      </c>
      <c r="CK1750">
        <v>99</v>
      </c>
      <c r="CL1750">
        <v>524</v>
      </c>
      <c r="CM1750">
        <v>10</v>
      </c>
    </row>
    <row r="1751" spans="1:206" ht="19.5">
      <c r="CH1751">
        <v>152</v>
      </c>
      <c r="CI1751" t="s">
        <v>75</v>
      </c>
      <c r="CJ1751" s="8">
        <v>43947</v>
      </c>
      <c r="CK1751">
        <v>99</v>
      </c>
      <c r="CL1751">
        <v>524</v>
      </c>
      <c r="CM1751">
        <v>10</v>
      </c>
    </row>
    <row r="1752" spans="1:206" ht="19.5">
      <c r="CH1752">
        <v>152</v>
      </c>
      <c r="CI1752" t="s">
        <v>75</v>
      </c>
      <c r="CJ1752" s="8">
        <v>43948</v>
      </c>
      <c r="CK1752">
        <v>102</v>
      </c>
      <c r="CL1752">
        <v>540</v>
      </c>
      <c r="CM1752">
        <v>10</v>
      </c>
    </row>
    <row r="1753" spans="1:206" ht="19.5">
      <c r="CH1753">
        <v>152</v>
      </c>
      <c r="CI1753" t="s">
        <v>75</v>
      </c>
      <c r="CJ1753" s="8">
        <v>43949</v>
      </c>
      <c r="CK1753">
        <v>109</v>
      </c>
      <c r="CL1753">
        <v>577</v>
      </c>
      <c r="CM1753">
        <v>10</v>
      </c>
    </row>
    <row r="1754" spans="1:206" ht="19.5">
      <c r="CH1754">
        <v>152</v>
      </c>
      <c r="CI1754" t="s">
        <v>75</v>
      </c>
      <c r="CJ1754" s="8">
        <v>43950</v>
      </c>
      <c r="CK1754">
        <v>111</v>
      </c>
      <c r="CL1754">
        <v>588</v>
      </c>
      <c r="CM1754">
        <v>10</v>
      </c>
    </row>
    <row r="1755" spans="1:206" ht="19.5">
      <c r="CH1755">
        <v>152</v>
      </c>
      <c r="CI1755" t="s">
        <v>75</v>
      </c>
      <c r="CJ1755" s="8">
        <v>43951</v>
      </c>
      <c r="CK1755">
        <v>114</v>
      </c>
      <c r="CL1755">
        <v>604</v>
      </c>
      <c r="CM1755">
        <v>11</v>
      </c>
    </row>
    <row r="1756" spans="1:206" ht="19.5">
      <c r="CH1756">
        <v>153</v>
      </c>
      <c r="CI1756" t="s">
        <v>76</v>
      </c>
      <c r="CJ1756" s="8">
        <v>43914</v>
      </c>
      <c r="CK1756">
        <v>1</v>
      </c>
      <c r="CM1756">
        <v>0</v>
      </c>
    </row>
    <row r="1757" spans="1:206" ht="19.5">
      <c r="CH1757">
        <v>153</v>
      </c>
      <c r="CI1757" t="s">
        <v>76</v>
      </c>
      <c r="CJ1757" s="8">
        <v>43915</v>
      </c>
      <c r="CK1757">
        <v>1</v>
      </c>
      <c r="CM1757">
        <v>0</v>
      </c>
    </row>
    <row r="1758" spans="1:206" ht="19.5">
      <c r="CH1758">
        <v>153</v>
      </c>
      <c r="CI1758" t="s">
        <v>76</v>
      </c>
      <c r="CJ1758" s="8">
        <v>43916</v>
      </c>
      <c r="CK1758">
        <v>1</v>
      </c>
      <c r="CM1758">
        <v>0</v>
      </c>
    </row>
    <row r="1759" spans="1:206" ht="19.5">
      <c r="CH1759">
        <v>153</v>
      </c>
      <c r="CI1759" t="s">
        <v>76</v>
      </c>
      <c r="CJ1759" s="8">
        <v>43917</v>
      </c>
      <c r="CK1759">
        <v>1</v>
      </c>
      <c r="CM1759">
        <v>0</v>
      </c>
    </row>
    <row r="1760" spans="1:206" ht="19.5">
      <c r="CH1760">
        <v>153</v>
      </c>
      <c r="CI1760" t="s">
        <v>76</v>
      </c>
      <c r="CJ1760" s="8">
        <v>43918</v>
      </c>
      <c r="CK1760">
        <v>3</v>
      </c>
      <c r="CM1760">
        <v>0</v>
      </c>
    </row>
    <row r="1761" spans="1:206" ht="19.5">
      <c r="CH1761">
        <v>153</v>
      </c>
      <c r="CI1761" t="s">
        <v>76</v>
      </c>
      <c r="CJ1761" s="8">
        <v>43919</v>
      </c>
      <c r="CK1761">
        <v>6</v>
      </c>
      <c r="CM1761">
        <v>0</v>
      </c>
    </row>
    <row r="1762" spans="1:206" ht="19.5">
      <c r="CH1762">
        <v>153</v>
      </c>
      <c r="CI1762" t="s">
        <v>76</v>
      </c>
      <c r="CJ1762" s="8">
        <v>43920</v>
      </c>
      <c r="CK1762">
        <v>6</v>
      </c>
      <c r="CM1762">
        <v>0</v>
      </c>
    </row>
    <row r="1763" spans="1:206" ht="19.5">
      <c r="CH1763">
        <v>153</v>
      </c>
      <c r="CI1763" t="s">
        <v>76</v>
      </c>
      <c r="CJ1763" s="8">
        <v>43921</v>
      </c>
      <c r="CK1763">
        <v>7</v>
      </c>
      <c r="CM1763">
        <v>0</v>
      </c>
    </row>
    <row r="1764" spans="1:206" ht="19.5">
      <c r="CH1764">
        <v>153</v>
      </c>
      <c r="CI1764" t="s">
        <v>76</v>
      </c>
      <c r="CJ1764" s="8">
        <v>43922</v>
      </c>
      <c r="CK1764">
        <v>10</v>
      </c>
      <c r="CM1764">
        <v>0</v>
      </c>
    </row>
    <row r="1765" spans="1:206" ht="19.5">
      <c r="CH1765">
        <v>153</v>
      </c>
      <c r="CI1765" t="s">
        <v>76</v>
      </c>
      <c r="CJ1765" s="8">
        <v>43923</v>
      </c>
      <c r="CK1765">
        <v>11</v>
      </c>
      <c r="CM1765">
        <v>0</v>
      </c>
    </row>
    <row r="1766" spans="1:206" ht="19.5">
      <c r="CH1766">
        <v>153</v>
      </c>
      <c r="CI1766" t="s">
        <v>76</v>
      </c>
      <c r="CJ1766" s="8">
        <v>43924</v>
      </c>
      <c r="CK1766">
        <v>14</v>
      </c>
      <c r="CM1766">
        <v>0</v>
      </c>
    </row>
    <row r="1767" spans="1:206" ht="19.5">
      <c r="CH1767">
        <v>153</v>
      </c>
      <c r="CI1767" t="s">
        <v>76</v>
      </c>
      <c r="CJ1767" s="8">
        <v>43925</v>
      </c>
      <c r="CK1767">
        <v>14</v>
      </c>
      <c r="CM1767">
        <v>0</v>
      </c>
    </row>
    <row r="1768" spans="1:206" ht="19.5">
      <c r="CH1768">
        <v>153</v>
      </c>
      <c r="CI1768" t="s">
        <v>76</v>
      </c>
      <c r="CJ1768" s="8">
        <v>43926</v>
      </c>
      <c r="CK1768">
        <v>15</v>
      </c>
      <c r="CM1768">
        <v>1</v>
      </c>
    </row>
    <row r="1769" spans="1:206" ht="19.5">
      <c r="CH1769">
        <v>153</v>
      </c>
      <c r="CI1769" t="s">
        <v>76</v>
      </c>
      <c r="CJ1769" s="8">
        <v>43927</v>
      </c>
      <c r="CK1769">
        <v>16</v>
      </c>
      <c r="CM1769">
        <v>1</v>
      </c>
    </row>
    <row r="1770" spans="1:206" ht="19.5">
      <c r="CH1770">
        <v>153</v>
      </c>
      <c r="CI1770" t="s">
        <v>76</v>
      </c>
      <c r="CJ1770" s="8">
        <v>43928</v>
      </c>
      <c r="CK1770">
        <v>19</v>
      </c>
      <c r="CM1770">
        <v>1</v>
      </c>
    </row>
    <row r="1771" spans="1:206" ht="19.5">
      <c r="CH1771">
        <v>153</v>
      </c>
      <c r="CI1771" t="s">
        <v>76</v>
      </c>
      <c r="CJ1771" s="8">
        <v>43929</v>
      </c>
      <c r="CK1771">
        <v>25</v>
      </c>
      <c r="CM1771">
        <v>2</v>
      </c>
    </row>
    <row r="1772" spans="1:206" ht="19.5">
      <c r="CH1772">
        <v>153</v>
      </c>
      <c r="CI1772" t="s">
        <v>76</v>
      </c>
      <c r="CJ1772" s="8">
        <v>43930</v>
      </c>
      <c r="CK1772">
        <v>28</v>
      </c>
      <c r="CM1772">
        <v>2</v>
      </c>
    </row>
    <row r="1773" spans="1:206" ht="19.5">
      <c r="CH1773">
        <v>153</v>
      </c>
      <c r="CI1773" t="s">
        <v>76</v>
      </c>
      <c r="CJ1773" s="8">
        <v>43931</v>
      </c>
      <c r="CK1773">
        <v>32</v>
      </c>
      <c r="CM1773">
        <v>3</v>
      </c>
    </row>
    <row r="1774" spans="1:206" ht="19.5">
      <c r="CH1774">
        <v>153</v>
      </c>
      <c r="CI1774" t="s">
        <v>76</v>
      </c>
      <c r="CJ1774" s="8">
        <v>43932</v>
      </c>
      <c r="CK1774">
        <v>38</v>
      </c>
      <c r="CM1774">
        <v>3</v>
      </c>
    </row>
    <row r="1775" spans="1:206" ht="19.5">
      <c r="CH1775">
        <v>153</v>
      </c>
      <c r="CI1775" t="s">
        <v>76</v>
      </c>
      <c r="CJ1775" s="8">
        <v>43933</v>
      </c>
      <c r="CK1775">
        <v>39</v>
      </c>
      <c r="CM1775">
        <v>4</v>
      </c>
    </row>
    <row r="1776" spans="1:206" ht="19.5">
      <c r="CH1776">
        <v>153</v>
      </c>
      <c r="CI1776" t="s">
        <v>76</v>
      </c>
      <c r="CJ1776" s="8">
        <v>43934</v>
      </c>
      <c r="CK1776">
        <v>46</v>
      </c>
      <c r="CM1776">
        <v>4</v>
      </c>
    </row>
    <row r="1777" spans="1:206" ht="19.5">
      <c r="CH1777">
        <v>153</v>
      </c>
      <c r="CI1777" t="s">
        <v>76</v>
      </c>
      <c r="CJ1777" s="8">
        <v>43935</v>
      </c>
      <c r="CK1777">
        <v>47</v>
      </c>
      <c r="CM1777">
        <v>3</v>
      </c>
    </row>
    <row r="1778" spans="1:206" ht="19.5">
      <c r="CH1778">
        <v>153</v>
      </c>
      <c r="CI1778" t="s">
        <v>76</v>
      </c>
      <c r="CJ1778" s="8">
        <v>43936</v>
      </c>
      <c r="CK1778">
        <v>48</v>
      </c>
      <c r="CM1778">
        <v>3</v>
      </c>
    </row>
    <row r="1779" spans="1:206" ht="19.5">
      <c r="CH1779">
        <v>153</v>
      </c>
      <c r="CI1779" t="s">
        <v>76</v>
      </c>
      <c r="CJ1779" s="8">
        <v>43937</v>
      </c>
      <c r="CK1779">
        <v>52</v>
      </c>
      <c r="CL1779">
        <v>240</v>
      </c>
      <c r="CM1779">
        <v>3</v>
      </c>
    </row>
    <row r="1780" spans="1:206" ht="19.5">
      <c r="CH1780">
        <v>153</v>
      </c>
      <c r="CI1780" t="s">
        <v>76</v>
      </c>
      <c r="CJ1780" s="8">
        <v>43938</v>
      </c>
      <c r="CK1780">
        <v>53</v>
      </c>
      <c r="CL1780">
        <v>245</v>
      </c>
      <c r="CM1780">
        <v>3</v>
      </c>
    </row>
    <row r="1781" spans="1:206" ht="19.5">
      <c r="CH1781">
        <v>153</v>
      </c>
      <c r="CI1781" t="s">
        <v>76</v>
      </c>
      <c r="CJ1781" s="8">
        <v>43939</v>
      </c>
      <c r="CK1781">
        <v>54</v>
      </c>
      <c r="CL1781">
        <v>250</v>
      </c>
      <c r="CM1781">
        <v>3</v>
      </c>
    </row>
    <row r="1782" spans="1:206" ht="19.5">
      <c r="CH1782">
        <v>153</v>
      </c>
      <c r="CI1782" t="s">
        <v>76</v>
      </c>
      <c r="CJ1782" s="8">
        <v>43940</v>
      </c>
      <c r="CK1782">
        <v>54</v>
      </c>
      <c r="CL1782">
        <v>250</v>
      </c>
      <c r="CM1782">
        <v>3</v>
      </c>
    </row>
    <row r="1783" spans="1:206" ht="19.5">
      <c r="CH1783">
        <v>153</v>
      </c>
      <c r="CI1783" t="s">
        <v>76</v>
      </c>
      <c r="CJ1783" s="8">
        <v>43941</v>
      </c>
      <c r="CK1783">
        <v>54</v>
      </c>
      <c r="CL1783">
        <v>250</v>
      </c>
      <c r="CM1783">
        <v>3</v>
      </c>
    </row>
    <row r="1784" spans="1:206" ht="19.5">
      <c r="CH1784">
        <v>153</v>
      </c>
      <c r="CI1784" t="s">
        <v>76</v>
      </c>
      <c r="CJ1784" s="8">
        <v>43942</v>
      </c>
      <c r="CK1784">
        <v>56</v>
      </c>
      <c r="CL1784">
        <v>259</v>
      </c>
      <c r="CM1784">
        <v>3</v>
      </c>
    </row>
    <row r="1785" spans="1:206" ht="19.5">
      <c r="CH1785">
        <v>153</v>
      </c>
      <c r="CI1785" t="s">
        <v>76</v>
      </c>
      <c r="CJ1785" s="8">
        <v>43943</v>
      </c>
      <c r="CK1785">
        <v>61</v>
      </c>
      <c r="CL1785">
        <v>282</v>
      </c>
      <c r="CM1785">
        <v>5</v>
      </c>
    </row>
    <row r="1786" spans="1:206" ht="19.5">
      <c r="CH1786">
        <v>153</v>
      </c>
      <c r="CI1786" t="s">
        <v>76</v>
      </c>
      <c r="CJ1786" s="8">
        <v>43944</v>
      </c>
      <c r="CK1786">
        <v>63</v>
      </c>
      <c r="CL1786">
        <v>291</v>
      </c>
      <c r="CM1786">
        <v>5</v>
      </c>
    </row>
    <row r="1787" spans="1:206" ht="19.5">
      <c r="CH1787">
        <v>153</v>
      </c>
      <c r="CI1787" t="s">
        <v>76</v>
      </c>
      <c r="CJ1787" s="8">
        <v>43945</v>
      </c>
      <c r="CK1787">
        <v>68</v>
      </c>
      <c r="CL1787">
        <v>314</v>
      </c>
      <c r="CM1787">
        <v>4</v>
      </c>
    </row>
    <row r="1788" spans="1:206" ht="19.5">
      <c r="CH1788">
        <v>153</v>
      </c>
      <c r="CI1788" t="s">
        <v>76</v>
      </c>
      <c r="CJ1788" s="8">
        <v>43946</v>
      </c>
      <c r="CK1788">
        <v>71</v>
      </c>
      <c r="CL1788">
        <v>328</v>
      </c>
      <c r="CM1788">
        <v>5</v>
      </c>
    </row>
    <row r="1789" spans="1:206" ht="19.5">
      <c r="CH1789">
        <v>153</v>
      </c>
      <c r="CI1789" t="s">
        <v>76</v>
      </c>
      <c r="CJ1789" s="8">
        <v>43947</v>
      </c>
      <c r="CK1789">
        <v>73</v>
      </c>
      <c r="CL1789">
        <v>337</v>
      </c>
      <c r="CM1789">
        <v>5</v>
      </c>
    </row>
    <row r="1790" spans="1:206" ht="19.5">
      <c r="CH1790">
        <v>153</v>
      </c>
      <c r="CI1790" t="s">
        <v>76</v>
      </c>
      <c r="CJ1790" s="8">
        <v>43948</v>
      </c>
      <c r="CK1790">
        <v>81</v>
      </c>
      <c r="CL1790">
        <v>374</v>
      </c>
      <c r="CM1790">
        <v>4</v>
      </c>
    </row>
    <row r="1791" spans="1:206" ht="19.5">
      <c r="CH1791">
        <v>153</v>
      </c>
      <c r="CI1791" t="s">
        <v>76</v>
      </c>
      <c r="CJ1791" s="8">
        <v>43949</v>
      </c>
      <c r="CK1791">
        <v>80</v>
      </c>
      <c r="CL1791">
        <v>370</v>
      </c>
      <c r="CM1791">
        <v>4</v>
      </c>
    </row>
    <row r="1792" spans="1:206" ht="19.5">
      <c r="CH1792">
        <v>153</v>
      </c>
      <c r="CI1792" t="s">
        <v>76</v>
      </c>
      <c r="CJ1792" s="8">
        <v>43950</v>
      </c>
      <c r="CK1792">
        <v>81</v>
      </c>
      <c r="CL1792">
        <v>374</v>
      </c>
      <c r="CM1792">
        <v>4</v>
      </c>
    </row>
    <row r="1793" spans="1:206" ht="19.5">
      <c r="CH1793">
        <v>153</v>
      </c>
      <c r="CI1793" t="s">
        <v>76</v>
      </c>
      <c r="CJ1793" s="8">
        <v>43951</v>
      </c>
      <c r="CK1793">
        <v>87</v>
      </c>
      <c r="CL1793">
        <v>402</v>
      </c>
      <c r="CM1793">
        <v>4</v>
      </c>
    </row>
    <row r="1794" spans="1:206" ht="19.5">
      <c r="CH1794">
        <v>155</v>
      </c>
      <c r="CI1794" t="s">
        <v>77</v>
      </c>
      <c r="CJ1794" s="8">
        <v>43914</v>
      </c>
      <c r="CK1794">
        <v>6</v>
      </c>
      <c r="CM1794">
        <v>0</v>
      </c>
    </row>
    <row r="1795" spans="1:206" ht="19.5">
      <c r="CH1795">
        <v>155</v>
      </c>
      <c r="CI1795" t="s">
        <v>77</v>
      </c>
      <c r="CJ1795" s="8">
        <v>43915</v>
      </c>
      <c r="CK1795">
        <v>6</v>
      </c>
      <c r="CM1795">
        <v>0</v>
      </c>
    </row>
    <row r="1796" spans="1:206" ht="19.5">
      <c r="CH1796">
        <v>155</v>
      </c>
      <c r="CI1796" t="s">
        <v>77</v>
      </c>
      <c r="CJ1796" s="8">
        <v>43916</v>
      </c>
      <c r="CK1796">
        <v>6</v>
      </c>
      <c r="CM1796">
        <v>0</v>
      </c>
    </row>
    <row r="1797" spans="1:206" ht="19.5">
      <c r="CH1797">
        <v>155</v>
      </c>
      <c r="CI1797" t="s">
        <v>77</v>
      </c>
      <c r="CJ1797" s="8">
        <v>43917</v>
      </c>
      <c r="CK1797">
        <v>9</v>
      </c>
      <c r="CM1797">
        <v>0</v>
      </c>
    </row>
    <row r="1798" spans="1:206" ht="19.5">
      <c r="CH1798">
        <v>155</v>
      </c>
      <c r="CI1798" t="s">
        <v>77</v>
      </c>
      <c r="CJ1798" s="8">
        <v>43918</v>
      </c>
      <c r="CK1798">
        <v>9</v>
      </c>
      <c r="CM1798">
        <v>0</v>
      </c>
    </row>
    <row r="1799" spans="1:206" ht="19.5">
      <c r="CH1799">
        <v>155</v>
      </c>
      <c r="CI1799" t="s">
        <v>77</v>
      </c>
      <c r="CJ1799" s="8">
        <v>43919</v>
      </c>
      <c r="CK1799">
        <v>9</v>
      </c>
      <c r="CM1799">
        <v>0</v>
      </c>
    </row>
    <row r="1800" spans="1:206" ht="19.5">
      <c r="CH1800">
        <v>155</v>
      </c>
      <c r="CI1800" t="s">
        <v>77</v>
      </c>
      <c r="CJ1800" s="8">
        <v>43920</v>
      </c>
      <c r="CK1800">
        <v>12</v>
      </c>
      <c r="CM1800">
        <v>0</v>
      </c>
    </row>
    <row r="1801" spans="1:206" ht="19.5">
      <c r="CH1801">
        <v>155</v>
      </c>
      <c r="CI1801" t="s">
        <v>77</v>
      </c>
      <c r="CJ1801" s="8">
        <v>43921</v>
      </c>
      <c r="CK1801">
        <v>20</v>
      </c>
      <c r="CM1801">
        <v>0</v>
      </c>
    </row>
    <row r="1802" spans="1:206" ht="19.5">
      <c r="CH1802">
        <v>155</v>
      </c>
      <c r="CI1802" t="s">
        <v>77</v>
      </c>
      <c r="CJ1802" s="8">
        <v>43922</v>
      </c>
      <c r="CK1802">
        <v>23</v>
      </c>
      <c r="CM1802">
        <v>0</v>
      </c>
    </row>
    <row r="1803" spans="1:206" ht="19.5">
      <c r="CH1803">
        <v>155</v>
      </c>
      <c r="CI1803" t="s">
        <v>77</v>
      </c>
      <c r="CJ1803" s="8">
        <v>43923</v>
      </c>
      <c r="CK1803">
        <v>24</v>
      </c>
      <c r="CM1803">
        <v>1</v>
      </c>
    </row>
    <row r="1804" spans="1:206" ht="19.5">
      <c r="CH1804">
        <v>155</v>
      </c>
      <c r="CI1804" t="s">
        <v>77</v>
      </c>
      <c r="CJ1804" s="8">
        <v>43924</v>
      </c>
      <c r="CK1804">
        <v>36</v>
      </c>
      <c r="CM1804">
        <v>1</v>
      </c>
    </row>
    <row r="1805" spans="1:206" ht="19.5">
      <c r="CH1805">
        <v>155</v>
      </c>
      <c r="CI1805" t="s">
        <v>77</v>
      </c>
      <c r="CJ1805" s="8">
        <v>43925</v>
      </c>
      <c r="CK1805">
        <v>36</v>
      </c>
      <c r="CM1805">
        <v>1</v>
      </c>
    </row>
    <row r="1806" spans="1:206" ht="19.5">
      <c r="CH1806">
        <v>155</v>
      </c>
      <c r="CI1806" t="s">
        <v>77</v>
      </c>
      <c r="CJ1806" s="8">
        <v>43926</v>
      </c>
      <c r="CK1806">
        <v>36</v>
      </c>
      <c r="CM1806">
        <v>1</v>
      </c>
    </row>
    <row r="1807" spans="1:206" ht="19.5">
      <c r="CH1807">
        <v>155</v>
      </c>
      <c r="CI1807" t="s">
        <v>77</v>
      </c>
      <c r="CJ1807" s="8">
        <v>43927</v>
      </c>
      <c r="CK1807">
        <v>43</v>
      </c>
      <c r="CM1807">
        <v>1</v>
      </c>
    </row>
    <row r="1808" spans="1:206" ht="19.5">
      <c r="CH1808">
        <v>155</v>
      </c>
      <c r="CI1808" t="s">
        <v>77</v>
      </c>
      <c r="CJ1808" s="8">
        <v>43928</v>
      </c>
      <c r="CK1808">
        <v>51</v>
      </c>
      <c r="CM1808">
        <v>2</v>
      </c>
    </row>
    <row r="1809" spans="1:206" ht="19.5">
      <c r="CH1809">
        <v>155</v>
      </c>
      <c r="CI1809" t="s">
        <v>77</v>
      </c>
      <c r="CJ1809" s="8">
        <v>43929</v>
      </c>
      <c r="CK1809">
        <v>66</v>
      </c>
      <c r="CM1809">
        <v>2</v>
      </c>
    </row>
    <row r="1810" spans="1:206" ht="19.5">
      <c r="CH1810">
        <v>155</v>
      </c>
      <c r="CI1810" t="s">
        <v>77</v>
      </c>
      <c r="CJ1810" s="8">
        <v>43930</v>
      </c>
      <c r="CK1810">
        <v>69</v>
      </c>
      <c r="CM1810">
        <v>2</v>
      </c>
    </row>
    <row r="1811" spans="1:206" ht="19.5">
      <c r="CH1811">
        <v>155</v>
      </c>
      <c r="CI1811" t="s">
        <v>77</v>
      </c>
      <c r="CJ1811" s="8">
        <v>43931</v>
      </c>
      <c r="CK1811">
        <v>75</v>
      </c>
      <c r="CM1811">
        <v>3</v>
      </c>
    </row>
    <row r="1812" spans="1:206" ht="19.5">
      <c r="CH1812">
        <v>155</v>
      </c>
      <c r="CI1812" t="s">
        <v>77</v>
      </c>
      <c r="CJ1812" s="8">
        <v>43932</v>
      </c>
      <c r="CK1812">
        <v>88</v>
      </c>
      <c r="CM1812">
        <v>6</v>
      </c>
    </row>
    <row r="1813" spans="1:206" ht="19.5">
      <c r="CH1813">
        <v>155</v>
      </c>
      <c r="CI1813" t="s">
        <v>77</v>
      </c>
      <c r="CJ1813" s="8">
        <v>43933</v>
      </c>
      <c r="CK1813">
        <v>92</v>
      </c>
      <c r="CM1813">
        <v>8</v>
      </c>
    </row>
    <row r="1814" spans="1:206" ht="19.5">
      <c r="CH1814">
        <v>155</v>
      </c>
      <c r="CI1814" t="s">
        <v>77</v>
      </c>
      <c r="CJ1814" s="8">
        <v>43934</v>
      </c>
      <c r="CK1814">
        <v>114</v>
      </c>
      <c r="CM1814">
        <v>12</v>
      </c>
    </row>
    <row r="1815" spans="1:206" ht="19.5">
      <c r="CH1815">
        <v>155</v>
      </c>
      <c r="CI1815" t="s">
        <v>77</v>
      </c>
      <c r="CJ1815" s="8">
        <v>43935</v>
      </c>
      <c r="CK1815">
        <v>121</v>
      </c>
      <c r="CM1815">
        <v>12</v>
      </c>
    </row>
    <row r="1816" spans="1:206" ht="19.5">
      <c r="CH1816">
        <v>155</v>
      </c>
      <c r="CI1816" t="s">
        <v>77</v>
      </c>
      <c r="CJ1816" s="8">
        <v>43936</v>
      </c>
      <c r="CK1816">
        <v>142</v>
      </c>
      <c r="CM1816">
        <v>17</v>
      </c>
    </row>
    <row r="1817" spans="1:206" ht="19.5">
      <c r="CH1817">
        <v>155</v>
      </c>
      <c r="CI1817" t="s">
        <v>77</v>
      </c>
      <c r="CJ1817" s="8">
        <v>43937</v>
      </c>
      <c r="CK1817">
        <v>154</v>
      </c>
      <c r="CL1817">
        <v>245</v>
      </c>
      <c r="CM1817">
        <v>18</v>
      </c>
    </row>
    <row r="1818" spans="1:206" ht="19.5">
      <c r="CH1818">
        <v>155</v>
      </c>
      <c r="CI1818" t="s">
        <v>77</v>
      </c>
      <c r="CJ1818" s="8">
        <v>43938</v>
      </c>
      <c r="CK1818">
        <v>162</v>
      </c>
      <c r="CL1818">
        <v>257</v>
      </c>
      <c r="CM1818">
        <v>19</v>
      </c>
    </row>
    <row r="1819" spans="1:206" ht="19.5">
      <c r="CH1819">
        <v>155</v>
      </c>
      <c r="CI1819" t="s">
        <v>77</v>
      </c>
      <c r="CJ1819" s="8">
        <v>43939</v>
      </c>
      <c r="CK1819">
        <v>168</v>
      </c>
      <c r="CL1819">
        <v>267</v>
      </c>
      <c r="CM1819">
        <v>19</v>
      </c>
    </row>
    <row r="1820" spans="1:206" ht="19.5">
      <c r="CH1820">
        <v>155</v>
      </c>
      <c r="CI1820" t="s">
        <v>77</v>
      </c>
      <c r="CJ1820" s="8">
        <v>43940</v>
      </c>
      <c r="CK1820">
        <v>174</v>
      </c>
      <c r="CL1820">
        <v>276</v>
      </c>
      <c r="CM1820">
        <v>19</v>
      </c>
    </row>
    <row r="1821" spans="1:206" ht="19.5">
      <c r="CH1821">
        <v>155</v>
      </c>
      <c r="CI1821" t="s">
        <v>77</v>
      </c>
      <c r="CJ1821" s="8">
        <v>43941</v>
      </c>
      <c r="CK1821">
        <v>192</v>
      </c>
      <c r="CL1821">
        <v>305</v>
      </c>
      <c r="CM1821">
        <v>20</v>
      </c>
    </row>
    <row r="1822" spans="1:206" ht="19.5">
      <c r="CH1822">
        <v>155</v>
      </c>
      <c r="CI1822" t="s">
        <v>77</v>
      </c>
      <c r="CJ1822" s="8">
        <v>43942</v>
      </c>
      <c r="CK1822">
        <v>197</v>
      </c>
      <c r="CL1822">
        <v>313</v>
      </c>
      <c r="CM1822">
        <v>23</v>
      </c>
    </row>
    <row r="1823" spans="1:206" ht="19.5">
      <c r="CH1823">
        <v>155</v>
      </c>
      <c r="CI1823" t="s">
        <v>77</v>
      </c>
      <c r="CJ1823" s="8">
        <v>43943</v>
      </c>
      <c r="CK1823">
        <v>216</v>
      </c>
      <c r="CL1823">
        <v>343</v>
      </c>
      <c r="CM1823">
        <v>27</v>
      </c>
    </row>
    <row r="1824" spans="1:206" ht="19.5">
      <c r="CH1824">
        <v>155</v>
      </c>
      <c r="CI1824" t="s">
        <v>77</v>
      </c>
      <c r="CJ1824" s="8">
        <v>43944</v>
      </c>
      <c r="CK1824">
        <v>222</v>
      </c>
      <c r="CL1824">
        <v>353</v>
      </c>
      <c r="CM1824">
        <v>30</v>
      </c>
    </row>
    <row r="1825" spans="1:206" ht="19.5">
      <c r="CH1825">
        <v>155</v>
      </c>
      <c r="CI1825" t="s">
        <v>77</v>
      </c>
      <c r="CJ1825" s="8">
        <v>43945</v>
      </c>
      <c r="CK1825">
        <v>238</v>
      </c>
      <c r="CL1825">
        <v>378</v>
      </c>
      <c r="CM1825">
        <v>33</v>
      </c>
    </row>
    <row r="1826" spans="1:206" ht="19.5">
      <c r="CH1826">
        <v>155</v>
      </c>
      <c r="CI1826" t="s">
        <v>77</v>
      </c>
      <c r="CJ1826" s="8">
        <v>43946</v>
      </c>
      <c r="CK1826">
        <v>249</v>
      </c>
      <c r="CL1826">
        <v>396</v>
      </c>
      <c r="CM1826">
        <v>38</v>
      </c>
    </row>
    <row r="1827" spans="1:206" ht="19.5">
      <c r="CH1827">
        <v>155</v>
      </c>
      <c r="CI1827" t="s">
        <v>77</v>
      </c>
      <c r="CJ1827" s="8">
        <v>43947</v>
      </c>
      <c r="CK1827">
        <v>267</v>
      </c>
      <c r="CL1827">
        <v>424</v>
      </c>
      <c r="CM1827">
        <v>41</v>
      </c>
    </row>
    <row r="1828" spans="1:206" ht="19.5">
      <c r="CH1828">
        <v>155</v>
      </c>
      <c r="CI1828" t="s">
        <v>77</v>
      </c>
      <c r="CJ1828" s="8">
        <v>43948</v>
      </c>
      <c r="CK1828">
        <v>284</v>
      </c>
      <c r="CL1828">
        <v>451</v>
      </c>
      <c r="CM1828">
        <v>47</v>
      </c>
    </row>
    <row r="1829" spans="1:206" ht="19.5">
      <c r="CH1829">
        <v>155</v>
      </c>
      <c r="CI1829" t="s">
        <v>77</v>
      </c>
      <c r="CJ1829" s="8">
        <v>43949</v>
      </c>
      <c r="CK1829">
        <v>285</v>
      </c>
      <c r="CL1829">
        <v>453</v>
      </c>
      <c r="CM1829">
        <v>48</v>
      </c>
    </row>
    <row r="1830" spans="1:206" ht="19.5">
      <c r="CH1830">
        <v>155</v>
      </c>
      <c r="CI1830" t="s">
        <v>77</v>
      </c>
      <c r="CJ1830" s="8">
        <v>43950</v>
      </c>
      <c r="CK1830">
        <v>300</v>
      </c>
      <c r="CL1830">
        <v>477</v>
      </c>
      <c r="CM1830">
        <v>49</v>
      </c>
    </row>
    <row r="1831" spans="1:206" ht="19.5">
      <c r="CH1831">
        <v>155</v>
      </c>
      <c r="CI1831" t="s">
        <v>77</v>
      </c>
      <c r="CJ1831" s="8">
        <v>43951</v>
      </c>
      <c r="CK1831">
        <v>311</v>
      </c>
      <c r="CL1831">
        <v>494</v>
      </c>
      <c r="CM1831">
        <v>50</v>
      </c>
    </row>
    <row r="1832" spans="1:206" ht="19.5">
      <c r="CH1832">
        <v>159</v>
      </c>
      <c r="CI1832" t="s">
        <v>78</v>
      </c>
      <c r="CJ1832" s="8">
        <v>43914</v>
      </c>
      <c r="CK1832">
        <v>2</v>
      </c>
      <c r="CM1832">
        <v>0</v>
      </c>
    </row>
    <row r="1833" spans="1:206" ht="19.5">
      <c r="CH1833">
        <v>159</v>
      </c>
      <c r="CI1833" t="s">
        <v>78</v>
      </c>
      <c r="CJ1833" s="8">
        <v>43915</v>
      </c>
      <c r="CK1833">
        <v>3</v>
      </c>
      <c r="CM1833">
        <v>0</v>
      </c>
    </row>
    <row r="1834" spans="1:206" ht="19.5">
      <c r="CH1834">
        <v>159</v>
      </c>
      <c r="CI1834" t="s">
        <v>78</v>
      </c>
      <c r="CJ1834" s="8">
        <v>43916</v>
      </c>
      <c r="CK1834">
        <v>3</v>
      </c>
      <c r="CM1834">
        <v>0</v>
      </c>
    </row>
    <row r="1835" spans="1:206" ht="19.5">
      <c r="CH1835">
        <v>159</v>
      </c>
      <c r="CI1835" t="s">
        <v>78</v>
      </c>
      <c r="CJ1835" s="8">
        <v>43917</v>
      </c>
      <c r="CK1835">
        <v>6</v>
      </c>
      <c r="CM1835">
        <v>0</v>
      </c>
    </row>
    <row r="1836" spans="1:206" ht="19.5">
      <c r="CH1836">
        <v>159</v>
      </c>
      <c r="CI1836" t="s">
        <v>78</v>
      </c>
      <c r="CJ1836" s="8">
        <v>43918</v>
      </c>
      <c r="CK1836">
        <v>8</v>
      </c>
      <c r="CM1836">
        <v>0</v>
      </c>
    </row>
    <row r="1837" spans="1:206" ht="19.5">
      <c r="CH1837">
        <v>159</v>
      </c>
      <c r="CI1837" t="s">
        <v>78</v>
      </c>
      <c r="CJ1837" s="8">
        <v>43919</v>
      </c>
      <c r="CK1837">
        <v>10</v>
      </c>
      <c r="CM1837">
        <v>0</v>
      </c>
    </row>
    <row r="1838" spans="1:206" ht="19.5">
      <c r="CH1838">
        <v>159</v>
      </c>
      <c r="CI1838" t="s">
        <v>78</v>
      </c>
      <c r="CJ1838" s="8">
        <v>43920</v>
      </c>
      <c r="CK1838">
        <v>12</v>
      </c>
      <c r="CM1838">
        <v>0</v>
      </c>
    </row>
    <row r="1839" spans="1:206" ht="19.5">
      <c r="CH1839">
        <v>159</v>
      </c>
      <c r="CI1839" t="s">
        <v>78</v>
      </c>
      <c r="CJ1839" s="8">
        <v>43921</v>
      </c>
      <c r="CK1839">
        <v>15</v>
      </c>
      <c r="CM1839">
        <v>0</v>
      </c>
    </row>
    <row r="1840" spans="1:206" ht="19.5">
      <c r="CH1840">
        <v>159</v>
      </c>
      <c r="CI1840" t="s">
        <v>78</v>
      </c>
      <c r="CJ1840" s="8">
        <v>43922</v>
      </c>
      <c r="CK1840">
        <v>18</v>
      </c>
      <c r="CM1840">
        <v>1</v>
      </c>
    </row>
    <row r="1841" spans="1:206" ht="19.5">
      <c r="CH1841">
        <v>159</v>
      </c>
      <c r="CI1841" t="s">
        <v>78</v>
      </c>
      <c r="CJ1841" s="8">
        <v>43923</v>
      </c>
      <c r="CK1841">
        <v>22</v>
      </c>
      <c r="CM1841">
        <v>1</v>
      </c>
    </row>
    <row r="1842" spans="1:206" ht="19.5">
      <c r="CH1842">
        <v>159</v>
      </c>
      <c r="CI1842" t="s">
        <v>78</v>
      </c>
      <c r="CJ1842" s="8">
        <v>43924</v>
      </c>
      <c r="CK1842">
        <v>25</v>
      </c>
      <c r="CM1842">
        <v>1</v>
      </c>
    </row>
    <row r="1843" spans="1:206" ht="19.5">
      <c r="CH1843">
        <v>159</v>
      </c>
      <c r="CI1843" t="s">
        <v>78</v>
      </c>
      <c r="CJ1843" s="8">
        <v>43925</v>
      </c>
      <c r="CK1843">
        <v>24</v>
      </c>
      <c r="CM1843">
        <v>1</v>
      </c>
    </row>
    <row r="1844" spans="1:206" ht="19.5">
      <c r="CH1844">
        <v>159</v>
      </c>
      <c r="CI1844" t="s">
        <v>78</v>
      </c>
      <c r="CJ1844" s="8">
        <v>43926</v>
      </c>
      <c r="CK1844">
        <v>26</v>
      </c>
      <c r="CM1844">
        <v>1</v>
      </c>
    </row>
    <row r="1845" spans="1:206" ht="19.5">
      <c r="CH1845">
        <v>159</v>
      </c>
      <c r="CI1845" t="s">
        <v>78</v>
      </c>
      <c r="CJ1845" s="8">
        <v>43927</v>
      </c>
      <c r="CK1845">
        <v>30</v>
      </c>
      <c r="CM1845">
        <v>2</v>
      </c>
    </row>
    <row r="1846" spans="1:206" ht="19.5">
      <c r="CH1846">
        <v>159</v>
      </c>
      <c r="CI1846" t="s">
        <v>78</v>
      </c>
      <c r="CJ1846" s="8">
        <v>43928</v>
      </c>
      <c r="CK1846">
        <v>35</v>
      </c>
      <c r="CM1846">
        <v>2</v>
      </c>
    </row>
    <row r="1847" spans="1:206" ht="19.5">
      <c r="CH1847">
        <v>159</v>
      </c>
      <c r="CI1847" t="s">
        <v>78</v>
      </c>
      <c r="CJ1847" s="8">
        <v>43929</v>
      </c>
      <c r="CK1847">
        <v>35</v>
      </c>
      <c r="CM1847">
        <v>3</v>
      </c>
    </row>
    <row r="1848" spans="1:206" ht="19.5">
      <c r="CH1848">
        <v>159</v>
      </c>
      <c r="CI1848" t="s">
        <v>78</v>
      </c>
      <c r="CJ1848" s="8">
        <v>43930</v>
      </c>
      <c r="CK1848">
        <v>40</v>
      </c>
      <c r="CM1848">
        <v>3</v>
      </c>
    </row>
    <row r="1849" spans="1:206" ht="19.5">
      <c r="CH1849">
        <v>159</v>
      </c>
      <c r="CI1849" t="s">
        <v>78</v>
      </c>
      <c r="CJ1849" s="8">
        <v>43931</v>
      </c>
      <c r="CK1849">
        <v>44</v>
      </c>
      <c r="CM1849">
        <v>3</v>
      </c>
    </row>
    <row r="1850" spans="1:206" ht="19.5">
      <c r="CH1850">
        <v>159</v>
      </c>
      <c r="CI1850" t="s">
        <v>78</v>
      </c>
      <c r="CJ1850" s="8">
        <v>43932</v>
      </c>
      <c r="CK1850">
        <v>52</v>
      </c>
      <c r="CM1850">
        <v>3</v>
      </c>
    </row>
    <row r="1851" spans="1:206" ht="19.5">
      <c r="CH1851">
        <v>159</v>
      </c>
      <c r="CI1851" t="s">
        <v>78</v>
      </c>
      <c r="CJ1851" s="8">
        <v>43933</v>
      </c>
      <c r="CK1851">
        <v>59</v>
      </c>
      <c r="CM1851">
        <v>3</v>
      </c>
    </row>
    <row r="1852" spans="1:206" ht="19.5">
      <c r="CH1852">
        <v>159</v>
      </c>
      <c r="CI1852" t="s">
        <v>78</v>
      </c>
      <c r="CJ1852" s="8">
        <v>43934</v>
      </c>
      <c r="CK1852">
        <v>69</v>
      </c>
      <c r="CM1852">
        <v>3</v>
      </c>
    </row>
    <row r="1853" spans="1:206" ht="19.5">
      <c r="CH1853">
        <v>159</v>
      </c>
      <c r="CI1853" t="s">
        <v>78</v>
      </c>
      <c r="CJ1853" s="8">
        <v>43935</v>
      </c>
      <c r="CK1853">
        <v>71</v>
      </c>
      <c r="CM1853">
        <v>3</v>
      </c>
    </row>
    <row r="1854" spans="1:206" ht="19.5">
      <c r="CH1854">
        <v>159</v>
      </c>
      <c r="CI1854" t="s">
        <v>78</v>
      </c>
      <c r="CJ1854" s="8">
        <v>43936</v>
      </c>
      <c r="CK1854">
        <v>71</v>
      </c>
      <c r="CM1854">
        <v>3</v>
      </c>
    </row>
    <row r="1855" spans="1:206" ht="19.5">
      <c r="CH1855">
        <v>159</v>
      </c>
      <c r="CI1855" t="s">
        <v>78</v>
      </c>
      <c r="CJ1855" s="8">
        <v>43937</v>
      </c>
      <c r="CK1855">
        <v>77</v>
      </c>
      <c r="CL1855">
        <v>295</v>
      </c>
      <c r="CM1855">
        <v>3</v>
      </c>
    </row>
    <row r="1856" spans="1:206" ht="19.5">
      <c r="CH1856">
        <v>159</v>
      </c>
      <c r="CI1856" t="s">
        <v>78</v>
      </c>
      <c r="CJ1856" s="8">
        <v>43938</v>
      </c>
      <c r="CK1856">
        <v>83</v>
      </c>
      <c r="CL1856">
        <v>318</v>
      </c>
      <c r="CM1856">
        <v>3</v>
      </c>
    </row>
    <row r="1857" spans="1:206" ht="19.5">
      <c r="CH1857">
        <v>159</v>
      </c>
      <c r="CI1857" t="s">
        <v>78</v>
      </c>
      <c r="CJ1857" s="8">
        <v>43939</v>
      </c>
      <c r="CK1857">
        <v>85</v>
      </c>
      <c r="CL1857">
        <v>326</v>
      </c>
      <c r="CM1857">
        <v>3</v>
      </c>
    </row>
    <row r="1858" spans="1:206" ht="19.5">
      <c r="CH1858">
        <v>159</v>
      </c>
      <c r="CI1858" t="s">
        <v>78</v>
      </c>
      <c r="CJ1858" s="8">
        <v>43940</v>
      </c>
      <c r="CK1858">
        <v>86</v>
      </c>
      <c r="CL1858">
        <v>330</v>
      </c>
      <c r="CM1858">
        <v>3</v>
      </c>
    </row>
    <row r="1859" spans="1:206" ht="19.5">
      <c r="CH1859">
        <v>159</v>
      </c>
      <c r="CI1859" t="s">
        <v>78</v>
      </c>
      <c r="CJ1859" s="8">
        <v>43941</v>
      </c>
      <c r="CK1859">
        <v>94</v>
      </c>
      <c r="CL1859">
        <v>360</v>
      </c>
      <c r="CM1859">
        <v>5</v>
      </c>
    </row>
    <row r="1860" spans="1:206" ht="19.5">
      <c r="CH1860">
        <v>159</v>
      </c>
      <c r="CI1860" t="s">
        <v>78</v>
      </c>
      <c r="CJ1860" s="8">
        <v>43942</v>
      </c>
      <c r="CK1860">
        <v>98</v>
      </c>
      <c r="CL1860">
        <v>376</v>
      </c>
      <c r="CM1860">
        <v>5</v>
      </c>
    </row>
    <row r="1861" spans="1:206" ht="19.5">
      <c r="CH1861">
        <v>159</v>
      </c>
      <c r="CI1861" t="s">
        <v>78</v>
      </c>
      <c r="CJ1861" s="8">
        <v>43943</v>
      </c>
      <c r="CK1861">
        <v>104</v>
      </c>
      <c r="CL1861">
        <v>399</v>
      </c>
      <c r="CM1861">
        <v>5</v>
      </c>
    </row>
    <row r="1862" spans="1:206" ht="19.5">
      <c r="CH1862">
        <v>159</v>
      </c>
      <c r="CI1862" t="s">
        <v>78</v>
      </c>
      <c r="CJ1862" s="8">
        <v>43944</v>
      </c>
      <c r="CK1862">
        <v>107</v>
      </c>
      <c r="CL1862">
        <v>410</v>
      </c>
      <c r="CM1862">
        <v>5</v>
      </c>
    </row>
    <row r="1863" spans="1:206" ht="19.5">
      <c r="CH1863">
        <v>159</v>
      </c>
      <c r="CI1863" t="s">
        <v>78</v>
      </c>
      <c r="CJ1863" s="8">
        <v>43945</v>
      </c>
      <c r="CK1863">
        <v>117</v>
      </c>
      <c r="CL1863">
        <v>449</v>
      </c>
      <c r="CM1863">
        <v>5</v>
      </c>
    </row>
    <row r="1864" spans="1:206" ht="19.5">
      <c r="CH1864">
        <v>159</v>
      </c>
      <c r="CI1864" t="s">
        <v>78</v>
      </c>
      <c r="CJ1864" s="8">
        <v>43946</v>
      </c>
      <c r="CK1864">
        <v>117</v>
      </c>
      <c r="CL1864">
        <v>449</v>
      </c>
      <c r="CM1864">
        <v>5</v>
      </c>
    </row>
    <row r="1865" spans="1:206" ht="19.5">
      <c r="CH1865">
        <v>159</v>
      </c>
      <c r="CI1865" t="s">
        <v>78</v>
      </c>
      <c r="CJ1865" s="8">
        <v>43947</v>
      </c>
      <c r="CK1865">
        <v>125</v>
      </c>
      <c r="CL1865">
        <v>479</v>
      </c>
      <c r="CM1865">
        <v>5</v>
      </c>
    </row>
    <row r="1866" spans="1:206" ht="19.5">
      <c r="CH1866">
        <v>159</v>
      </c>
      <c r="CI1866" t="s">
        <v>78</v>
      </c>
      <c r="CJ1866" s="8">
        <v>43948</v>
      </c>
      <c r="CK1866">
        <v>134</v>
      </c>
      <c r="CL1866">
        <v>514</v>
      </c>
      <c r="CM1866">
        <v>5</v>
      </c>
    </row>
    <row r="1867" spans="1:206" ht="19.5">
      <c r="CH1867">
        <v>159</v>
      </c>
      <c r="CI1867" t="s">
        <v>78</v>
      </c>
      <c r="CJ1867" s="8">
        <v>43949</v>
      </c>
      <c r="CK1867">
        <v>137</v>
      </c>
      <c r="CL1867">
        <v>525</v>
      </c>
      <c r="CM1867">
        <v>5</v>
      </c>
    </row>
    <row r="1868" spans="1:206" ht="19.5">
      <c r="CH1868">
        <v>159</v>
      </c>
      <c r="CI1868" t="s">
        <v>78</v>
      </c>
      <c r="CJ1868" s="8">
        <v>43950</v>
      </c>
      <c r="CK1868">
        <v>138</v>
      </c>
      <c r="CL1868">
        <v>529</v>
      </c>
      <c r="CM1868">
        <v>7</v>
      </c>
    </row>
    <row r="1869" spans="1:206" ht="19.5">
      <c r="CH1869">
        <v>159</v>
      </c>
      <c r="CI1869" t="s">
        <v>78</v>
      </c>
      <c r="CJ1869" s="8">
        <v>43951</v>
      </c>
      <c r="CK1869">
        <v>145</v>
      </c>
      <c r="CL1869">
        <v>556</v>
      </c>
      <c r="CM1869">
        <v>8</v>
      </c>
    </row>
    <row r="1870" spans="1:206" ht="19.5">
      <c r="CH1870">
        <v>162</v>
      </c>
      <c r="CI1870" t="s">
        <v>79</v>
      </c>
      <c r="CJ1870" s="8">
        <v>43914</v>
      </c>
      <c r="CK1870">
        <v>0</v>
      </c>
      <c r="CM1870">
        <v>0</v>
      </c>
    </row>
    <row r="1871" spans="1:206" ht="19.5">
      <c r="CH1871">
        <v>162</v>
      </c>
      <c r="CI1871" t="s">
        <v>79</v>
      </c>
      <c r="CJ1871" s="8">
        <v>43915</v>
      </c>
      <c r="CK1871">
        <v>0</v>
      </c>
      <c r="CM1871">
        <v>0</v>
      </c>
    </row>
    <row r="1872" spans="1:206" ht="19.5">
      <c r="CH1872">
        <v>162</v>
      </c>
      <c r="CI1872" t="s">
        <v>79</v>
      </c>
      <c r="CJ1872" s="8">
        <v>43916</v>
      </c>
      <c r="CK1872">
        <v>0</v>
      </c>
      <c r="CM1872">
        <v>0</v>
      </c>
    </row>
    <row r="1873" spans="1:206" ht="19.5">
      <c r="CH1873">
        <v>162</v>
      </c>
      <c r="CI1873" t="s">
        <v>79</v>
      </c>
      <c r="CJ1873" s="8">
        <v>43917</v>
      </c>
      <c r="CK1873">
        <v>0</v>
      </c>
      <c r="CM1873">
        <v>0</v>
      </c>
    </row>
    <row r="1874" spans="1:206" ht="19.5">
      <c r="CH1874">
        <v>162</v>
      </c>
      <c r="CI1874" t="s">
        <v>79</v>
      </c>
      <c r="CJ1874" s="8">
        <v>43918</v>
      </c>
      <c r="CK1874">
        <v>0</v>
      </c>
      <c r="CM1874">
        <v>0</v>
      </c>
    </row>
    <row r="1875" spans="1:206" ht="19.5">
      <c r="CH1875">
        <v>162</v>
      </c>
      <c r="CI1875" t="s">
        <v>79</v>
      </c>
      <c r="CJ1875" s="8">
        <v>43919</v>
      </c>
      <c r="CK1875">
        <v>1</v>
      </c>
      <c r="CM1875">
        <v>0</v>
      </c>
    </row>
    <row r="1876" spans="1:206" ht="19.5">
      <c r="CH1876">
        <v>162</v>
      </c>
      <c r="CI1876" t="s">
        <v>79</v>
      </c>
      <c r="CJ1876" s="8">
        <v>43920</v>
      </c>
      <c r="CK1876">
        <v>2</v>
      </c>
      <c r="CM1876">
        <v>0</v>
      </c>
    </row>
    <row r="1877" spans="1:206" ht="19.5">
      <c r="CH1877">
        <v>162</v>
      </c>
      <c r="CI1877" t="s">
        <v>79</v>
      </c>
      <c r="CJ1877" s="8">
        <v>43921</v>
      </c>
      <c r="CK1877">
        <v>2</v>
      </c>
      <c r="CM1877">
        <v>0</v>
      </c>
    </row>
    <row r="1878" spans="1:206" ht="19.5">
      <c r="CH1878">
        <v>162</v>
      </c>
      <c r="CI1878" t="s">
        <v>79</v>
      </c>
      <c r="CJ1878" s="8">
        <v>43922</v>
      </c>
      <c r="CK1878">
        <v>2</v>
      </c>
      <c r="CM1878">
        <v>0</v>
      </c>
    </row>
    <row r="1879" spans="1:206" ht="19.5">
      <c r="CH1879">
        <v>162</v>
      </c>
      <c r="CI1879" t="s">
        <v>79</v>
      </c>
      <c r="CJ1879" s="8">
        <v>43923</v>
      </c>
      <c r="CK1879">
        <v>2</v>
      </c>
      <c r="CM1879">
        <v>0</v>
      </c>
    </row>
    <row r="1880" spans="1:206" ht="19.5">
      <c r="CH1880">
        <v>162</v>
      </c>
      <c r="CI1880" t="s">
        <v>79</v>
      </c>
      <c r="CJ1880" s="8">
        <v>43924</v>
      </c>
      <c r="CK1880">
        <v>3</v>
      </c>
      <c r="CM1880">
        <v>0</v>
      </c>
    </row>
    <row r="1881" spans="1:206" ht="19.5">
      <c r="CH1881">
        <v>162</v>
      </c>
      <c r="CI1881" t="s">
        <v>79</v>
      </c>
      <c r="CJ1881" s="8">
        <v>43925</v>
      </c>
      <c r="CK1881">
        <v>3</v>
      </c>
      <c r="CM1881">
        <v>0</v>
      </c>
    </row>
    <row r="1882" spans="1:206" ht="19.5">
      <c r="CH1882">
        <v>162</v>
      </c>
      <c r="CI1882" t="s">
        <v>79</v>
      </c>
      <c r="CJ1882" s="8">
        <v>43926</v>
      </c>
      <c r="CK1882">
        <v>3</v>
      </c>
      <c r="CM1882">
        <v>0</v>
      </c>
    </row>
    <row r="1883" spans="1:206" ht="19.5">
      <c r="CH1883">
        <v>162</v>
      </c>
      <c r="CI1883" t="s">
        <v>79</v>
      </c>
      <c r="CJ1883" s="8">
        <v>43927</v>
      </c>
      <c r="CK1883">
        <v>5</v>
      </c>
      <c r="CM1883">
        <v>0</v>
      </c>
    </row>
    <row r="1884" spans="1:206" ht="19.5">
      <c r="CH1884">
        <v>162</v>
      </c>
      <c r="CI1884" t="s">
        <v>79</v>
      </c>
      <c r="CJ1884" s="8">
        <v>43928</v>
      </c>
      <c r="CK1884">
        <v>8</v>
      </c>
      <c r="CM1884">
        <v>0</v>
      </c>
    </row>
    <row r="1885" spans="1:206" ht="19.5">
      <c r="CH1885">
        <v>162</v>
      </c>
      <c r="CI1885" t="s">
        <v>79</v>
      </c>
      <c r="CJ1885" s="8">
        <v>43929</v>
      </c>
      <c r="CK1885">
        <v>11</v>
      </c>
      <c r="CM1885">
        <v>0</v>
      </c>
    </row>
    <row r="1886" spans="1:206" ht="19.5">
      <c r="CH1886">
        <v>162</v>
      </c>
      <c r="CI1886" t="s">
        <v>79</v>
      </c>
      <c r="CJ1886" s="8">
        <v>43930</v>
      </c>
      <c r="CK1886">
        <v>13</v>
      </c>
      <c r="CM1886">
        <v>0</v>
      </c>
    </row>
    <row r="1887" spans="1:206" ht="19.5">
      <c r="CH1887">
        <v>162</v>
      </c>
      <c r="CI1887" t="s">
        <v>79</v>
      </c>
      <c r="CJ1887" s="8">
        <v>43931</v>
      </c>
      <c r="CK1887">
        <v>13</v>
      </c>
      <c r="CM1887">
        <v>0</v>
      </c>
    </row>
    <row r="1888" spans="1:206" ht="19.5">
      <c r="CH1888">
        <v>162</v>
      </c>
      <c r="CI1888" t="s">
        <v>79</v>
      </c>
      <c r="CJ1888" s="8">
        <v>43932</v>
      </c>
      <c r="CK1888">
        <v>16</v>
      </c>
      <c r="CM1888">
        <v>0</v>
      </c>
    </row>
    <row r="1889" spans="1:206" ht="19.5">
      <c r="CH1889">
        <v>162</v>
      </c>
      <c r="CI1889" t="s">
        <v>79</v>
      </c>
      <c r="CJ1889" s="8">
        <v>43933</v>
      </c>
      <c r="CK1889">
        <v>17</v>
      </c>
      <c r="CM1889">
        <v>0</v>
      </c>
    </row>
    <row r="1890" spans="1:206" ht="19.5">
      <c r="CH1890">
        <v>162</v>
      </c>
      <c r="CI1890" t="s">
        <v>79</v>
      </c>
      <c r="CJ1890" s="8">
        <v>43934</v>
      </c>
      <c r="CK1890">
        <v>19</v>
      </c>
      <c r="CM1890">
        <v>1</v>
      </c>
    </row>
    <row r="1891" spans="1:206" ht="19.5">
      <c r="CH1891">
        <v>162</v>
      </c>
      <c r="CI1891" t="s">
        <v>79</v>
      </c>
      <c r="CJ1891" s="8">
        <v>43935</v>
      </c>
      <c r="CK1891">
        <v>19</v>
      </c>
      <c r="CM1891">
        <v>1</v>
      </c>
    </row>
    <row r="1892" spans="1:206" ht="19.5">
      <c r="CH1892">
        <v>162</v>
      </c>
      <c r="CI1892" t="s">
        <v>79</v>
      </c>
      <c r="CJ1892" s="8">
        <v>43936</v>
      </c>
      <c r="CK1892">
        <v>19</v>
      </c>
      <c r="CM1892">
        <v>1</v>
      </c>
    </row>
    <row r="1893" spans="1:206" ht="19.5">
      <c r="CH1893">
        <v>162</v>
      </c>
      <c r="CI1893" t="s">
        <v>79</v>
      </c>
      <c r="CJ1893" s="8">
        <v>43937</v>
      </c>
      <c r="CK1893">
        <v>20</v>
      </c>
      <c r="CL1893">
        <v>188</v>
      </c>
      <c r="CM1893">
        <v>1</v>
      </c>
    </row>
    <row r="1894" spans="1:206" ht="19.5">
      <c r="CH1894">
        <v>162</v>
      </c>
      <c r="CI1894" t="s">
        <v>79</v>
      </c>
      <c r="CJ1894" s="8">
        <v>43938</v>
      </c>
      <c r="CK1894">
        <v>23</v>
      </c>
      <c r="CL1894">
        <v>216</v>
      </c>
      <c r="CM1894">
        <v>1</v>
      </c>
    </row>
    <row r="1895" spans="1:206" ht="19.5">
      <c r="CH1895">
        <v>162</v>
      </c>
      <c r="CI1895" t="s">
        <v>79</v>
      </c>
      <c r="CJ1895" s="8">
        <v>43939</v>
      </c>
      <c r="CK1895">
        <v>25</v>
      </c>
      <c r="CL1895">
        <v>235</v>
      </c>
      <c r="CM1895">
        <v>1</v>
      </c>
    </row>
    <row r="1896" spans="1:206" ht="19.5">
      <c r="CH1896">
        <v>162</v>
      </c>
      <c r="CI1896" t="s">
        <v>79</v>
      </c>
      <c r="CJ1896" s="8">
        <v>43940</v>
      </c>
      <c r="CK1896">
        <v>26</v>
      </c>
      <c r="CL1896">
        <v>244</v>
      </c>
      <c r="CM1896">
        <v>1</v>
      </c>
    </row>
    <row r="1897" spans="1:206" ht="19.5">
      <c r="CH1897">
        <v>162</v>
      </c>
      <c r="CI1897" t="s">
        <v>79</v>
      </c>
      <c r="CJ1897" s="8">
        <v>43941</v>
      </c>
      <c r="CK1897">
        <v>29</v>
      </c>
      <c r="CL1897">
        <v>272</v>
      </c>
      <c r="CM1897">
        <v>1</v>
      </c>
    </row>
    <row r="1898" spans="1:206" ht="19.5">
      <c r="CH1898">
        <v>162</v>
      </c>
      <c r="CI1898" t="s">
        <v>79</v>
      </c>
      <c r="CJ1898" s="8">
        <v>43942</v>
      </c>
      <c r="CK1898">
        <v>29</v>
      </c>
      <c r="CL1898">
        <v>272</v>
      </c>
      <c r="CM1898">
        <v>1</v>
      </c>
    </row>
    <row r="1899" spans="1:206" ht="19.5">
      <c r="CH1899">
        <v>162</v>
      </c>
      <c r="CI1899" t="s">
        <v>79</v>
      </c>
      <c r="CJ1899" s="8">
        <v>43943</v>
      </c>
      <c r="CK1899">
        <v>29</v>
      </c>
      <c r="CL1899">
        <v>272</v>
      </c>
      <c r="CM1899">
        <v>1</v>
      </c>
    </row>
    <row r="1900" spans="1:206" ht="19.5">
      <c r="CH1900">
        <v>162</v>
      </c>
      <c r="CI1900" t="s">
        <v>79</v>
      </c>
      <c r="CJ1900" s="8">
        <v>43944</v>
      </c>
      <c r="CK1900">
        <v>31</v>
      </c>
      <c r="CL1900">
        <v>291</v>
      </c>
      <c r="CM1900">
        <v>2</v>
      </c>
    </row>
    <row r="1901" spans="1:206" ht="19.5">
      <c r="CH1901">
        <v>162</v>
      </c>
      <c r="CI1901" t="s">
        <v>79</v>
      </c>
      <c r="CJ1901" s="8">
        <v>43945</v>
      </c>
      <c r="CK1901">
        <v>35</v>
      </c>
      <c r="CL1901">
        <v>328</v>
      </c>
      <c r="CM1901">
        <v>2</v>
      </c>
    </row>
    <row r="1902" spans="1:206" ht="19.5">
      <c r="CH1902">
        <v>162</v>
      </c>
      <c r="CI1902" t="s">
        <v>79</v>
      </c>
      <c r="CJ1902" s="8">
        <v>43946</v>
      </c>
      <c r="CK1902">
        <v>38</v>
      </c>
      <c r="CL1902">
        <v>357</v>
      </c>
      <c r="CM1902">
        <v>2</v>
      </c>
    </row>
    <row r="1903" spans="1:206" ht="19.5">
      <c r="CH1903">
        <v>162</v>
      </c>
      <c r="CI1903" t="s">
        <v>79</v>
      </c>
      <c r="CJ1903" s="8">
        <v>43947</v>
      </c>
      <c r="CK1903">
        <v>39</v>
      </c>
      <c r="CL1903">
        <v>366</v>
      </c>
      <c r="CM1903">
        <v>2</v>
      </c>
    </row>
    <row r="1904" spans="1:206" ht="19.5">
      <c r="CH1904">
        <v>162</v>
      </c>
      <c r="CI1904" t="s">
        <v>79</v>
      </c>
      <c r="CJ1904" s="8">
        <v>43948</v>
      </c>
      <c r="CK1904">
        <v>41</v>
      </c>
      <c r="CL1904">
        <v>385</v>
      </c>
      <c r="CM1904">
        <v>2</v>
      </c>
    </row>
    <row r="1905" spans="1:206" ht="19.5">
      <c r="CH1905">
        <v>162</v>
      </c>
      <c r="CI1905" t="s">
        <v>79</v>
      </c>
      <c r="CJ1905" s="8">
        <v>43949</v>
      </c>
      <c r="CK1905">
        <v>41</v>
      </c>
      <c r="CL1905">
        <v>385</v>
      </c>
      <c r="CM1905">
        <v>2</v>
      </c>
    </row>
    <row r="1906" spans="1:206" ht="19.5">
      <c r="CH1906">
        <v>162</v>
      </c>
      <c r="CI1906" t="s">
        <v>79</v>
      </c>
      <c r="CJ1906" s="8">
        <v>43950</v>
      </c>
      <c r="CK1906">
        <v>42</v>
      </c>
      <c r="CL1906">
        <v>394</v>
      </c>
      <c r="CM1906">
        <v>2</v>
      </c>
    </row>
    <row r="1907" spans="1:206" ht="19.5">
      <c r="CH1907">
        <v>162</v>
      </c>
      <c r="CI1907" t="s">
        <v>79</v>
      </c>
      <c r="CJ1907" s="8">
        <v>43951</v>
      </c>
      <c r="CK1907">
        <v>44</v>
      </c>
      <c r="CL1907">
        <v>413</v>
      </c>
      <c r="CM1907">
        <v>2</v>
      </c>
    </row>
    <row r="1908" spans="1:206" ht="19.5">
      <c r="CH1908">
        <v>164</v>
      </c>
      <c r="CI1908" t="s">
        <v>80</v>
      </c>
      <c r="CJ1908" s="8">
        <v>43914</v>
      </c>
      <c r="CK1908">
        <v>4</v>
      </c>
      <c r="CM1908">
        <v>0</v>
      </c>
    </row>
    <row r="1909" spans="1:206" ht="19.5">
      <c r="CH1909">
        <v>164</v>
      </c>
      <c r="CI1909" t="s">
        <v>80</v>
      </c>
      <c r="CJ1909" s="8">
        <v>43915</v>
      </c>
      <c r="CK1909">
        <v>6</v>
      </c>
      <c r="CM1909">
        <v>0</v>
      </c>
    </row>
    <row r="1910" spans="1:206" ht="19.5">
      <c r="CH1910">
        <v>164</v>
      </c>
      <c r="CI1910" t="s">
        <v>80</v>
      </c>
      <c r="CJ1910" s="8">
        <v>43916</v>
      </c>
      <c r="CK1910">
        <v>7</v>
      </c>
      <c r="CM1910">
        <v>0</v>
      </c>
    </row>
    <row r="1911" spans="1:206" ht="19.5">
      <c r="CH1911">
        <v>164</v>
      </c>
      <c r="CI1911" t="s">
        <v>80</v>
      </c>
      <c r="CJ1911" s="8">
        <v>43917</v>
      </c>
      <c r="CK1911">
        <v>9</v>
      </c>
      <c r="CM1911">
        <v>0</v>
      </c>
    </row>
    <row r="1912" spans="1:206" ht="19.5">
      <c r="CH1912">
        <v>164</v>
      </c>
      <c r="CI1912" t="s">
        <v>80</v>
      </c>
      <c r="CJ1912" s="8">
        <v>43918</v>
      </c>
      <c r="CK1912">
        <v>13</v>
      </c>
      <c r="CM1912">
        <v>0</v>
      </c>
    </row>
    <row r="1913" spans="1:206" ht="19.5">
      <c r="CH1913">
        <v>164</v>
      </c>
      <c r="CI1913" t="s">
        <v>80</v>
      </c>
      <c r="CJ1913" s="8">
        <v>43919</v>
      </c>
      <c r="CK1913">
        <v>15</v>
      </c>
      <c r="CM1913">
        <v>0</v>
      </c>
    </row>
    <row r="1914" spans="1:206" ht="19.5">
      <c r="CH1914">
        <v>164</v>
      </c>
      <c r="CI1914" t="s">
        <v>80</v>
      </c>
      <c r="CJ1914" s="8">
        <v>43920</v>
      </c>
      <c r="CK1914">
        <v>19</v>
      </c>
      <c r="CM1914">
        <v>0</v>
      </c>
    </row>
    <row r="1915" spans="1:206" ht="19.5">
      <c r="CH1915">
        <v>164</v>
      </c>
      <c r="CI1915" t="s">
        <v>80</v>
      </c>
      <c r="CJ1915" s="8">
        <v>43921</v>
      </c>
      <c r="CK1915">
        <v>20</v>
      </c>
      <c r="CM1915">
        <v>0</v>
      </c>
    </row>
    <row r="1916" spans="1:206" ht="19.5">
      <c r="CH1916">
        <v>164</v>
      </c>
      <c r="CI1916" t="s">
        <v>80</v>
      </c>
      <c r="CJ1916" s="8">
        <v>43922</v>
      </c>
      <c r="CK1916">
        <v>21</v>
      </c>
      <c r="CM1916">
        <v>0</v>
      </c>
    </row>
    <row r="1917" spans="1:206" ht="19.5">
      <c r="CH1917">
        <v>164</v>
      </c>
      <c r="CI1917" t="s">
        <v>80</v>
      </c>
      <c r="CJ1917" s="8">
        <v>43923</v>
      </c>
      <c r="CK1917">
        <v>26</v>
      </c>
      <c r="CM1917">
        <v>0</v>
      </c>
    </row>
    <row r="1918" spans="1:206" ht="19.5">
      <c r="CH1918">
        <v>164</v>
      </c>
      <c r="CI1918" t="s">
        <v>80</v>
      </c>
      <c r="CJ1918" s="8">
        <v>43924</v>
      </c>
      <c r="CK1918">
        <v>37</v>
      </c>
      <c r="CM1918">
        <v>2</v>
      </c>
    </row>
    <row r="1919" spans="1:206" ht="19.5">
      <c r="CH1919">
        <v>164</v>
      </c>
      <c r="CI1919" t="s">
        <v>80</v>
      </c>
      <c r="CJ1919" s="8">
        <v>43925</v>
      </c>
      <c r="CK1919">
        <v>43</v>
      </c>
      <c r="CM1919">
        <v>3</v>
      </c>
    </row>
    <row r="1920" spans="1:206" ht="19.5">
      <c r="CH1920">
        <v>164</v>
      </c>
      <c r="CI1920" t="s">
        <v>80</v>
      </c>
      <c r="CJ1920" s="8">
        <v>43926</v>
      </c>
      <c r="CK1920">
        <v>51</v>
      </c>
      <c r="CM1920">
        <v>5</v>
      </c>
    </row>
    <row r="1921" spans="1:206" ht="19.5">
      <c r="CH1921">
        <v>164</v>
      </c>
      <c r="CI1921" t="s">
        <v>80</v>
      </c>
      <c r="CJ1921" s="8">
        <v>43927</v>
      </c>
      <c r="CK1921">
        <v>54</v>
      </c>
      <c r="CM1921">
        <v>7</v>
      </c>
    </row>
    <row r="1922" spans="1:206" ht="19.5">
      <c r="CH1922">
        <v>164</v>
      </c>
      <c r="CI1922" t="s">
        <v>80</v>
      </c>
      <c r="CJ1922" s="8">
        <v>43928</v>
      </c>
      <c r="CK1922">
        <v>57</v>
      </c>
      <c r="CM1922">
        <v>8</v>
      </c>
    </row>
    <row r="1923" spans="1:206" ht="19.5">
      <c r="CH1923">
        <v>164</v>
      </c>
      <c r="CI1923" t="s">
        <v>80</v>
      </c>
      <c r="CJ1923" s="8">
        <v>43929</v>
      </c>
      <c r="CK1923">
        <v>64</v>
      </c>
      <c r="CM1923">
        <v>9</v>
      </c>
    </row>
    <row r="1924" spans="1:206" ht="19.5">
      <c r="CH1924">
        <v>164</v>
      </c>
      <c r="CI1924" t="s">
        <v>80</v>
      </c>
      <c r="CJ1924" s="8">
        <v>43930</v>
      </c>
      <c r="CK1924">
        <v>68</v>
      </c>
      <c r="CM1924">
        <v>9</v>
      </c>
    </row>
    <row r="1925" spans="1:206" ht="19.5">
      <c r="CH1925">
        <v>164</v>
      </c>
      <c r="CI1925" t="s">
        <v>80</v>
      </c>
      <c r="CJ1925" s="8">
        <v>43931</v>
      </c>
      <c r="CK1925">
        <v>73</v>
      </c>
      <c r="CM1925">
        <v>10</v>
      </c>
    </row>
    <row r="1926" spans="1:206" ht="19.5">
      <c r="CH1926">
        <v>164</v>
      </c>
      <c r="CI1926" t="s">
        <v>80</v>
      </c>
      <c r="CJ1926" s="8">
        <v>43932</v>
      </c>
      <c r="CK1926">
        <v>79</v>
      </c>
      <c r="CM1926">
        <v>12</v>
      </c>
    </row>
    <row r="1927" spans="1:206" ht="19.5">
      <c r="CH1927">
        <v>164</v>
      </c>
      <c r="CI1927" t="s">
        <v>80</v>
      </c>
      <c r="CJ1927" s="8">
        <v>43933</v>
      </c>
      <c r="CK1927">
        <v>81</v>
      </c>
      <c r="CM1927">
        <v>14</v>
      </c>
    </row>
    <row r="1928" spans="1:206" ht="19.5">
      <c r="CH1928">
        <v>164</v>
      </c>
      <c r="CI1928" t="s">
        <v>80</v>
      </c>
      <c r="CJ1928" s="8">
        <v>43934</v>
      </c>
      <c r="CK1928">
        <v>102</v>
      </c>
      <c r="CM1928">
        <v>16</v>
      </c>
    </row>
    <row r="1929" spans="1:206" ht="19.5">
      <c r="CH1929">
        <v>164</v>
      </c>
      <c r="CI1929" t="s">
        <v>80</v>
      </c>
      <c r="CJ1929" s="8">
        <v>43935</v>
      </c>
      <c r="CK1929">
        <v>111</v>
      </c>
      <c r="CM1929">
        <v>17</v>
      </c>
    </row>
    <row r="1930" spans="1:206" ht="19.5">
      <c r="CH1930">
        <v>164</v>
      </c>
      <c r="CI1930" t="s">
        <v>80</v>
      </c>
      <c r="CJ1930" s="8">
        <v>43936</v>
      </c>
      <c r="CK1930">
        <v>136</v>
      </c>
      <c r="CM1930">
        <v>28</v>
      </c>
    </row>
    <row r="1931" spans="1:206" ht="19.5">
      <c r="CH1931">
        <v>164</v>
      </c>
      <c r="CI1931" t="s">
        <v>80</v>
      </c>
      <c r="CJ1931" s="8">
        <v>43937</v>
      </c>
      <c r="CK1931">
        <v>147</v>
      </c>
      <c r="CL1931">
        <v>511</v>
      </c>
      <c r="CM1931">
        <v>32</v>
      </c>
    </row>
    <row r="1932" spans="1:206" ht="19.5">
      <c r="CH1932">
        <v>164</v>
      </c>
      <c r="CI1932" t="s">
        <v>80</v>
      </c>
      <c r="CJ1932" s="8">
        <v>43938</v>
      </c>
      <c r="CK1932">
        <v>152</v>
      </c>
      <c r="CL1932">
        <v>529</v>
      </c>
      <c r="CM1932">
        <v>33</v>
      </c>
    </row>
    <row r="1933" spans="1:206" ht="19.5">
      <c r="CH1933">
        <v>164</v>
      </c>
      <c r="CI1933" t="s">
        <v>80</v>
      </c>
      <c r="CJ1933" s="8">
        <v>43939</v>
      </c>
      <c r="CK1933">
        <v>155</v>
      </c>
      <c r="CL1933">
        <v>539</v>
      </c>
      <c r="CM1933">
        <v>34</v>
      </c>
    </row>
    <row r="1934" spans="1:206" ht="19.5">
      <c r="CH1934">
        <v>164</v>
      </c>
      <c r="CI1934" t="s">
        <v>80</v>
      </c>
      <c r="CJ1934" s="8">
        <v>43940</v>
      </c>
      <c r="CK1934">
        <v>157</v>
      </c>
      <c r="CL1934">
        <v>546</v>
      </c>
      <c r="CM1934">
        <v>35</v>
      </c>
    </row>
    <row r="1935" spans="1:206" ht="19.5">
      <c r="CH1935">
        <v>164</v>
      </c>
      <c r="CI1935" t="s">
        <v>80</v>
      </c>
      <c r="CJ1935" s="8">
        <v>43941</v>
      </c>
      <c r="CK1935">
        <v>200</v>
      </c>
      <c r="CL1935">
        <v>695</v>
      </c>
      <c r="CM1935">
        <v>46</v>
      </c>
    </row>
    <row r="1936" spans="1:206" ht="19.5">
      <c r="CH1936">
        <v>164</v>
      </c>
      <c r="CI1936" t="s">
        <v>80</v>
      </c>
      <c r="CJ1936" s="8">
        <v>43942</v>
      </c>
      <c r="CK1936">
        <v>213</v>
      </c>
      <c r="CL1936">
        <v>741</v>
      </c>
      <c r="CM1936">
        <v>50</v>
      </c>
    </row>
    <row r="1937" spans="1:206" ht="19.5">
      <c r="CH1937">
        <v>164</v>
      </c>
      <c r="CI1937" t="s">
        <v>80</v>
      </c>
      <c r="CJ1937" s="8">
        <v>43943</v>
      </c>
      <c r="CK1937">
        <v>224</v>
      </c>
      <c r="CL1937">
        <v>779</v>
      </c>
      <c r="CM1937">
        <v>54</v>
      </c>
    </row>
    <row r="1938" spans="1:206" ht="19.5">
      <c r="CH1938">
        <v>164</v>
      </c>
      <c r="CI1938" t="s">
        <v>80</v>
      </c>
      <c r="CJ1938" s="8">
        <v>43944</v>
      </c>
      <c r="CK1938">
        <v>233</v>
      </c>
      <c r="CL1938">
        <v>810</v>
      </c>
      <c r="CM1938">
        <v>55</v>
      </c>
    </row>
    <row r="1939" spans="1:206" ht="19.5">
      <c r="CH1939">
        <v>164</v>
      </c>
      <c r="CI1939" t="s">
        <v>80</v>
      </c>
      <c r="CJ1939" s="8">
        <v>43945</v>
      </c>
      <c r="CK1939">
        <v>248</v>
      </c>
      <c r="CL1939">
        <v>862</v>
      </c>
      <c r="CM1939">
        <v>60</v>
      </c>
    </row>
    <row r="1940" spans="1:206" ht="19.5">
      <c r="CH1940">
        <v>164</v>
      </c>
      <c r="CI1940" t="s">
        <v>80</v>
      </c>
      <c r="CJ1940" s="8">
        <v>43946</v>
      </c>
      <c r="CK1940">
        <v>261</v>
      </c>
      <c r="CL1940">
        <v>908</v>
      </c>
      <c r="CM1940">
        <v>65</v>
      </c>
    </row>
    <row r="1941" spans="1:206" ht="19.5">
      <c r="CH1941">
        <v>164</v>
      </c>
      <c r="CI1941" t="s">
        <v>80</v>
      </c>
      <c r="CJ1941" s="8">
        <v>43947</v>
      </c>
      <c r="CK1941">
        <v>281</v>
      </c>
      <c r="CL1941">
        <v>977</v>
      </c>
      <c r="CM1941">
        <v>67</v>
      </c>
    </row>
    <row r="1942" spans="1:206" ht="19.5">
      <c r="CH1942">
        <v>164</v>
      </c>
      <c r="CI1942" t="s">
        <v>80</v>
      </c>
      <c r="CJ1942" s="8">
        <v>43948</v>
      </c>
      <c r="CK1942">
        <v>283</v>
      </c>
      <c r="CL1942">
        <v>984</v>
      </c>
      <c r="CM1942">
        <v>70</v>
      </c>
    </row>
    <row r="1943" spans="1:206" ht="19.5">
      <c r="CH1943">
        <v>164</v>
      </c>
      <c r="CI1943" t="s">
        <v>80</v>
      </c>
      <c r="CJ1943" s="8">
        <v>43949</v>
      </c>
      <c r="CK1943">
        <v>285</v>
      </c>
      <c r="CL1943">
        <v>991</v>
      </c>
      <c r="CM1943">
        <v>73</v>
      </c>
    </row>
    <row r="1944" spans="1:206" ht="19.5">
      <c r="CH1944">
        <v>164</v>
      </c>
      <c r="CI1944" t="s">
        <v>80</v>
      </c>
      <c r="CJ1944" s="8">
        <v>43950</v>
      </c>
      <c r="CK1944">
        <v>305</v>
      </c>
      <c r="CL1944">
        <v>1061</v>
      </c>
      <c r="CM1944">
        <v>73</v>
      </c>
    </row>
    <row r="1945" spans="1:206" ht="19.5">
      <c r="CH1945">
        <v>164</v>
      </c>
      <c r="CI1945" t="s">
        <v>80</v>
      </c>
      <c r="CJ1945" s="8">
        <v>43951</v>
      </c>
      <c r="CK1945">
        <v>316</v>
      </c>
      <c r="CL1945">
        <v>1099</v>
      </c>
      <c r="CM1945">
        <v>76</v>
      </c>
    </row>
    <row r="1946" spans="1:206" ht="19.5">
      <c r="CH1946">
        <v>165</v>
      </c>
      <c r="CI1946" t="s">
        <v>81</v>
      </c>
      <c r="CJ1946" s="8">
        <v>43914</v>
      </c>
      <c r="CK1946">
        <v>2</v>
      </c>
      <c r="CM1946">
        <v>0</v>
      </c>
    </row>
    <row r="1947" spans="1:206" ht="19.5">
      <c r="CH1947">
        <v>165</v>
      </c>
      <c r="CI1947" t="s">
        <v>81</v>
      </c>
      <c r="CJ1947" s="8">
        <v>43915</v>
      </c>
      <c r="CK1947">
        <v>2</v>
      </c>
      <c r="CM1947">
        <v>0</v>
      </c>
    </row>
    <row r="1948" spans="1:206" ht="19.5">
      <c r="CH1948">
        <v>165</v>
      </c>
      <c r="CI1948" t="s">
        <v>81</v>
      </c>
      <c r="CJ1948" s="8">
        <v>43916</v>
      </c>
      <c r="CK1948">
        <v>2</v>
      </c>
      <c r="CM1948">
        <v>0</v>
      </c>
    </row>
    <row r="1949" spans="1:206" ht="19.5">
      <c r="CH1949">
        <v>165</v>
      </c>
      <c r="CI1949" t="s">
        <v>81</v>
      </c>
      <c r="CJ1949" s="8">
        <v>43917</v>
      </c>
      <c r="CK1949">
        <v>2</v>
      </c>
      <c r="CM1949">
        <v>0</v>
      </c>
    </row>
    <row r="1950" spans="1:206" ht="19.5">
      <c r="CH1950">
        <v>165</v>
      </c>
      <c r="CI1950" t="s">
        <v>81</v>
      </c>
      <c r="CJ1950" s="8">
        <v>43918</v>
      </c>
      <c r="CK1950">
        <v>2</v>
      </c>
      <c r="CM1950">
        <v>0</v>
      </c>
    </row>
    <row r="1951" spans="1:206" ht="19.5">
      <c r="CH1951">
        <v>165</v>
      </c>
      <c r="CI1951" t="s">
        <v>81</v>
      </c>
      <c r="CJ1951" s="8">
        <v>43919</v>
      </c>
      <c r="CK1951">
        <v>2</v>
      </c>
      <c r="CM1951">
        <v>0</v>
      </c>
    </row>
    <row r="1952" spans="1:206" ht="19.5">
      <c r="CH1952">
        <v>165</v>
      </c>
      <c r="CI1952" t="s">
        <v>81</v>
      </c>
      <c r="CJ1952" s="8">
        <v>43920</v>
      </c>
      <c r="CK1952">
        <v>2</v>
      </c>
      <c r="CM1952">
        <v>0</v>
      </c>
    </row>
    <row r="1953" spans="1:206" ht="19.5">
      <c r="CH1953">
        <v>165</v>
      </c>
      <c r="CI1953" t="s">
        <v>81</v>
      </c>
      <c r="CJ1953" s="8">
        <v>43921</v>
      </c>
      <c r="CK1953">
        <v>4</v>
      </c>
      <c r="CM1953">
        <v>0</v>
      </c>
    </row>
    <row r="1954" spans="1:206" ht="19.5">
      <c r="CH1954">
        <v>165</v>
      </c>
      <c r="CI1954" t="s">
        <v>81</v>
      </c>
      <c r="CJ1954" s="8">
        <v>43922</v>
      </c>
      <c r="CK1954">
        <v>7</v>
      </c>
      <c r="CM1954">
        <v>0</v>
      </c>
    </row>
    <row r="1955" spans="1:206" ht="19.5">
      <c r="CH1955">
        <v>165</v>
      </c>
      <c r="CI1955" t="s">
        <v>81</v>
      </c>
      <c r="CJ1955" s="8">
        <v>43923</v>
      </c>
      <c r="CK1955">
        <v>7</v>
      </c>
      <c r="CM1955">
        <v>0</v>
      </c>
    </row>
    <row r="1956" spans="1:206" ht="19.5">
      <c r="CH1956">
        <v>165</v>
      </c>
      <c r="CI1956" t="s">
        <v>81</v>
      </c>
      <c r="CJ1956" s="8">
        <v>43924</v>
      </c>
      <c r="CK1956">
        <v>6</v>
      </c>
      <c r="CM1956">
        <v>0</v>
      </c>
    </row>
    <row r="1957" spans="1:206" ht="19.5">
      <c r="CH1957">
        <v>165</v>
      </c>
      <c r="CI1957" t="s">
        <v>81</v>
      </c>
      <c r="CJ1957" s="8">
        <v>43925</v>
      </c>
      <c r="CK1957">
        <v>8</v>
      </c>
      <c r="CM1957">
        <v>0</v>
      </c>
    </row>
    <row r="1958" spans="1:206" ht="19.5">
      <c r="CH1958">
        <v>165</v>
      </c>
      <c r="CI1958" t="s">
        <v>81</v>
      </c>
      <c r="CJ1958" s="8">
        <v>43926</v>
      </c>
      <c r="CK1958">
        <v>8</v>
      </c>
      <c r="CM1958">
        <v>0</v>
      </c>
    </row>
    <row r="1959" spans="1:206" ht="19.5">
      <c r="CH1959">
        <v>165</v>
      </c>
      <c r="CI1959" t="s">
        <v>81</v>
      </c>
      <c r="CJ1959" s="8">
        <v>43927</v>
      </c>
      <c r="CK1959">
        <v>11</v>
      </c>
      <c r="CM1959">
        <v>0</v>
      </c>
    </row>
    <row r="1960" spans="1:206" ht="19.5">
      <c r="CH1960">
        <v>165</v>
      </c>
      <c r="CI1960" t="s">
        <v>81</v>
      </c>
      <c r="CJ1960" s="8">
        <v>43928</v>
      </c>
      <c r="CK1960">
        <v>14</v>
      </c>
      <c r="CM1960">
        <v>1</v>
      </c>
    </row>
    <row r="1961" spans="1:206" ht="19.5">
      <c r="CH1961">
        <v>165</v>
      </c>
      <c r="CI1961" t="s">
        <v>81</v>
      </c>
      <c r="CJ1961" s="8">
        <v>43929</v>
      </c>
      <c r="CK1961">
        <v>16</v>
      </c>
      <c r="CM1961">
        <v>2</v>
      </c>
    </row>
    <row r="1962" spans="1:206" ht="19.5">
      <c r="CH1962">
        <v>165</v>
      </c>
      <c r="CI1962" t="s">
        <v>81</v>
      </c>
      <c r="CJ1962" s="8">
        <v>43930</v>
      </c>
      <c r="CK1962">
        <v>16</v>
      </c>
      <c r="CM1962">
        <v>3</v>
      </c>
    </row>
    <row r="1963" spans="1:206" ht="19.5">
      <c r="CH1963">
        <v>165</v>
      </c>
      <c r="CI1963" t="s">
        <v>81</v>
      </c>
      <c r="CJ1963" s="8">
        <v>43931</v>
      </c>
      <c r="CK1963">
        <v>16</v>
      </c>
      <c r="CM1963">
        <v>3</v>
      </c>
    </row>
    <row r="1964" spans="1:206" ht="19.5">
      <c r="CH1964">
        <v>165</v>
      </c>
      <c r="CI1964" t="s">
        <v>81</v>
      </c>
      <c r="CJ1964" s="8">
        <v>43932</v>
      </c>
      <c r="CK1964">
        <v>18</v>
      </c>
      <c r="CM1964">
        <v>3</v>
      </c>
    </row>
    <row r="1965" spans="1:206" ht="19.5">
      <c r="CH1965">
        <v>165</v>
      </c>
      <c r="CI1965" t="s">
        <v>81</v>
      </c>
      <c r="CJ1965" s="8">
        <v>43933</v>
      </c>
      <c r="CK1965">
        <v>18</v>
      </c>
      <c r="CM1965">
        <v>3</v>
      </c>
    </row>
    <row r="1966" spans="1:206" ht="19.5">
      <c r="CH1966">
        <v>165</v>
      </c>
      <c r="CI1966" t="s">
        <v>81</v>
      </c>
      <c r="CJ1966" s="8">
        <v>43934</v>
      </c>
      <c r="CK1966">
        <v>21</v>
      </c>
      <c r="CM1966">
        <v>3</v>
      </c>
    </row>
    <row r="1967" spans="1:206" ht="19.5">
      <c r="CH1967">
        <v>165</v>
      </c>
      <c r="CI1967" t="s">
        <v>81</v>
      </c>
      <c r="CJ1967" s="8">
        <v>43935</v>
      </c>
      <c r="CK1967">
        <v>22</v>
      </c>
      <c r="CM1967">
        <v>3</v>
      </c>
    </row>
    <row r="1968" spans="1:206" ht="19.5">
      <c r="CH1968">
        <v>165</v>
      </c>
      <c r="CI1968" t="s">
        <v>81</v>
      </c>
      <c r="CJ1968" s="8">
        <v>43936</v>
      </c>
      <c r="CK1968">
        <v>24</v>
      </c>
      <c r="CM1968">
        <v>3</v>
      </c>
    </row>
    <row r="1969" spans="1:206" ht="19.5">
      <c r="CH1969">
        <v>165</v>
      </c>
      <c r="CI1969" t="s">
        <v>81</v>
      </c>
      <c r="CJ1969" s="8">
        <v>43937</v>
      </c>
      <c r="CK1969">
        <v>24</v>
      </c>
      <c r="CL1969">
        <v>186</v>
      </c>
      <c r="CM1969">
        <v>3</v>
      </c>
    </row>
    <row r="1970" spans="1:206" ht="19.5">
      <c r="CH1970">
        <v>165</v>
      </c>
      <c r="CI1970" t="s">
        <v>81</v>
      </c>
      <c r="CJ1970" s="8">
        <v>43938</v>
      </c>
      <c r="CK1970">
        <v>25</v>
      </c>
      <c r="CL1970">
        <v>194</v>
      </c>
      <c r="CM1970">
        <v>4</v>
      </c>
    </row>
    <row r="1971" spans="1:206" ht="19.5">
      <c r="CH1971">
        <v>165</v>
      </c>
      <c r="CI1971" t="s">
        <v>81</v>
      </c>
      <c r="CJ1971" s="8">
        <v>43939</v>
      </c>
      <c r="CK1971">
        <v>25</v>
      </c>
      <c r="CL1971">
        <v>194</v>
      </c>
      <c r="CM1971">
        <v>4</v>
      </c>
    </row>
    <row r="1972" spans="1:206" ht="19.5">
      <c r="CH1972">
        <v>165</v>
      </c>
      <c r="CI1972" t="s">
        <v>81</v>
      </c>
      <c r="CJ1972" s="8">
        <v>43940</v>
      </c>
      <c r="CK1972">
        <v>27</v>
      </c>
      <c r="CL1972">
        <v>210</v>
      </c>
      <c r="CM1972">
        <v>4</v>
      </c>
    </row>
    <row r="1973" spans="1:206" ht="19.5">
      <c r="CH1973">
        <v>165</v>
      </c>
      <c r="CI1973" t="s">
        <v>81</v>
      </c>
      <c r="CJ1973" s="8">
        <v>43941</v>
      </c>
      <c r="CK1973">
        <v>29</v>
      </c>
      <c r="CL1973">
        <v>225</v>
      </c>
      <c r="CM1973">
        <v>5</v>
      </c>
    </row>
    <row r="1974" spans="1:206" ht="19.5">
      <c r="CH1974">
        <v>165</v>
      </c>
      <c r="CI1974" t="s">
        <v>81</v>
      </c>
      <c r="CJ1974" s="8">
        <v>43942</v>
      </c>
      <c r="CK1974">
        <v>29</v>
      </c>
      <c r="CL1974">
        <v>225</v>
      </c>
      <c r="CM1974">
        <v>5</v>
      </c>
    </row>
    <row r="1975" spans="1:206" ht="19.5">
      <c r="CH1975">
        <v>165</v>
      </c>
      <c r="CI1975" t="s">
        <v>81</v>
      </c>
      <c r="CJ1975" s="8">
        <v>43943</v>
      </c>
      <c r="CK1975">
        <v>31</v>
      </c>
      <c r="CL1975">
        <v>241</v>
      </c>
      <c r="CM1975">
        <v>5</v>
      </c>
    </row>
    <row r="1976" spans="1:206" ht="19.5">
      <c r="CH1976">
        <v>165</v>
      </c>
      <c r="CI1976" t="s">
        <v>81</v>
      </c>
      <c r="CJ1976" s="8">
        <v>43944</v>
      </c>
      <c r="CK1976">
        <v>33</v>
      </c>
      <c r="CL1976">
        <v>256</v>
      </c>
      <c r="CM1976">
        <v>5</v>
      </c>
    </row>
    <row r="1977" spans="1:206" ht="19.5">
      <c r="CH1977">
        <v>165</v>
      </c>
      <c r="CI1977" t="s">
        <v>81</v>
      </c>
      <c r="CJ1977" s="8">
        <v>43945</v>
      </c>
      <c r="CK1977">
        <v>36</v>
      </c>
      <c r="CL1977">
        <v>280</v>
      </c>
      <c r="CM1977">
        <v>5</v>
      </c>
    </row>
    <row r="1978" spans="1:206" ht="19.5">
      <c r="CH1978">
        <v>165</v>
      </c>
      <c r="CI1978" t="s">
        <v>81</v>
      </c>
      <c r="CJ1978" s="8">
        <v>43946</v>
      </c>
      <c r="CK1978">
        <v>37</v>
      </c>
      <c r="CL1978">
        <v>287</v>
      </c>
      <c r="CM1978">
        <v>5</v>
      </c>
    </row>
    <row r="1979" spans="1:206" ht="19.5">
      <c r="CH1979">
        <v>165</v>
      </c>
      <c r="CI1979" t="s">
        <v>81</v>
      </c>
      <c r="CJ1979" s="8">
        <v>43947</v>
      </c>
      <c r="CK1979">
        <v>39</v>
      </c>
      <c r="CL1979">
        <v>303</v>
      </c>
      <c r="CM1979">
        <v>5</v>
      </c>
    </row>
    <row r="1980" spans="1:206" ht="19.5">
      <c r="CH1980">
        <v>165</v>
      </c>
      <c r="CI1980" t="s">
        <v>81</v>
      </c>
      <c r="CJ1980" s="8">
        <v>43948</v>
      </c>
      <c r="CK1980">
        <v>40</v>
      </c>
      <c r="CL1980">
        <v>311</v>
      </c>
      <c r="CM1980">
        <v>5</v>
      </c>
    </row>
    <row r="1981" spans="1:206" ht="19.5">
      <c r="CH1981">
        <v>165</v>
      </c>
      <c r="CI1981" t="s">
        <v>81</v>
      </c>
      <c r="CJ1981" s="8">
        <v>43949</v>
      </c>
      <c r="CK1981">
        <v>43</v>
      </c>
      <c r="CL1981">
        <v>334</v>
      </c>
      <c r="CM1981">
        <v>5</v>
      </c>
    </row>
    <row r="1982" spans="1:206" ht="19.5">
      <c r="CH1982">
        <v>165</v>
      </c>
      <c r="CI1982" t="s">
        <v>81</v>
      </c>
      <c r="CJ1982" s="8">
        <v>43950</v>
      </c>
      <c r="CK1982">
        <v>43</v>
      </c>
      <c r="CL1982">
        <v>334</v>
      </c>
      <c r="CM1982">
        <v>4</v>
      </c>
    </row>
    <row r="1983" spans="1:206" ht="19.5">
      <c r="CH1983">
        <v>165</v>
      </c>
      <c r="CI1983" t="s">
        <v>81</v>
      </c>
      <c r="CJ1983" s="8">
        <v>43951</v>
      </c>
      <c r="CK1983">
        <v>42</v>
      </c>
      <c r="CL1983">
        <v>326</v>
      </c>
      <c r="CM1983">
        <v>2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C1:S102"/>
  <sheetViews>
    <sheetView workbookViewId="0">
      <selection activeCell="S15" sqref="S15"/>
    </sheetView>
  </sheetViews>
  <sheetFormatPr defaultRowHeight="12.75"/>
  <cols>
    <col min="1" max="1" style="1" width="9.142307692307693"/>
    <col min="2" max="2" style="1" width="14.142007211538463" customWidth="1"/>
    <col min="3" max="3" style="2" width="21.560608974358978" customWidth="1"/>
    <col min="4" max="4" style="1" width="3.2855168269230774" customWidth="1"/>
    <col min="5" max="5" style="1" width="3.856911057692308" customWidth="1"/>
    <col min="6" max="6" style="1" width="22.70339743589744" customWidth="1"/>
    <col min="7" max="7" style="1" width="3.1426682692307697" customWidth="1"/>
    <col min="8" max="8" style="1" width="2.5712740384615387" customWidth="1"/>
    <col min="9" max="9" style="1" width="2.999819711538462" customWidth="1"/>
    <col min="10" max="10" style="1" width="2.1427283653846154" customWidth="1"/>
    <col min="11" max="11" style="1" width="2.999819711538462" customWidth="1"/>
    <col min="12" max="12" style="1" width="2.1427283653846154" customWidth="1"/>
    <col min="13" max="13" style="1" width="1.9998798076923079" customWidth="1"/>
    <col min="14" max="14" style="2" width="17.42752403846154" customWidth="1"/>
    <col min="15" max="15" style="1" width="9.142307692307693"/>
    <col min="16" max="16" style="1" width="19.846426282051283" customWidth="1"/>
    <col min="17" max="18" style="1" width="9.142307692307693"/>
    <col min="19" max="19" style="1" width="9.99939903846154" bestFit="1" customWidth="1"/>
    <col min="20" max="256" style="1" width="9.142307692307693"/>
  </cols>
  <sheetData>
    <row r="1" spans="3:19" ht="19.5">
      <c r="N1" t="inlineStr">
        <is>
          <t>Series: March 10th  Source: github:</t>
        </is>
      </c>
      <c r="R1" t="s">
        <v>20</v>
      </c>
      <c r="S1">
        <v>173</v>
      </c>
    </row>
    <row r="2" spans="3:19" ht="19.5">
      <c r="R2" t="s">
        <v>21</v>
      </c>
      <c r="S2">
        <v>220</v>
      </c>
    </row>
    <row r="3" spans="3:19" ht="19.5">
      <c r="N3" t="inlineStr">
        <is>
          <t>So, the collected Johns Hopkins data</t>
        </is>
      </c>
      <c r="R3" t="inlineStr">
        <is>
          <t>12th</t>
        </is>
      </c>
      <c r="S3">
        <v>328</v>
      </c>
    </row>
    <row r="4" spans="3:19" ht="19.5">
      <c r="N4" t="inlineStr">
        <is>
          <t>starts on 10 March for New York State.</t>
        </is>
      </c>
      <c r="R4" t="s">
        <v>22</v>
      </c>
      <c r="S4">
        <v>421</v>
      </c>
    </row>
    <row r="5" spans="3:19" ht="19.5">
      <c r="R5" t="s">
        <v>23</v>
      </c>
      <c r="S5">
        <v>525</v>
      </c>
    </row>
    <row r="6" spans="3:19" ht="19.5">
      <c r="N6" t="inlineStr">
        <is>
          <t>Was probably county-based prior, or</t>
        </is>
      </c>
      <c r="R6" t="s">
        <v>25</v>
      </c>
      <c r="S6">
        <v>732</v>
      </c>
    </row>
    <row r="7" spans="3:19" customHeight="1" ht="29.25">
      <c r="N7" t="inlineStr">
        <is>
          <t>not even that.</t>
        </is>
      </c>
      <c r="R7" t="inlineStr">
        <is>
          <t>16th</t>
        </is>
      </c>
      <c r="S7">
        <v>967</v>
      </c>
    </row>
    <row r="8" spans="3:19" customHeight="1" ht="23.25">
      <c r="R8" t="s">
        <v>26</v>
      </c>
      <c r="S8">
        <v>1706</v>
      </c>
    </row>
    <row r="9" spans="3:19" customHeight="1" ht="27">
      <c r="R9" t="s">
        <v>27</v>
      </c>
      <c r="S9">
        <v>2495</v>
      </c>
    </row>
    <row r="10" spans="3:19" customHeight="1" ht="27.75">
      <c r="R10" t="s">
        <v>28</v>
      </c>
      <c r="S10">
        <v>5365</v>
      </c>
    </row>
    <row r="11" spans="3:19" ht="19.5">
      <c r="R11" t="inlineStr">
        <is>
          <t>20th</t>
        </is>
      </c>
    </row>
    <row r="12" spans="3:19" ht="19.5">
      <c r="P12" t="s">
        <v>1</v>
      </c>
      <c r="R12" t="s">
        <v>29</v>
      </c>
    </row>
    <row r="13" spans="3:19" ht="19.5">
      <c r="C13" t="s">
        <v>2</v>
      </c>
      <c r="N13" t="s">
        <v>3</v>
      </c>
      <c r="P13" t="s">
        <v>3</v>
      </c>
      <c r="R13" t="s">
        <v>30</v>
      </c>
    </row>
    <row r="14" spans="3:19" ht="19.5">
      <c r="C14" t="s">
        <v>5</v>
      </c>
      <c r="F14" t="s">
        <v>6</v>
      </c>
      <c r="N14" t="s">
        <v>7</v>
      </c>
      <c r="P14" t="s">
        <v>8</v>
      </c>
      <c r="R14" t="s">
        <v>31</v>
      </c>
      <c r="S14">
        <v>16916</v>
      </c>
    </row>
    <row r="15" spans="3:19" ht="19.5">
      <c r="N15">
        <v>954</v>
      </c>
      <c r="P15">
        <v>954</v>
      </c>
    </row>
    <row r="16" spans="3:19" ht="19.5">
      <c r="C16">
        <f>N15*F16</f>
        <v>746.00033399999995</v>
      </c>
      <c r="F16">
        <v>0.78197099999999997</v>
      </c>
      <c r="N16">
        <f>N15+C16</f>
        <v>1700.0003339999998</v>
      </c>
      <c r="P16">
        <v>1700</v>
      </c>
      <c r="R16" t="inlineStr">
        <is>
          <t>b: 17th</t>
        </is>
      </c>
    </row>
    <row r="17" spans="3:19" ht="19.5">
      <c r="C17">
        <f>N16*F17</f>
        <v>780.00095324721599</v>
      </c>
      <c r="F17">
        <v>0.45882400000000001</v>
      </c>
      <c r="N17">
        <f>N16+C17</f>
        <v>2480.0012872472157</v>
      </c>
      <c r="P17">
        <v>2480</v>
      </c>
    </row>
    <row r="18" spans="3:19" ht="19.5">
      <c r="C18">
        <f>N17*F18</f>
        <v>1672.0007478537057</v>
      </c>
      <c r="F18">
        <v>0.6741935</v>
      </c>
      <c r="N18">
        <f>N17+C18</f>
        <v>4152.0020351009216</v>
      </c>
      <c r="P18">
        <v>4152</v>
      </c>
      <c r="R18" t="inlineStr">
        <is>
          <t>b: 5365</t>
        </is>
      </c>
    </row>
    <row r="19" spans="3:19" ht="19.5">
      <c r="C19">
        <f>N18*F19</f>
        <v>1212.9658745343834</v>
      </c>
      <c r="F19">
        <v>0.29214000000000001</v>
      </c>
      <c r="N19">
        <f>N18+C19</f>
        <v>5364.9679096353047</v>
      </c>
    </row>
    <row r="20" spans="3:19" ht="19.5">
      <c r="C20">
        <f>N19*F20</f>
        <v>590.14647005988354</v>
      </c>
      <c r="F20">
        <v>0.11</v>
      </c>
      <c r="N20">
        <f>N19+C20</f>
        <v>5955.1143796951883</v>
      </c>
      <c r="P20">
        <v>5715</v>
      </c>
      <c r="Q20" t="inlineStr">
        <is>
          <t>1648z</t>
        </is>
      </c>
    </row>
    <row r="21" spans="3:19" ht="19.5">
      <c r="C21">
        <f>N20*F21</f>
        <v>655.06258176647077</v>
      </c>
      <c r="F21">
        <f>F20</f>
        <v>0.11</v>
      </c>
      <c r="N21">
        <f>N20+C21</f>
        <v>6610.1769614616587</v>
      </c>
    </row>
    <row r="22" spans="3:19" ht="19.5">
      <c r="C22">
        <f>N21*F22</f>
        <v>727.11946576078242</v>
      </c>
      <c r="F22">
        <f>F21</f>
        <v>0.11</v>
      </c>
      <c r="N22">
        <f>N21+C22</f>
        <v>7337.2964272224408</v>
      </c>
    </row>
    <row r="23" spans="3:19" ht="19.5">
      <c r="C23">
        <f>N22*F23</f>
        <v>807.10260699446849</v>
      </c>
      <c r="F23">
        <f>F22</f>
        <v>0.11</v>
      </c>
      <c r="N23">
        <f>N22+C23</f>
        <v>8144.3990342169091</v>
      </c>
    </row>
    <row r="24" spans="3:19" ht="19.5">
      <c r="C24">
        <f>N23*F24</f>
        <v>895.88389376385999</v>
      </c>
      <c r="F24">
        <f>F23</f>
        <v>0.11</v>
      </c>
      <c r="N24">
        <f>N23+C24</f>
        <v>9040.2829279807684</v>
      </c>
    </row>
    <row r="25" spans="3:19" ht="19.5">
      <c r="C25">
        <f>N24*F25</f>
        <v>994.43112207788454</v>
      </c>
      <c r="F25">
        <f>F24</f>
        <v>0.11</v>
      </c>
      <c r="N25">
        <f>N24+C25</f>
        <v>10034.714050058654</v>
      </c>
    </row>
    <row r="26" spans="3:19" ht="19.5">
      <c r="C26">
        <f>N25*F26</f>
        <v>1103.818545506452</v>
      </c>
      <c r="F26">
        <f>F25</f>
        <v>0.11</v>
      </c>
      <c r="N26">
        <f>N25+C26</f>
        <v>11138.532595565106</v>
      </c>
    </row>
    <row r="27" spans="3:19" ht="19.5">
      <c r="C27">
        <f>N26*F27</f>
        <v>1225.2385855121618</v>
      </c>
      <c r="F27">
        <f>F26</f>
        <v>0.11</v>
      </c>
      <c r="N27">
        <f>N26+C27</f>
        <v>12363.771181077267</v>
      </c>
    </row>
    <row r="28" spans="3:19" ht="19.5">
      <c r="C28">
        <f>N27*F28</f>
        <v>1360.0148299184993</v>
      </c>
      <c r="F28">
        <f>F27</f>
        <v>0.11</v>
      </c>
      <c r="N28">
        <f>N27+C28</f>
        <v>13723.786010995766</v>
      </c>
    </row>
    <row r="29" spans="3:19" ht="19.5">
      <c r="C29">
        <f>N28*F29</f>
        <v>1509.6164612095342</v>
      </c>
      <c r="F29">
        <f>F28</f>
        <v>0.11</v>
      </c>
      <c r="N29">
        <f>N28+C29</f>
        <v>15233.4024722053</v>
      </c>
    </row>
    <row r="30" spans="3:19" ht="19.5">
      <c r="C30">
        <f>N29*F30</f>
        <v>1675.6742719425831</v>
      </c>
      <c r="F30">
        <f>F29</f>
        <v>0.11</v>
      </c>
      <c r="N30">
        <f>N29+C30</f>
        <v>16909.076744147882</v>
      </c>
    </row>
    <row r="31" spans="3:19" ht="19.5">
      <c r="C31">
        <f>N30*F31</f>
        <v>1859.9984418562669</v>
      </c>
      <c r="F31">
        <f>F30</f>
        <v>0.11</v>
      </c>
      <c r="N31">
        <f>N30+C31</f>
        <v>18769.075186004149</v>
      </c>
    </row>
    <row r="32" spans="3:19" ht="19.5">
      <c r="C32">
        <f>N31*F32</f>
        <v>2064.5982704604562</v>
      </c>
      <c r="F32">
        <f>F31</f>
        <v>0.11</v>
      </c>
      <c r="N32">
        <f>N31+C32</f>
        <v>20833.673456464607</v>
      </c>
    </row>
    <row r="33" spans="3:19" ht="19.5">
      <c r="C33">
        <f>N32*F33</f>
        <v>2291.7040802111069</v>
      </c>
      <c r="F33">
        <f>F32</f>
        <v>0.11</v>
      </c>
      <c r="N33">
        <f>N32+C33</f>
        <v>23125.377536675715</v>
      </c>
    </row>
    <row r="34" spans="3:19" ht="19.5">
      <c r="C34">
        <f>N33*F34</f>
        <v>2543.7915290343285</v>
      </c>
      <c r="F34">
        <f>F33</f>
        <v>0.11</v>
      </c>
      <c r="N34">
        <f>N33+C34</f>
        <v>25669.169065710044</v>
      </c>
    </row>
    <row r="35" spans="3:19" ht="19.5">
      <c r="C35">
        <f>N34*F35</f>
        <v>2823.6085972281048</v>
      </c>
      <c r="F35">
        <f>F34</f>
        <v>0.11</v>
      </c>
      <c r="N35">
        <f>N34+C35</f>
        <v>28492.777662938148</v>
      </c>
    </row>
    <row r="36" spans="3:19" ht="19.5">
      <c r="C36">
        <f>N35*F36</f>
        <v>3134.2055429231964</v>
      </c>
      <c r="F36">
        <f>F35</f>
        <v>0.11</v>
      </c>
      <c r="N36">
        <f>N35+C36</f>
        <v>31626.983205861343</v>
      </c>
    </row>
    <row r="37" spans="3:19" ht="19.5">
      <c r="C37">
        <f>N36*F37</f>
        <v>3478.9681526447475</v>
      </c>
      <c r="F37">
        <f>F36</f>
        <v>0.11</v>
      </c>
      <c r="N37">
        <f>N36+C37</f>
        <v>35105.951358506092</v>
      </c>
    </row>
    <row r="38" spans="3:19" ht="19.5">
      <c r="C38">
        <f>N37*F38</f>
        <v>3861.6546494356703</v>
      </c>
      <c r="F38">
        <f>F37</f>
        <v>0.11</v>
      </c>
      <c r="N38">
        <f>N37+C38</f>
        <v>38967.606007941766</v>
      </c>
    </row>
    <row r="39" spans="3:19" ht="19.5">
      <c r="C39">
        <f>N38*F39</f>
        <v>4286.4366608735945</v>
      </c>
      <c r="F39">
        <f>F38</f>
        <v>0.11</v>
      </c>
      <c r="N39">
        <f>N38+C39</f>
        <v>43254.04266881536</v>
      </c>
    </row>
    <row r="40" spans="3:19" ht="19.5">
      <c r="C40">
        <f>N39*F40</f>
        <v>4757.9446935696897</v>
      </c>
      <c r="F40">
        <f>F39</f>
        <v>0.11</v>
      </c>
      <c r="N40">
        <f>N39+C40</f>
        <v>48011.987362385051</v>
      </c>
    </row>
    <row r="41" spans="3:19" ht="19.5">
      <c r="C41">
        <f>N40*F41</f>
        <v>5281.3186098623555</v>
      </c>
      <c r="F41">
        <f>F40</f>
        <v>0.11</v>
      </c>
      <c r="N41">
        <f>N40+C41</f>
        <v>53293.305972247406</v>
      </c>
    </row>
    <row r="42" spans="3:19" ht="19.5">
      <c r="C42">
        <f>N41*F42</f>
        <v>5862.2636569472152</v>
      </c>
      <c r="F42">
        <f>F41</f>
        <v>0.11</v>
      </c>
      <c r="N42">
        <f>N41+C42</f>
        <v>59155.569629194622</v>
      </c>
    </row>
    <row r="43" spans="3:19" ht="19.5">
      <c r="C43">
        <f>N42*F43</f>
        <v>6507.1126592114088</v>
      </c>
      <c r="F43">
        <f>F42</f>
        <v>0.11</v>
      </c>
      <c r="N43">
        <f>N42+C43</f>
        <v>65662.682288406038</v>
      </c>
    </row>
    <row r="44" spans="3:19" ht="19.5">
      <c r="C44">
        <f>N43*F44</f>
        <v>7222.895051724664</v>
      </c>
      <c r="F44">
        <f>F43</f>
        <v>0.11</v>
      </c>
      <c r="N44">
        <f>N43+C44</f>
        <v>72885.577340130709</v>
      </c>
    </row>
    <row r="45" spans="3:19" ht="19.5">
      <c r="C45">
        <f>N44*F45</f>
        <v>8017.4135074143778</v>
      </c>
      <c r="F45">
        <f>F44</f>
        <v>0.11</v>
      </c>
      <c r="N45">
        <f>N44+C45</f>
        <v>80902.990847545094</v>
      </c>
    </row>
    <row r="46" spans="3:19" ht="19.5">
      <c r="C46">
        <f>N45*F46</f>
        <v>8899.3289932299613</v>
      </c>
      <c r="F46">
        <f>F45</f>
        <v>0.11</v>
      </c>
      <c r="N46">
        <f>N45+C46</f>
        <v>89802.319840775061</v>
      </c>
    </row>
    <row r="47" spans="3:19" ht="19.5">
      <c r="C47">
        <f>N46*F47</f>
        <v>9878.2551824852562</v>
      </c>
      <c r="F47">
        <f>F46</f>
        <v>0.11</v>
      </c>
      <c r="N47">
        <f>N46+C47</f>
        <v>99680.575023260317</v>
      </c>
    </row>
    <row r="48" spans="3:19" ht="19.5">
      <c r="C48">
        <f>N47*F48</f>
        <v>10964.863252558634</v>
      </c>
      <c r="F48">
        <f>F47</f>
        <v>0.11</v>
      </c>
      <c r="N48">
        <f>N47+C48</f>
        <v>110645.43827581895</v>
      </c>
    </row>
    <row r="49" spans="3:19" ht="19.5">
      <c r="C49">
        <f>N48*F49</f>
        <v>12170.998210340083</v>
      </c>
      <c r="F49">
        <f>F48</f>
        <v>0.11</v>
      </c>
      <c r="N49">
        <f>N48+C49</f>
        <v>122816.43648615903</v>
      </c>
    </row>
    <row r="50" spans="3:19" ht="19.5">
      <c r="C50">
        <f>N49*F50</f>
        <v>13509.808013477494</v>
      </c>
      <c r="F50">
        <f>F49</f>
        <v>0.11</v>
      </c>
      <c r="N50">
        <f>N49+C50</f>
        <v>136326.24449963652</v>
      </c>
    </row>
    <row r="51" spans="3:19" ht="19.5">
      <c r="C51">
        <f>N50*F51</f>
        <v>14995.886894960018</v>
      </c>
      <c r="F51">
        <f>F50</f>
        <v>0.11</v>
      </c>
      <c r="N51">
        <f>N50+C51</f>
        <v>151322.13139459654</v>
      </c>
    </row>
    <row r="52" spans="3:19" ht="19.5">
      <c r="C52">
        <f>N51*F52</f>
        <v>16645.434453405618</v>
      </c>
      <c r="F52">
        <f>F51</f>
        <v>0.11</v>
      </c>
      <c r="N52">
        <f>N51+C52</f>
        <v>167967.56584800215</v>
      </c>
    </row>
    <row r="53" spans="3:19" ht="19.5">
      <c r="C53">
        <f>N52*F53</f>
        <v>18476.432243280236</v>
      </c>
      <c r="F53">
        <f>F52</f>
        <v>0.11</v>
      </c>
      <c r="N53">
        <f>N52+C53</f>
        <v>186443.99809128238</v>
      </c>
    </row>
    <row r="54" spans="3:19" ht="19.5">
      <c r="C54">
        <f>N53*F54</f>
        <v>20508.839790041064</v>
      </c>
      <c r="F54">
        <f>F53</f>
        <v>0.11</v>
      </c>
      <c r="N54">
        <f>N53+C54</f>
        <v>206952.83788132344</v>
      </c>
    </row>
    <row r="55" spans="3:19" ht="19.5">
      <c r="C55">
        <f>N54*F55</f>
        <v>22764.81216694558</v>
      </c>
      <c r="F55">
        <f>F54</f>
        <v>0.11</v>
      </c>
      <c r="N55">
        <f>N54+C55</f>
        <v>229717.65004826902</v>
      </c>
    </row>
    <row r="56" spans="3:19" ht="19.5">
      <c r="C56">
        <f>N55*F56</f>
        <v>25268.941505309591</v>
      </c>
      <c r="F56">
        <f>F55</f>
        <v>0.11</v>
      </c>
      <c r="N56">
        <f>N55+C56</f>
        <v>254986.59155357862</v>
      </c>
    </row>
    <row r="57" spans="3:19" ht="19.5">
      <c r="C57">
        <f>N56*F57</f>
        <v>28048.525070893647</v>
      </c>
      <c r="F57">
        <f>F56</f>
        <v>0.11</v>
      </c>
      <c r="N57">
        <f>N56+C57</f>
        <v>283035.11662447226</v>
      </c>
    </row>
    <row r="58" spans="3:19" ht="19.5">
      <c r="C58">
        <f>N57*F58</f>
        <v>31133.862828691948</v>
      </c>
      <c r="F58">
        <f>F57</f>
        <v>0.11</v>
      </c>
      <c r="N58">
        <f>N57+C58</f>
        <v>314168.97945316421</v>
      </c>
    </row>
    <row r="59" spans="3:19" ht="19.5">
      <c r="C59">
        <f>N58*F59</f>
        <v>34558.587739848066</v>
      </c>
      <c r="F59">
        <f>F58</f>
        <v>0.11</v>
      </c>
      <c r="N59">
        <f>N58+C59</f>
        <v>348727.56719301228</v>
      </c>
    </row>
    <row r="60" spans="3:19" ht="19.5">
      <c r="C60">
        <f>N59*F60</f>
        <v>38360.032391231354</v>
      </c>
      <c r="F60">
        <f>F59</f>
        <v>0.11</v>
      </c>
      <c r="N60">
        <f>N59+C60</f>
        <v>387087.59958424361</v>
      </c>
    </row>
    <row r="61" spans="3:19" ht="19.5">
      <c r="C61">
        <f>N60*F61</f>
        <v>42579.6359542668</v>
      </c>
      <c r="F61">
        <f>F60</f>
        <v>0.11</v>
      </c>
      <c r="N61">
        <f>N60+C61</f>
        <v>429667.23553851043</v>
      </c>
    </row>
    <row r="62" spans="3:19" ht="19.5">
      <c r="C62">
        <f>N61*F62</f>
        <v>47263.395909236147</v>
      </c>
      <c r="F62">
        <f>F61</f>
        <v>0.11</v>
      </c>
      <c r="N62">
        <f>N61+C62</f>
        <v>476930.63144774659</v>
      </c>
    </row>
    <row r="63" spans="3:19" ht="19.5">
      <c r="C63">
        <f>N62*F63</f>
        <v>52462.369459252128</v>
      </c>
      <c r="F63">
        <f>F62</f>
        <v>0.11</v>
      </c>
      <c r="N63">
        <f>N62+C63</f>
        <v>529393.00090699876</v>
      </c>
    </row>
    <row r="64" spans="3:19" ht="19.5">
      <c r="C64">
        <f>N63*F64</f>
        <v>58233.230099769862</v>
      </c>
      <c r="F64">
        <f>F63</f>
        <v>0.11</v>
      </c>
      <c r="N64">
        <f>N63+C64</f>
        <v>587626.23100676865</v>
      </c>
    </row>
    <row r="65" spans="3:19" ht="19.5">
      <c r="C65">
        <f>N64*F65</f>
        <v>64638.885410744551</v>
      </c>
      <c r="F65">
        <f>F64</f>
        <v>0.11</v>
      </c>
      <c r="N65">
        <f>N64+C65</f>
        <v>652265.11641751323</v>
      </c>
    </row>
    <row r="66" spans="3:19" ht="19.5">
      <c r="C66">
        <f>N65*F66</f>
        <v>71749.162805926462</v>
      </c>
      <c r="F66">
        <f>F65</f>
        <v>0.11</v>
      </c>
      <c r="N66">
        <f>N65+C66</f>
        <v>724014.27922343975</v>
      </c>
    </row>
    <row r="67" spans="3:19" ht="19.5">
      <c r="C67">
        <f>N66*F67</f>
        <v>79641.570714578367</v>
      </c>
      <c r="F67">
        <f>F66</f>
        <v>0.11</v>
      </c>
      <c r="N67">
        <f>N66+C67</f>
        <v>803655.84993801813</v>
      </c>
    </row>
    <row r="68" spans="3:19" ht="19.5">
      <c r="C68">
        <f>N67*F68</f>
        <v>88402.143493181997</v>
      </c>
      <c r="F68">
        <f>F67</f>
        <v>0.11</v>
      </c>
      <c r="N68">
        <f>N67+C68</f>
        <v>892057.99343120016</v>
      </c>
    </row>
    <row r="69" spans="3:19" ht="19.5">
      <c r="C69">
        <f>N68*F69</f>
        <v>98126.379277432017</v>
      </c>
      <c r="F69">
        <f>F68</f>
        <v>0.11</v>
      </c>
      <c r="N69">
        <f>N68+C69</f>
        <v>990184.37270863215</v>
      </c>
    </row>
    <row r="70" spans="3:19" ht="19.5">
      <c r="C70">
        <f>N69*F70</f>
        <v>108920.28099794954</v>
      </c>
      <c r="F70">
        <f>F69</f>
        <v>0.11</v>
      </c>
      <c r="N70">
        <f>N69+C70</f>
        <v>1099104.6537065818</v>
      </c>
    </row>
    <row r="71" spans="3:19" ht="19.5">
      <c r="C71">
        <f>N70*F71</f>
        <v>120901.51190772399</v>
      </c>
      <c r="F71">
        <f>F70</f>
        <v>0.11</v>
      </c>
      <c r="N71">
        <f>N70+C71</f>
        <v>1220006.1656143058</v>
      </c>
    </row>
    <row r="72" spans="3:19" ht="19.5">
      <c r="C72">
        <f>N71*F72</f>
        <v>134200.67821757364</v>
      </c>
      <c r="F72">
        <f>F71</f>
        <v>0.11</v>
      </c>
      <c r="N72">
        <f>N71+C72</f>
        <v>1354206.8438318793</v>
      </c>
    </row>
    <row r="73" spans="3:19" ht="19.5">
      <c r="C73">
        <f>N72*F73</f>
        <v>148962.75282150673</v>
      </c>
      <c r="F73">
        <f>F72</f>
        <v>0.11</v>
      </c>
      <c r="N73">
        <f>N72+C73</f>
        <v>1503169.596653386</v>
      </c>
    </row>
    <row r="74" spans="3:19" ht="19.5">
      <c r="C74">
        <f>N73*F74</f>
        <v>165348.65563187248</v>
      </c>
      <c r="F74">
        <f>F73</f>
        <v>0.11</v>
      </c>
      <c r="N74">
        <f>N73+C74</f>
        <v>1668518.2522852584</v>
      </c>
    </row>
    <row r="75" spans="3:19" ht="19.5">
      <c r="C75">
        <f>N74*F75</f>
        <v>183537.00775137843</v>
      </c>
      <c r="F75">
        <f>F74</f>
        <v>0.11</v>
      </c>
      <c r="N75">
        <f>N74+C75</f>
        <v>1852055.2600366368</v>
      </c>
    </row>
    <row r="76" spans="3:19" ht="19.5">
      <c r="C76">
        <f>N75*F76</f>
        <v>203726.07860403004</v>
      </c>
      <c r="F76">
        <f>F75</f>
        <v>0.11</v>
      </c>
      <c r="N76">
        <f>N75+C76</f>
        <v>2055781.3386406668</v>
      </c>
    </row>
    <row r="77" spans="3:19" ht="19.5">
      <c r="C77">
        <f>N76*F77</f>
        <v>226135.94725047334</v>
      </c>
      <c r="F77">
        <f>F76</f>
        <v>0.11</v>
      </c>
      <c r="N77">
        <f>N76+C77</f>
        <v>2281917.2858911403</v>
      </c>
    </row>
    <row r="78" spans="3:19" ht="19.5">
      <c r="C78">
        <f>N77*F78</f>
        <v>251010.90144802543</v>
      </c>
      <c r="F78">
        <f>F77</f>
        <v>0.11</v>
      </c>
      <c r="N78">
        <f>N77+C78</f>
        <v>2532928.1873391657</v>
      </c>
    </row>
    <row r="79" spans="3:19" ht="19.5">
      <c r="C79">
        <f>N78*F79</f>
        <v>278622.10060730821</v>
      </c>
      <c r="F79">
        <f>F78</f>
        <v>0.11</v>
      </c>
      <c r="N79">
        <f>N78+C79</f>
        <v>2811550.2879464738</v>
      </c>
    </row>
    <row r="80" spans="3:19" ht="19.5">
      <c r="C80">
        <f>N79*F80</f>
        <v>309270.53167411214</v>
      </c>
      <c r="F80">
        <f>F79</f>
        <v>0.11</v>
      </c>
      <c r="N80">
        <f>N79+C80</f>
        <v>3120820.819620586</v>
      </c>
    </row>
    <row r="81" spans="3:19" ht="19.5">
      <c r="C81">
        <f>N80*F81</f>
        <v>343290.29015826446</v>
      </c>
      <c r="F81">
        <f>F80</f>
        <v>0.11</v>
      </c>
      <c r="N81">
        <f>N80+C81</f>
        <v>3464111.1097788503</v>
      </c>
    </row>
    <row r="82" spans="3:19" ht="19.5">
      <c r="C82">
        <f>N81*F82</f>
        <v>381052.22207567352</v>
      </c>
      <c r="F82">
        <f>F81</f>
        <v>0.11</v>
      </c>
      <c r="N82">
        <f>N81+C82</f>
        <v>3845163.3318545241</v>
      </c>
    </row>
    <row r="83" spans="3:19" ht="19.5">
      <c r="C83">
        <f>N82*F83</f>
        <v>422967.96650399762</v>
      </c>
      <c r="F83">
        <f>F82</f>
        <v>0.11</v>
      </c>
      <c r="N83">
        <f>N82+C83</f>
        <v>4268131.2983585214</v>
      </c>
    </row>
    <row r="84" spans="3:19" ht="19.5">
      <c r="C84">
        <f>N83*F84</f>
        <v>469494.44281943736</v>
      </c>
      <c r="F84">
        <f>F83</f>
        <v>0.11</v>
      </c>
      <c r="N84">
        <f>N83+C84</f>
        <v>4737625.7411779584</v>
      </c>
    </row>
    <row r="85" spans="3:19" ht="19.5">
      <c r="C85">
        <f>N84*F85</f>
        <v>521138.83152957546</v>
      </c>
      <c r="F85">
        <f>F84</f>
        <v>0.11</v>
      </c>
      <c r="N85">
        <f>N84+C85</f>
        <v>5258764.5727075338</v>
      </c>
    </row>
    <row r="86" spans="3:19" ht="19.5">
      <c r="C86">
        <f>N85*F86</f>
        <v>578464.10299782874</v>
      </c>
      <c r="F86">
        <f>F85</f>
        <v>0.11</v>
      </c>
      <c r="N86">
        <f>N85+C86</f>
        <v>5837228.6757053621</v>
      </c>
    </row>
    <row r="87" spans="3:19" ht="19.5">
      <c r="C87">
        <f>N86*F87</f>
        <v>642095.15432758979</v>
      </c>
      <c r="F87">
        <f>F86</f>
        <v>0.11</v>
      </c>
      <c r="N87">
        <f>N86+C87</f>
        <v>6479323.8300329521</v>
      </c>
    </row>
    <row r="88" spans="3:19" ht="19.5">
      <c r="C88">
        <f>N87*F88</f>
        <v>712725.62130362471</v>
      </c>
      <c r="F88">
        <f>F87</f>
        <v>0.11</v>
      </c>
      <c r="N88">
        <f>N87+C88</f>
        <v>7192049.4513365766</v>
      </c>
    </row>
    <row r="89" spans="3:19" ht="19.5">
      <c r="C89">
        <f>N88*F89</f>
        <v>791125.43964702345</v>
      </c>
      <c r="F89">
        <f>F88</f>
        <v>0.11</v>
      </c>
      <c r="N89">
        <f>N88+C89</f>
        <v>7983174.8909836002</v>
      </c>
    </row>
    <row r="90" spans="3:19" ht="19.5">
      <c r="C90">
        <f>N89*F90</f>
        <v>878149.238008196</v>
      </c>
      <c r="F90">
        <f>F89</f>
        <v>0.11</v>
      </c>
      <c r="N90">
        <f>N89+C90</f>
        <v>8861324.1289917957</v>
      </c>
    </row>
    <row r="91" spans="3:19" ht="19.5">
      <c r="C91">
        <f>N90*F91</f>
        <v>974745.65418909758</v>
      </c>
      <c r="F91">
        <f>F90</f>
        <v>0.11</v>
      </c>
      <c r="N91">
        <f>N90+C91</f>
        <v>9836069.7831808925</v>
      </c>
    </row>
    <row r="92" spans="3:19" ht="19.5">
      <c r="C92">
        <f>N91*F92</f>
        <v>1081967.6761498982</v>
      </c>
      <c r="F92">
        <f>F91</f>
        <v>0.11</v>
      </c>
      <c r="N92">
        <f>N91+C92</f>
        <v>10918037.45933079</v>
      </c>
    </row>
    <row r="93" spans="3:19" ht="19.5">
      <c r="C93">
        <f>N92*F93</f>
        <v>1200984.1205263869</v>
      </c>
      <c r="F93">
        <f>F92</f>
        <v>0.11</v>
      </c>
      <c r="N93">
        <f>N92+C93</f>
        <v>12119021.579857176</v>
      </c>
    </row>
    <row r="94" spans="3:19" ht="19.5">
      <c r="C94">
        <f>N93*F94</f>
        <v>1333092.3737842895</v>
      </c>
      <c r="F94">
        <f>F93</f>
        <v>0.11</v>
      </c>
      <c r="N94">
        <f>N93+C94</f>
        <v>13452113.953641465</v>
      </c>
    </row>
    <row r="95" spans="3:19" ht="19.5">
      <c r="C95">
        <f>N94*F95</f>
        <v>1479732.5349005612</v>
      </c>
      <c r="F95">
        <f>F94</f>
        <v>0.11</v>
      </c>
      <c r="N95">
        <f>N94+C95</f>
        <v>14931846.488542026</v>
      </c>
    </row>
    <row r="96" spans="3:19" ht="19.5">
      <c r="C96">
        <f>N95*F96</f>
        <v>1642503.1137396228</v>
      </c>
      <c r="F96">
        <f>F95</f>
        <v>0.11</v>
      </c>
      <c r="N96">
        <f>N95+C96</f>
        <v>16574349.602281649</v>
      </c>
    </row>
    <row r="97" spans="3:19" ht="19.5">
      <c r="C97">
        <f>N96*F97</f>
        <v>1823178.4562509814</v>
      </c>
      <c r="F97">
        <f>F96</f>
        <v>0.11</v>
      </c>
      <c r="N97">
        <f>N96+C97</f>
        <v>18397528.058532629</v>
      </c>
    </row>
    <row r="98" spans="3:19" ht="19.5">
      <c r="C98">
        <f>N97*F98</f>
        <v>2023728.0864385893</v>
      </c>
      <c r="F98">
        <f>F97</f>
        <v>0.11</v>
      </c>
      <c r="N98">
        <f>N97+C98</f>
        <v>20421256.144971218</v>
      </c>
    </row>
    <row r="99" spans="3:19" ht="19.5">
      <c r="C99">
        <f>N98*F99</f>
        <v>2246338.175946834</v>
      </c>
      <c r="F99">
        <f>F98</f>
        <v>0.11</v>
      </c>
      <c r="N99">
        <f>N98+C99</f>
        <v>22667594.320918053</v>
      </c>
    </row>
    <row r="100" spans="3:19" ht="19.5">
      <c r="C100">
        <f>N99*F100</f>
        <v>2493435.3753009858</v>
      </c>
      <c r="F100">
        <f>F99</f>
        <v>0.11</v>
      </c>
      <c r="N100">
        <f>N99+C100</f>
        <v>25161029.696219038</v>
      </c>
    </row>
    <row r="101" spans="3:19" ht="19.5">
      <c r="C101">
        <f>N100*F101</f>
        <v>2767713.2665840941</v>
      </c>
      <c r="F101">
        <f>F100</f>
        <v>0.11</v>
      </c>
      <c r="N101">
        <f>N100+C101</f>
        <v>27928742.962803133</v>
      </c>
    </row>
    <row r="102" spans="3:19" ht="19.5">
      <c r="C102">
        <f>N101*F102</f>
        <v>3072161.7259083446</v>
      </c>
      <c r="F102">
        <f>F101</f>
        <v>0.11</v>
      </c>
      <c r="N102">
        <f>N101+C102</f>
        <v>31000904.688711479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" style="1" width="9.142307692307693"/>
    <col min="2" max="256" style="1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1.1232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2020-05-03T21:15:20Z</dcterms:modified>
  <dcterms:created xsi:type="dcterms:W3CDTF">2020-03-17T20:51:58Z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