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8940" windowHeight="8410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Sheet_Title" localSheetId="0">"Sheet1"</definedName>
    <definedName name="_xlnm.Print_Area" localSheetId="1">#REF!</definedName>
    <definedName name="_xlnm.Sheet_Title" localSheetId="1">"Sheet2"</definedName>
    <definedName name="_xlnm.Print_Area" localSheetId="2">#REF!</definedName>
    <definedName name="_xlnm.Sheet_Title" localSheetId="2">"Sheet3"</definedName>
  </definedNames>
  <calcPr calcMode="auto" iterate="1" iterateCount="100" iterateDelta="0.001"/>
  <webPublishing allowPng="1" css="0" characterSet="UTF-8"/>
</workbook>
</file>

<file path=xl/sharedStrings.xml><?xml version="1.0" encoding="utf-8"?>
<sst xmlns="http://schemas.openxmlformats.org/spreadsheetml/2006/main" uniqueCount="18" count="18">
  <si>
    <t>Non-</t>
  </si>
  <si>
    <t>New</t>
  </si>
  <si>
    <t>Calculated</t>
  </si>
  <si>
    <t>in</t>
  </si>
  <si>
    <t>Growth:</t>
  </si>
  <si>
    <t>Multiplier:</t>
  </si>
  <si>
    <t>New Total:</t>
  </si>
  <si>
    <t>Data:</t>
  </si>
  <si>
    <t>Total:</t>
  </si>
  <si>
    <t>hosp:</t>
  </si>
  <si>
    <t>Dead:</t>
  </si>
  <si>
    <t>Sun</t>
  </si>
  <si>
    <t>Mon</t>
  </si>
  <si>
    <t>Tue</t>
  </si>
  <si>
    <t>Wed</t>
  </si>
  <si>
    <t>Thu</t>
  </si>
  <si>
    <t>Fri</t>
  </si>
  <si>
    <t>Sat</t>
  </si>
</sst>
</file>

<file path=xl/styles.xml><?xml version="1.0" encoding="utf-8"?>
<styleSheet xmlns="http://schemas.openxmlformats.org/spreadsheetml/2006/main">
  <numFmts count="4">
    <numFmt formatCode="0.0%_);(0.0%)" numFmtId="100"/>
    <numFmt formatCode="d-mmm-yyyy" numFmtId="101"/>
    <numFmt formatCode="0%_);(0%)" numFmtId="102"/>
    <numFmt formatCode="0.000_);(0.000)" numFmtId="103"/>
  </numFmts>
  <fonts count="1"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8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3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101" xfId="0">
      <alignment horizontal="general" vertical="bottom" wrapText="0" shrinkToFit="0" textRotation="0" indent="0"/>
    </xf>
    <xf applyAlignment="1" applyBorder="1" applyFont="1" applyFill="1" applyNumberFormat="1" fontId="0" fillId="0" borderId="0" numFmtId="102" xfId="0">
      <alignment horizontal="general" vertical="bottom" wrapText="0" shrinkToFit="0" textRotation="0" indent="0"/>
    </xf>
    <xf applyAlignment="1" applyBorder="1" applyFont="1" applyFill="1" applyNumberFormat="1" fontId="0" fillId="0" borderId="0" numFmtId="103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BM518"/>
  <sheetViews>
    <sheetView workbookViewId="0" tabSelected="1">
      <pane ySplit="6" topLeftCell="A7" activePane="bottomLeft" state="frozen"/>
      <selection pane="bottomLeft" activeCell="A9" sqref="A9"/>
    </sheetView>
  </sheetViews>
  <sheetFormatPr defaultRowHeight="12.75"/>
  <cols>
    <col min="1" max="1" style="1" width="9.142307692307693"/>
    <col min="2" max="2" style="1" width="5.57109375" customWidth="1"/>
    <col min="3" max="3" style="2" width="15.427644230769232" customWidth="1"/>
    <col min="4" max="4" style="3" width="17.141826923076923" customWidth="1"/>
    <col min="5" max="5" style="1" width="7.9995192307692315" customWidth="1"/>
    <col min="6" max="6" style="1" width="24.569951923076925" customWidth="1"/>
    <col min="7" max="7" style="1" width="18.284615384615385" customWidth="1"/>
    <col min="8" max="8" style="2" width="19.427403846153847" bestFit="1" customWidth="1"/>
    <col min="9" max="9" style="1" width="19.427403846153847" customWidth="1"/>
    <col min="10" max="10" style="2" width="22.855769230769234" customWidth="1"/>
    <col min="11" max="11" style="1" width="24.569951923076925" customWidth="1"/>
    <col min="12" max="12" style="1" width="11.85643028846154" bestFit="1" customWidth="1"/>
    <col min="13" max="13" style="1" width="21.141586538461542" customWidth="1"/>
    <col min="14" max="14" style="1" width="10.570793269230771" customWidth="1"/>
    <col min="15" max="15" style="1" width="10.856490384615386" customWidth="1"/>
    <col min="16" max="16" style="1" width="16.85612980769231" customWidth="1"/>
    <col min="17" max="17" style="1" width="21.141586538461542" customWidth="1"/>
    <col min="18" max="18" style="1" width="13.570612980769232" bestFit="1" customWidth="1"/>
    <col min="19" max="19" style="1" width="11.427884615384617" bestFit="1" customWidth="1"/>
    <col min="20" max="20" style="1" width="17.99891826923077" customWidth="1"/>
    <col min="21" max="21" style="1" width="21.141586538461542" customWidth="1"/>
    <col min="22" max="23" style="1" width="11.427884615384617" bestFit="1" customWidth="1"/>
    <col min="24" max="24" style="1" width="9.142307692307693"/>
    <col min="25" max="25" style="1" width="21.141586538461542" customWidth="1"/>
    <col min="26" max="26" style="1" width="13.570612980769232" bestFit="1" customWidth="1"/>
    <col min="27" max="27" style="1" width="11.427884615384617" bestFit="1" customWidth="1"/>
    <col min="28" max="28" style="1" width="9.142307692307693"/>
    <col min="29" max="29" style="1" width="21.141586538461542" customWidth="1"/>
    <col min="30" max="30" style="1" width="11.427884615384617" bestFit="1" customWidth="1"/>
    <col min="31" max="31" style="1" width="12.42782451923077" bestFit="1" customWidth="1"/>
    <col min="32" max="32" style="1" width="9.142307692307693"/>
    <col min="33" max="33" style="1" width="21.141586538461542" customWidth="1"/>
    <col min="34" max="34" style="1" width="12.42782451923077" bestFit="1" customWidth="1"/>
    <col min="35" max="35" style="1" width="11.427884615384617" bestFit="1" customWidth="1"/>
    <col min="36" max="36" style="1" width="9.142307692307693"/>
    <col min="37" max="37" style="1" width="21.141586538461542" customWidth="1"/>
    <col min="38" max="39" style="1" width="12.42782451923077" bestFit="1" customWidth="1"/>
    <col min="40" max="40" style="1" width="9.142307692307693"/>
    <col min="41" max="41" style="1" width="21.141586538461542" customWidth="1"/>
    <col min="42" max="42" style="1" width="11.427884615384617" bestFit="1" customWidth="1"/>
    <col min="43" max="44" style="1" width="12.42782451923077" bestFit="1" customWidth="1"/>
    <col min="45" max="45" style="1" width="21.141586538461542" customWidth="1"/>
    <col min="46" max="47" style="1" width="12.42782451923077" bestFit="1" customWidth="1"/>
    <col min="48" max="48" style="1" width="9.142307692307693"/>
    <col min="49" max="49" style="1" width="21.141586538461542" customWidth="1"/>
    <col min="50" max="51" style="1" width="11.427884615384617" bestFit="1" customWidth="1"/>
    <col min="52" max="52" style="1" width="17.284675480769234" customWidth="1"/>
    <col min="53" max="53" style="1" width="19.713100961538462" bestFit="1" customWidth="1"/>
    <col min="54" max="54" style="2" width="14.856250000000001" customWidth="1"/>
    <col min="55" max="55" style="4" width="14.28485576923077" customWidth="1"/>
    <col min="56" max="56" style="1" width="16.71328125" customWidth="1"/>
    <col min="57" max="65" style="1" width="11.85643028846154" bestFit="1" customWidth="1"/>
    <col min="66" max="256" style="1" width="9.142307692307693"/>
  </cols>
  <sheetData>
    <row r="1" spans="1:65" customHeight="1" ht="3">
      <c r="A1" t="inlineStr">
        <is>
          <t>a</t>
        </is>
      </c>
    </row>
    <row r="2" spans="1:65" customHeight="1" ht="3">
      <c r="A2" t="inlineStr">
        <is>
          <t>b</t>
        </is>
      </c>
    </row>
    <row r="3" spans="1:65" ht="19.5">
      <c r="A3" t="inlineStr">
        <is>
          <t>c</t>
        </is>
      </c>
      <c r="C3" t="inlineStr">
        <is>
          <t>Last revision:  Thursday, 09 Apr 2020 06:10 UTC</t>
        </is>
      </c>
    </row>
    <row r="4" spans="1:65" ht="19.5">
      <c r="A4" t="inlineStr">
        <is>
          <t>d</t>
        </is>
      </c>
      <c r="C4" s="1"/>
      <c r="I4" t="s">
        <v>0</v>
      </c>
      <c r="J4" t="inlineStr">
        <is>
          <t>United</t>
        </is>
      </c>
      <c r="M4" t="inlineStr">
        <is>
          <t>1. Litchfield</t>
        </is>
      </c>
      <c r="Q4" t="inlineStr">
        <is>
          <t>2. Hartford</t>
        </is>
      </c>
      <c r="U4" t="inlineStr">
        <is>
          <t>3. New Haven</t>
        </is>
      </c>
      <c r="Y4" t="inlineStr">
        <is>
          <t>4. Fairfield</t>
        </is>
      </c>
      <c r="AC4" t="inlineStr">
        <is>
          <t>5. Middlesex</t>
        </is>
      </c>
      <c r="AG4" t="inlineStr">
        <is>
          <t>6. Tolland</t>
        </is>
      </c>
      <c r="AK4" t="inlineStr">
        <is>
          <t>7. Windham</t>
        </is>
      </c>
      <c r="AO4" t="inlineStr">
        <is>
          <t>8. New London</t>
        </is>
      </c>
      <c r="AS4" t="inlineStr">
        <is>
          <t>9. Pending address</t>
        </is>
      </c>
      <c r="AW4" t="inlineStr">
        <is>
          <t>0. State of CT</t>
        </is>
      </c>
    </row>
    <row r="5" spans="1:65" ht="19.5">
      <c r="A5" t="inlineStr">
        <is>
          <t>e</t>
        </is>
      </c>
      <c r="C5" t="s">
        <v>1</v>
      </c>
      <c r="G5" t="inlineStr">
        <is>
          <t>50x</t>
        </is>
      </c>
      <c r="H5" t="s">
        <v>2</v>
      </c>
      <c r="I5" t="s">
        <v>2</v>
      </c>
      <c r="J5" t="inlineStr">
        <is>
          <t>States</t>
        </is>
      </c>
      <c r="K5" t="inlineStr">
        <is>
          <t>Connecticut,</t>
        </is>
      </c>
      <c r="N5" t="s">
        <v>3</v>
      </c>
      <c r="R5" t="s">
        <v>3</v>
      </c>
      <c r="BB5" t="inlineStr">
        <is>
          <t>United States,</t>
        </is>
      </c>
    </row>
    <row r="6" spans="1:65" ht="19.5">
      <c r="C6" t="s">
        <v>4</v>
      </c>
      <c r="D6" t="s">
        <v>5</v>
      </c>
      <c r="G6" t="inlineStr">
        <is>
          <t>measured:</t>
        </is>
      </c>
      <c r="H6" t="s">
        <v>6</v>
      </c>
      <c r="I6" t="s">
        <v>7</v>
      </c>
      <c r="J6" t="s">
        <v>8</v>
      </c>
      <c r="K6" t="s">
        <v>8</v>
      </c>
      <c r="M6" t="s">
        <v>8</v>
      </c>
      <c r="N6" t="s">
        <v>9</v>
      </c>
      <c r="O6" t="s">
        <v>10</v>
      </c>
      <c r="Q6" t="s">
        <v>8</v>
      </c>
      <c r="R6" t="s">
        <v>9</v>
      </c>
      <c r="S6" t="s">
        <v>10</v>
      </c>
      <c r="U6" t="s">
        <v>8</v>
      </c>
      <c r="V6" t="s">
        <v>9</v>
      </c>
      <c r="W6" t="s">
        <v>10</v>
      </c>
      <c r="Y6" t="s">
        <v>8</v>
      </c>
      <c r="Z6" t="s">
        <v>9</v>
      </c>
      <c r="AA6" t="s">
        <v>10</v>
      </c>
      <c r="AC6" t="s">
        <v>8</v>
      </c>
      <c r="AD6" t="s">
        <v>9</v>
      </c>
      <c r="AE6" t="s">
        <v>10</v>
      </c>
      <c r="AG6" t="s">
        <v>8</v>
      </c>
      <c r="AH6" t="s">
        <v>9</v>
      </c>
      <c r="AI6" t="s">
        <v>10</v>
      </c>
      <c r="AK6" t="s">
        <v>8</v>
      </c>
      <c r="AL6" t="s">
        <v>9</v>
      </c>
      <c r="AM6" t="s">
        <v>10</v>
      </c>
      <c r="AO6" t="s">
        <v>8</v>
      </c>
      <c r="AP6" t="s">
        <v>9</v>
      </c>
      <c r="AQ6" t="s">
        <v>10</v>
      </c>
      <c r="AS6" t="s">
        <v>8</v>
      </c>
      <c r="AT6" t="s">
        <v>9</v>
      </c>
      <c r="AU6" t="s">
        <v>10</v>
      </c>
      <c r="AW6" t="s">
        <v>8</v>
      </c>
      <c r="AX6" t="s">
        <v>9</v>
      </c>
      <c r="AY6" t="s">
        <v>10</v>
      </c>
      <c r="BB6" t="inlineStr">
        <is>
          <t>Confirmed</t>
        </is>
      </c>
    </row>
    <row r="7" spans="1:65" ht="19.5">
      <c r="C7" s="1"/>
      <c r="H7" s="1"/>
      <c r="BC7" s="1"/>
    </row>
    <row r="8" spans="1:65" ht="19.5">
      <c r="C8" s="1">
        <v>1</v>
      </c>
      <c r="D8">
        <v>0</v>
      </c>
      <c r="E8" t="s">
        <v>11</v>
      </c>
      <c r="F8" s="5">
        <v>43898</v>
      </c>
      <c r="G8" s="2">
        <f>H8*50</f>
        <v>50</v>
      </c>
      <c r="H8">
        <f>H7+C8</f>
        <v>1</v>
      </c>
      <c r="I8">
        <v>1</v>
      </c>
      <c r="K8">
        <f>M8+Q8+U8+Y8+AC8+AG8+AK8+AO8</f>
        <v>1</v>
      </c>
      <c r="M8">
        <f>M7+0</f>
        <v>0</v>
      </c>
      <c r="Y8">
        <f>Y7+1</f>
        <v>1</v>
      </c>
      <c r="AW8">
        <f>M8+Q8+U8+Y8+AC8+AG8+AK8+AO8</f>
        <v>1</v>
      </c>
      <c r="AX8">
        <f>N8+R8+V8+Z8+AD8+AH8+AL8+AP8</f>
        <v>0</v>
      </c>
      <c r="AY8">
        <f>O8+S8+W8+AA8+AE8+AI8+AM8+AQ8</f>
        <v>0</v>
      </c>
      <c r="BC8" s="1"/>
    </row>
    <row r="9" spans="1:65" ht="19.5">
      <c r="C9">
        <f>H8*D9</f>
        <v>1</v>
      </c>
      <c r="D9">
        <v>1</v>
      </c>
      <c r="E9" t="s">
        <v>12</v>
      </c>
      <c r="F9" s="5">
        <v>43899</v>
      </c>
      <c r="G9" s="2">
        <f>H9*50</f>
        <v>100</v>
      </c>
      <c r="H9">
        <f>H8+C9</f>
        <v>2</v>
      </c>
      <c r="I9">
        <v>2</v>
      </c>
      <c r="J9">
        <v>583</v>
      </c>
      <c r="K9">
        <f>M9+Q9+U9+Y9+AC9+AG9+AK9+AO9</f>
        <v>2</v>
      </c>
      <c r="M9">
        <f>M8+1</f>
        <v>1</v>
      </c>
      <c r="Y9">
        <f>Y8+0</f>
        <v>1</v>
      </c>
      <c r="AW9">
        <f>M9+Q9+U9+Y9+AC9+AG9+AK9+AO9</f>
        <v>2</v>
      </c>
      <c r="AX9">
        <f>N9+R9+V9+Z9+AD9+AH9+AL9+AP9</f>
        <v>0</v>
      </c>
      <c r="AY9">
        <f>O9+S9+W9+AA9+AE9+AI9+AM9+AQ9</f>
        <v>0</v>
      </c>
    </row>
    <row r="10" spans="1:65" ht="19.5">
      <c r="C10">
        <f>H9*D10</f>
        <v>0</v>
      </c>
      <c r="D10">
        <v>0</v>
      </c>
      <c r="E10" t="s">
        <v>13</v>
      </c>
      <c r="F10" s="5">
        <v>43900</v>
      </c>
      <c r="G10" s="2">
        <f>H10*50</f>
        <v>100</v>
      </c>
      <c r="H10">
        <f>H9+C10</f>
        <v>2</v>
      </c>
      <c r="I10">
        <v>2</v>
      </c>
      <c r="J10">
        <v>959</v>
      </c>
      <c r="K10">
        <f>M10+Q10+U10+Y10+AC10+AG10+AK10+AO10</f>
        <v>2</v>
      </c>
      <c r="M10">
        <f>M9+0</f>
        <v>1</v>
      </c>
      <c r="Y10">
        <f>Y9+0</f>
        <v>1</v>
      </c>
      <c r="AW10">
        <f>M10+Q10+U10+Y10+AC10+AG10+AK10+AO10</f>
        <v>2</v>
      </c>
      <c r="AX10">
        <f>N10+R10+V10+Z10+AD10+AH10+AL10+AP10</f>
        <v>0</v>
      </c>
      <c r="AY10">
        <f>O10+S10+W10+AA10+AE10+AI10+AM10+AQ10</f>
        <v>0</v>
      </c>
      <c r="BA10" s="5">
        <v>43852</v>
      </c>
      <c r="BB10">
        <v>1</v>
      </c>
    </row>
    <row r="11" spans="1:65" ht="19.5">
      <c r="C11">
        <f>H10*D11</f>
        <v>1</v>
      </c>
      <c r="D11">
        <v>0.5</v>
      </c>
      <c r="E11" t="s">
        <v>14</v>
      </c>
      <c r="F11" s="5">
        <v>43901</v>
      </c>
      <c r="G11" s="2">
        <f>H11*50</f>
        <v>150</v>
      </c>
      <c r="H11">
        <f>H10+C11</f>
        <v>3</v>
      </c>
      <c r="I11">
        <v>3</v>
      </c>
      <c r="J11">
        <v>1281</v>
      </c>
      <c r="K11">
        <f>M11+Q11+U11+Y11+AC11+AG11+AK11+AO11</f>
        <v>3</v>
      </c>
      <c r="M11">
        <f>M10+0</f>
        <v>1</v>
      </c>
      <c r="Y11">
        <f>Y10+1</f>
        <v>2</v>
      </c>
      <c r="AW11">
        <f>M11+Q11+U11+Y11+AC11+AG11+AK11+AO11</f>
        <v>3</v>
      </c>
      <c r="AX11">
        <f>N11+R11+V11+Z11+AD11+AH11+AL11+AP11</f>
        <v>0</v>
      </c>
      <c r="AY11">
        <f>O11+S11+W11+AA11+AE11+AI11+AM11+AQ11</f>
        <v>0</v>
      </c>
      <c r="BA11" s="5">
        <v>43853</v>
      </c>
      <c r="BB11">
        <v>1</v>
      </c>
      <c r="BC11">
        <f>(BB11/BB10)-1</f>
        <v>0</v>
      </c>
    </row>
    <row r="12" spans="1:65" ht="19.5">
      <c r="C12">
        <f>H11*D12</f>
        <v>3</v>
      </c>
      <c r="D12">
        <v>1</v>
      </c>
      <c r="E12" t="s">
        <v>15</v>
      </c>
      <c r="F12" s="5">
        <v>43902</v>
      </c>
      <c r="G12" s="2">
        <f>H12*50</f>
        <v>300</v>
      </c>
      <c r="H12">
        <f>H11+C12</f>
        <v>6</v>
      </c>
      <c r="I12">
        <v>6</v>
      </c>
      <c r="J12">
        <v>1663</v>
      </c>
      <c r="K12">
        <f>M12+Q12+U12+Y12+AC12+AG12+AK12+AO12</f>
        <v>6</v>
      </c>
      <c r="M12">
        <f>M11+0</f>
        <v>1</v>
      </c>
      <c r="Y12">
        <f>Y11+3</f>
        <v>5</v>
      </c>
      <c r="AW12">
        <f>M12+Q12+U12+Y12+AC12+AG12+AK12+AO12</f>
        <v>6</v>
      </c>
      <c r="AX12">
        <f>N12+R12+V12+Z12+AD12+AH12+AL12+AP12</f>
        <v>0</v>
      </c>
      <c r="AY12">
        <f>O12+S12+W12+AA12+AE12+AI12+AM12+AQ12</f>
        <v>0</v>
      </c>
      <c r="BA12" s="5">
        <v>43854</v>
      </c>
      <c r="BB12">
        <v>2</v>
      </c>
      <c r="BC12">
        <f>(BB12/BB11)-1</f>
        <v>1</v>
      </c>
    </row>
    <row r="13" spans="1:65" ht="19.5">
      <c r="C13">
        <f>H12*D13</f>
        <v>4.9999999999979998</v>
      </c>
      <c r="D13">
        <v>0.83333333333299997</v>
      </c>
      <c r="E13" t="s">
        <v>16</v>
      </c>
      <c r="F13" s="5">
        <v>43903</v>
      </c>
      <c r="G13" s="2">
        <f>H13*50</f>
        <v>549.99999999989996</v>
      </c>
      <c r="H13">
        <f>H12+C13</f>
        <v>10.999999999998</v>
      </c>
      <c r="I13">
        <v>11</v>
      </c>
      <c r="J13">
        <v>2179</v>
      </c>
      <c r="K13">
        <f>M13+Q13+U13+Y13+AC13+AG13+AK13+AO13</f>
        <v>11</v>
      </c>
      <c r="M13">
        <f>M12+2</f>
        <v>3</v>
      </c>
      <c r="Y13">
        <v>8</v>
      </c>
      <c r="AW13">
        <f>M13+Q13+U13+Y13+AC13+AG13+AK13+AO13</f>
        <v>11</v>
      </c>
      <c r="AX13">
        <f>N13+R13+V13+Z13+AD13+AH13+AL13+AP13</f>
        <v>0</v>
      </c>
      <c r="AY13">
        <f>O13+S13+W13+AA13+AE13+AI13+AM13+AQ13</f>
        <v>0</v>
      </c>
      <c r="BA13" s="5">
        <v>43855</v>
      </c>
      <c r="BB13">
        <v>2</v>
      </c>
      <c r="BC13">
        <f>(BB13/BB12)-1</f>
        <v>0</v>
      </c>
    </row>
    <row r="14" spans="1:65" ht="19.5">
      <c r="C14">
        <f>H13*D14</f>
        <v>9.0000000000003624</v>
      </c>
      <c r="D14">
        <v>0.81818181818199998</v>
      </c>
      <c r="E14" t="s">
        <v>17</v>
      </c>
      <c r="F14" s="5">
        <v>43904</v>
      </c>
      <c r="G14" s="2">
        <f>H14*50</f>
        <v>999.99999999991815</v>
      </c>
      <c r="H14">
        <f>H13+C14</f>
        <v>19.999999999998362</v>
      </c>
      <c r="I14">
        <v>20</v>
      </c>
      <c r="J14">
        <v>2727</v>
      </c>
      <c r="K14">
        <f>M14+Q14+U14+Y14+AC14+AG14+AK14+AO14</f>
        <v>20</v>
      </c>
      <c r="M14">
        <f>M13+0</f>
        <v>3</v>
      </c>
      <c r="Q14">
        <f>Q13+1</f>
        <v>1</v>
      </c>
      <c r="U14">
        <f>U13+1</f>
        <v>1</v>
      </c>
      <c r="Y14">
        <f>Y13+7</f>
        <v>15</v>
      </c>
      <c r="AW14">
        <f>M14+Q14+U14+Y14+AC14+AG14+AK14+AO14</f>
        <v>20</v>
      </c>
      <c r="AX14">
        <f>N14+R14+V14+Z14+AD14+AH14+AL14+AP14</f>
        <v>0</v>
      </c>
      <c r="AY14">
        <f>O14+S14+W14+AA14+AE14+AI14+AM14+AQ14</f>
        <v>0</v>
      </c>
      <c r="BA14" s="5">
        <v>43856</v>
      </c>
      <c r="BB14">
        <v>5</v>
      </c>
      <c r="BC14">
        <f>(BB14/BB13)-1</f>
        <v>1.5</v>
      </c>
    </row>
    <row r="15" spans="1:65" ht="19.5">
      <c r="C15">
        <f>H14*D15</f>
        <v>5.9999999999995088</v>
      </c>
      <c r="D15">
        <v>0.29999999999999999</v>
      </c>
      <c r="E15" t="s">
        <v>11</v>
      </c>
      <c r="F15" s="5">
        <v>43905</v>
      </c>
      <c r="G15" s="2">
        <f>H15*50</f>
        <v>1299.9999999998936</v>
      </c>
      <c r="H15">
        <f>H14+C15</f>
        <v>25.999999999997872</v>
      </c>
      <c r="I15">
        <v>26</v>
      </c>
      <c r="J15">
        <v>3499</v>
      </c>
      <c r="K15">
        <f>M15+Q15+U15+Y15+AC15+AG15+AK15+AO15</f>
        <v>26</v>
      </c>
      <c r="M15">
        <f>M14+1</f>
        <v>4</v>
      </c>
      <c r="Q15">
        <f>Q14+2</f>
        <v>3</v>
      </c>
      <c r="U15">
        <f>U14+2</f>
        <v>3</v>
      </c>
      <c r="Y15">
        <f>Y14+1</f>
        <v>16</v>
      </c>
      <c r="AW15">
        <f>M15+Q15+U15+Y15+AC15+AG15+AK15+AO15</f>
        <v>26</v>
      </c>
      <c r="AX15">
        <f>N15+R15+V15+Z15+AD15+AH15+AL15+AP15</f>
        <v>0</v>
      </c>
      <c r="AY15">
        <f>O15+S15+W15+AA15+AE15+AI15+AM15+AQ15</f>
        <v>0</v>
      </c>
      <c r="BA15" s="5">
        <v>43857</v>
      </c>
      <c r="BB15">
        <v>5</v>
      </c>
      <c r="BC15">
        <f>(BB15/BB14)-1</f>
        <v>0</v>
      </c>
    </row>
    <row r="16" spans="1:65" ht="19.5">
      <c r="C16">
        <f>H15*D16</f>
        <v>14.999999999996774</v>
      </c>
      <c r="D16">
        <v>0.57692307692300004</v>
      </c>
      <c r="E16" t="s">
        <v>12</v>
      </c>
      <c r="F16" s="5">
        <v>43906</v>
      </c>
      <c r="G16" s="2">
        <f>H16*50</f>
        <v>2049.9999999997322</v>
      </c>
      <c r="H16">
        <f>H15+C16</f>
        <v>40.999999999994643</v>
      </c>
      <c r="I16">
        <v>41</v>
      </c>
      <c r="J16">
        <v>4632</v>
      </c>
      <c r="K16">
        <f>M16+Q16+U16+Y16+AC16+AG16+AK16+AO16</f>
        <v>41</v>
      </c>
      <c r="M16">
        <f>M15+0</f>
        <v>4</v>
      </c>
      <c r="Q16">
        <f>Q15+1</f>
        <v>4</v>
      </c>
      <c r="U16">
        <f>U15+1</f>
        <v>4</v>
      </c>
      <c r="Y16">
        <f>Y15+13</f>
        <v>29</v>
      </c>
      <c r="AW16">
        <f>M16+Q16+U16+Y16+AC16+AG16+AK16+AO16</f>
        <v>41</v>
      </c>
      <c r="AX16">
        <f>N16+R16+V16+Z16+AD16+AH16+AL16+AP16</f>
        <v>0</v>
      </c>
      <c r="AY16">
        <f>O16+S16+W16+AA16+AE16+AI16+AM16+AQ16</f>
        <v>0</v>
      </c>
      <c r="BA16" s="5">
        <v>43858</v>
      </c>
      <c r="BB16">
        <v>5</v>
      </c>
      <c r="BC16">
        <f>(BB16/BB15)-1</f>
        <v>0</v>
      </c>
    </row>
    <row r="17" spans="1:65" ht="19.5">
      <c r="C17">
        <f>H16*D17</f>
        <v>27.000000000002473</v>
      </c>
      <c r="D17">
        <v>0.65853658536600002</v>
      </c>
      <c r="E17" t="s">
        <v>13</v>
      </c>
      <c r="F17" s="5">
        <v>43907</v>
      </c>
      <c r="G17" s="2">
        <f>H17*50</f>
        <v>3399.9999999998558</v>
      </c>
      <c r="H17">
        <f>H16+C17</f>
        <v>67.999999999997115</v>
      </c>
      <c r="I17">
        <v>68</v>
      </c>
      <c r="J17">
        <v>6421</v>
      </c>
      <c r="K17">
        <f>M17+Q17+U17+Y17+AC17+AG17+AK17+AO17</f>
        <v>68</v>
      </c>
      <c r="M17">
        <f>M16+1</f>
        <v>5</v>
      </c>
      <c r="Q17">
        <f>Q16+3</f>
        <v>7</v>
      </c>
      <c r="U17">
        <f>U16+4</f>
        <v>8</v>
      </c>
      <c r="Y17">
        <f>Y16+19</f>
        <v>48</v>
      </c>
      <c r="AW17">
        <f>M17+Q17+U17+Y17+AC17+AG17+AK17+AO17</f>
        <v>68</v>
      </c>
      <c r="AX17">
        <f>N17+R17+V17+Z17+AD17+AH17+AL17+AP17</f>
        <v>0</v>
      </c>
      <c r="AY17">
        <f>O17+S17+W17+AA17+AE17+AI17+AM17+AQ17</f>
        <v>0</v>
      </c>
      <c r="BA17" s="5">
        <v>43859</v>
      </c>
      <c r="BB17">
        <v>5</v>
      </c>
      <c r="BC17">
        <f>(BB17/BB16)-1</f>
        <v>0</v>
      </c>
    </row>
    <row r="18" spans="1:65" ht="19.5">
      <c r="C18">
        <f>H17*D18</f>
        <v>27.999999999974811</v>
      </c>
      <c r="D18">
        <v>0.41176470588199998</v>
      </c>
      <c r="E18" t="s">
        <v>14</v>
      </c>
      <c r="F18" s="5">
        <v>43908</v>
      </c>
      <c r="G18" s="2">
        <f>H18*50</f>
        <v>4799.9999999985957</v>
      </c>
      <c r="H18">
        <f>H17+C18</f>
        <v>95.999999999971919</v>
      </c>
      <c r="I18">
        <v>96</v>
      </c>
      <c r="J18">
        <v>7783</v>
      </c>
      <c r="K18">
        <f>M18+Q18+U18+Y18+AC18+AG18+AK18+AO18</f>
        <v>96</v>
      </c>
      <c r="M18">
        <f>M17+0</f>
        <v>5</v>
      </c>
      <c r="Q18">
        <f>Q17+4</f>
        <v>11</v>
      </c>
      <c r="U18">
        <f>U17+2</f>
        <v>10</v>
      </c>
      <c r="Y18">
        <f>Y17+21</f>
        <v>69</v>
      </c>
      <c r="Z18">
        <f>Z17+0</f>
        <v>0</v>
      </c>
      <c r="AA18">
        <f>AA17+1</f>
        <v>1</v>
      </c>
      <c r="AC18">
        <f>AC17+1</f>
        <v>1</v>
      </c>
      <c r="AG18">
        <f>AG17+0</f>
        <v>0</v>
      </c>
      <c r="AK18">
        <f>AK17+0</f>
        <v>0</v>
      </c>
      <c r="AW18">
        <f>M18+Q18+U18+Y18+AC18+AG18+AK18+AO18</f>
        <v>96</v>
      </c>
      <c r="AX18">
        <f>N18+R18+V18+Z18+AD18+AH18+AL18+AP18</f>
        <v>0</v>
      </c>
      <c r="AY18">
        <f>O18+S18+W18+AA18+AE18+AI18+AM18+AQ18</f>
        <v>1</v>
      </c>
      <c r="BA18" s="5">
        <v>43860</v>
      </c>
      <c r="BB18">
        <v>5</v>
      </c>
      <c r="BC18">
        <f>(BB18/BB17)-1</f>
        <v>0</v>
      </c>
    </row>
    <row r="19" spans="1:65" ht="19.5">
      <c r="C19">
        <f>H18*D19</f>
        <v>62.999999999981569</v>
      </c>
      <c r="D19">
        <v>0.65625</v>
      </c>
      <c r="E19" t="s">
        <v>15</v>
      </c>
      <c r="F19" s="5">
        <v>43909</v>
      </c>
      <c r="G19" s="2">
        <f>H19*50</f>
        <v>7949.9999999976753</v>
      </c>
      <c r="H19">
        <f>H18+C19</f>
        <v>158.9999999999535</v>
      </c>
      <c r="I19">
        <v>159</v>
      </c>
      <c r="J19">
        <v>13677</v>
      </c>
      <c r="K19">
        <f>M19+Q19+U19+Y19+AC19+AG19+AK19+AO19</f>
        <v>159</v>
      </c>
      <c r="M19">
        <f>M18+2</f>
        <v>7</v>
      </c>
      <c r="Q19">
        <f>Q18+7</f>
        <v>18</v>
      </c>
      <c r="U19">
        <f>U18+13</f>
        <v>23</v>
      </c>
      <c r="Y19">
        <f>Y18+33</f>
        <v>102</v>
      </c>
      <c r="Z19">
        <f>Z18+0</f>
        <v>0</v>
      </c>
      <c r="AA19">
        <f>AA18+2</f>
        <v>3</v>
      </c>
      <c r="AC19">
        <f>AC18+2</f>
        <v>3</v>
      </c>
      <c r="AD19">
        <f>AD18+0</f>
        <v>0</v>
      </c>
      <c r="AG19">
        <f>AG18+4</f>
        <v>4</v>
      </c>
      <c r="AK19">
        <f>AK18+2</f>
        <v>2</v>
      </c>
      <c r="AW19">
        <f>M19+Q19+U19+Y19+AC19+AG19+AK19+AO19</f>
        <v>159</v>
      </c>
      <c r="AX19">
        <f>N19+R19+V19+Z19+AD19+AH19+AL19+AP19</f>
        <v>0</v>
      </c>
      <c r="AY19">
        <f>O19+S19+W19+AA19+AE19+AI19+AM19+AQ19</f>
        <v>3</v>
      </c>
      <c r="BA19" s="5">
        <v>43861</v>
      </c>
      <c r="BB19">
        <v>7</v>
      </c>
      <c r="BC19">
        <f>(BB19/BB18)-1</f>
        <v>0.39999999999999991</v>
      </c>
    </row>
    <row r="20" spans="1:65" ht="19.5">
      <c r="C20">
        <f>H19*D20</f>
        <v>35.000000000065768</v>
      </c>
      <c r="D20">
        <v>0.220125786164</v>
      </c>
      <c r="E20" t="s">
        <v>16</v>
      </c>
      <c r="F20" s="5">
        <v>43910</v>
      </c>
      <c r="G20" s="2">
        <f>H20*50</f>
        <v>9700.0000000009641</v>
      </c>
      <c r="H20">
        <f>H19+C20</f>
        <v>194.00000000001927</v>
      </c>
      <c r="I20">
        <v>194</v>
      </c>
      <c r="J20">
        <v>19100</v>
      </c>
      <c r="K20">
        <f>M20+Q20+U20+Y20+AC20+AG20+AK20+AO20</f>
        <v>194</v>
      </c>
      <c r="M20">
        <f>M19+1</f>
        <v>8</v>
      </c>
      <c r="N20">
        <f>N19+0</f>
        <v>0</v>
      </c>
      <c r="Q20">
        <f>Q19+11</f>
        <v>29</v>
      </c>
      <c r="R20">
        <f>R19+0</f>
        <v>0</v>
      </c>
      <c r="U20">
        <f>U19+0</f>
        <v>23</v>
      </c>
      <c r="Y20">
        <f>Y19+20</f>
        <v>122</v>
      </c>
      <c r="Z20">
        <f>Z19+0</f>
        <v>0</v>
      </c>
      <c r="AA20">
        <f>AA19+1</f>
        <v>4</v>
      </c>
      <c r="AC20">
        <f>AC19+2</f>
        <v>5</v>
      </c>
      <c r="AD20">
        <f>AD19+0</f>
        <v>0</v>
      </c>
      <c r="AE20">
        <f>AE19+0</f>
        <v>0</v>
      </c>
      <c r="AG20">
        <f>AG19+0</f>
        <v>4</v>
      </c>
      <c r="AK20">
        <f>AK19+0</f>
        <v>2</v>
      </c>
      <c r="AO20">
        <f>AO19+1</f>
        <v>1</v>
      </c>
      <c r="AW20">
        <f>M20+Q20+U20+Y20+AC20+AG20+AK20+AO20</f>
        <v>194</v>
      </c>
      <c r="AX20">
        <f>N20+R20+V20+Z20+AD20+AH20+AL20+AP20</f>
        <v>0</v>
      </c>
      <c r="AY20">
        <f>O20+S20+W20+AA20+AE20+AI20+AM20+AQ20</f>
        <v>4</v>
      </c>
      <c r="BA20" s="5">
        <v>43862</v>
      </c>
      <c r="BB20">
        <v>8</v>
      </c>
      <c r="BC20">
        <f>(BB20/BB19)-1</f>
        <v>0.14285714285714279</v>
      </c>
    </row>
    <row r="21" spans="1:65" ht="19.5">
      <c r="C21">
        <f>H20*D21</f>
        <v>28.99999999991088</v>
      </c>
      <c r="D21">
        <v>0.14948453608199999</v>
      </c>
      <c r="E21" t="s">
        <v>17</v>
      </c>
      <c r="F21" s="5">
        <v>43911</v>
      </c>
      <c r="G21" s="2">
        <f>H21*50</f>
        <v>11149.999999996508</v>
      </c>
      <c r="H21">
        <f>H20+C21</f>
        <v>222.99999999993014</v>
      </c>
      <c r="I21">
        <v>223</v>
      </c>
      <c r="J21">
        <v>25489</v>
      </c>
      <c r="K21">
        <f>M21+Q21+U21+Y21+AC21+AG21+AK21+AO21</f>
        <v>223</v>
      </c>
      <c r="M21">
        <f>M20+3</f>
        <v>11</v>
      </c>
      <c r="N21">
        <f>N20+2</f>
        <v>2</v>
      </c>
      <c r="O21">
        <f>O20+0</f>
        <v>0</v>
      </c>
      <c r="Q21">
        <f>Q20+6</f>
        <v>35</v>
      </c>
      <c r="R21">
        <f>R20+12</f>
        <v>12</v>
      </c>
      <c r="U21">
        <f>U20+1</f>
        <v>24</v>
      </c>
      <c r="V21">
        <f>V20+9</f>
        <v>9</v>
      </c>
      <c r="W21">
        <f>W20+0</f>
        <v>0</v>
      </c>
      <c r="Y21">
        <f>Y20+18</f>
        <v>140</v>
      </c>
      <c r="Z21">
        <f>Z20+15</f>
        <v>15</v>
      </c>
      <c r="AA21">
        <f>AA20+0</f>
        <v>4</v>
      </c>
      <c r="AC21">
        <f>AC20+1</f>
        <v>6</v>
      </c>
      <c r="AD21">
        <f>AD20+3</f>
        <v>3</v>
      </c>
      <c r="AE21">
        <f>AE20+0</f>
        <v>0</v>
      </c>
      <c r="AG21">
        <f>AG20+1</f>
        <v>5</v>
      </c>
      <c r="AH21">
        <f>AH20+2</f>
        <v>2</v>
      </c>
      <c r="AI21">
        <f>AI20+1</f>
        <v>1</v>
      </c>
      <c r="AK21">
        <f>AK20-1</f>
        <v>1</v>
      </c>
      <c r="AL21">
        <f>AL20+0</f>
        <v>0</v>
      </c>
      <c r="AM21">
        <f>AM20+0</f>
        <v>0</v>
      </c>
      <c r="AO21">
        <f>AO20+0</f>
        <v>1</v>
      </c>
      <c r="AQ21">
        <f>AQ20+0</f>
        <v>0</v>
      </c>
      <c r="AW21">
        <f>M21+Q21+U21+Y21+AC21+AG21+AK21+AO21</f>
        <v>223</v>
      </c>
      <c r="AX21">
        <f>N21+R21+V21+Z21+AD21+AH21+AL21+AP21</f>
        <v>43</v>
      </c>
      <c r="AY21">
        <f>O21+S21+W21+AA21+AE21+AI21+AM21+AQ21</f>
        <v>5</v>
      </c>
      <c r="BA21" s="5">
        <v>43863</v>
      </c>
      <c r="BB21">
        <v>8</v>
      </c>
      <c r="BC21">
        <f>(BB21/BB20)-1</f>
        <v>0</v>
      </c>
    </row>
    <row r="22" spans="1:65" ht="19.5">
      <c r="C22">
        <f>H21*D22</f>
        <v>103.99999999896743</v>
      </c>
      <c r="D22">
        <v>0.46636771300000002</v>
      </c>
      <c r="E22" t="s">
        <v>11</v>
      </c>
      <c r="F22" s="5">
        <v>43912</v>
      </c>
      <c r="G22" s="2">
        <f>H22*50</f>
        <v>16349.999999944879</v>
      </c>
      <c r="H22">
        <f>H21+C22</f>
        <v>326.99999999889758</v>
      </c>
      <c r="I22">
        <v>327</v>
      </c>
      <c r="J22">
        <v>33276</v>
      </c>
      <c r="K22">
        <f>M22+Q22+U22+Y22+AC22+AG22+AK22+AO22</f>
        <v>327</v>
      </c>
      <c r="M22">
        <f>M21+1</f>
        <v>12</v>
      </c>
      <c r="N22">
        <f>N21+1</f>
        <v>3</v>
      </c>
      <c r="O22">
        <f>O21+0</f>
        <v>0</v>
      </c>
      <c r="Q22">
        <f>Q21+19</f>
        <v>54</v>
      </c>
      <c r="R22">
        <f>R21+1</f>
        <v>13</v>
      </c>
      <c r="S22">
        <f>S21+1</f>
        <v>1</v>
      </c>
      <c r="U22">
        <f>U21+5</f>
        <v>29</v>
      </c>
      <c r="V22">
        <f>V21+0</f>
        <v>9</v>
      </c>
      <c r="W22">
        <f>W21+0</f>
        <v>0</v>
      </c>
      <c r="Y22">
        <f>Y21+68</f>
        <v>208</v>
      </c>
      <c r="Z22">
        <f>Z21+5</f>
        <v>20</v>
      </c>
      <c r="AA22">
        <f>AA21+1</f>
        <v>5</v>
      </c>
      <c r="AC22">
        <f>AC21+0</f>
        <v>6</v>
      </c>
      <c r="AD22">
        <f>AD21+0</f>
        <v>3</v>
      </c>
      <c r="AE22">
        <f>AE21+0</f>
        <v>0</v>
      </c>
      <c r="AG22">
        <f>AG21+9</f>
        <v>14</v>
      </c>
      <c r="AH22">
        <f>AH21+0</f>
        <v>2</v>
      </c>
      <c r="AI22">
        <f>AI21+1</f>
        <v>2</v>
      </c>
      <c r="AK22">
        <f>AK21+0</f>
        <v>1</v>
      </c>
      <c r="AL22">
        <f>AL21+0</f>
        <v>0</v>
      </c>
      <c r="AM22">
        <f>AM21+0</f>
        <v>0</v>
      </c>
      <c r="AO22">
        <f>AO21+2</f>
        <v>3</v>
      </c>
      <c r="AP22">
        <f>AP21+1</f>
        <v>1</v>
      </c>
      <c r="AQ22">
        <f>AQ21+0</f>
        <v>0</v>
      </c>
      <c r="AW22">
        <f>M22+Q22+U22+Y22+AC22+AG22+AK22+AO22</f>
        <v>327</v>
      </c>
      <c r="AX22">
        <f>N22+R22+V22+Z22+AD22+AH22+AL22+AP22</f>
        <v>51</v>
      </c>
      <c r="AY22">
        <f>O22+S22+W22+AA22+AE22+AI22+AM22+AQ22</f>
        <v>8</v>
      </c>
      <c r="BA22" s="5">
        <v>43864</v>
      </c>
      <c r="BB22">
        <v>11</v>
      </c>
      <c r="BC22">
        <f>(BB22/BB21)-1</f>
        <v>0.375</v>
      </c>
    </row>
    <row r="23" spans="1:65" ht="19.5">
      <c r="C23">
        <f>H22*D23</f>
        <v>87.999999999672326</v>
      </c>
      <c r="D23">
        <v>0.26911314984700002</v>
      </c>
      <c r="E23" t="s">
        <v>12</v>
      </c>
      <c r="F23" s="5">
        <v>43913</v>
      </c>
      <c r="G23" s="2">
        <f>H23*50</f>
        <v>20749.999999928496</v>
      </c>
      <c r="H23">
        <f>H22+C23</f>
        <v>414.99999999856993</v>
      </c>
      <c r="I23">
        <v>415</v>
      </c>
      <c r="J23">
        <v>43847</v>
      </c>
      <c r="K23">
        <f>M23+Q23+U23+Y23+AC23+AG23+AK23+AO23</f>
        <v>415</v>
      </c>
      <c r="M23">
        <f>M22+1</f>
        <v>13</v>
      </c>
      <c r="N23">
        <f>N22-1</f>
        <v>2</v>
      </c>
      <c r="O23">
        <f>O22+0</f>
        <v>0</v>
      </c>
      <c r="Q23">
        <f>Q22+7</f>
        <v>61</v>
      </c>
      <c r="R23">
        <f>R22+0</f>
        <v>13</v>
      </c>
      <c r="S23">
        <f>S22+1</f>
        <v>2</v>
      </c>
      <c r="U23">
        <f>U22+12</f>
        <v>41</v>
      </c>
      <c r="V23">
        <f>V22+3</f>
        <v>12</v>
      </c>
      <c r="W23">
        <f>W22+0</f>
        <v>0</v>
      </c>
      <c r="Y23">
        <f>Y22+62</f>
        <v>270</v>
      </c>
      <c r="Z23">
        <f>Z22+0</f>
        <v>20</v>
      </c>
      <c r="AA23">
        <f>AA22+1</f>
        <v>6</v>
      </c>
      <c r="AC23">
        <f>AC22+2</f>
        <v>8</v>
      </c>
      <c r="AD23">
        <f>AD22+1</f>
        <v>4</v>
      </c>
      <c r="AE23">
        <f>AE22+0</f>
        <v>0</v>
      </c>
      <c r="AG23">
        <f>AG22+2</f>
        <v>16</v>
      </c>
      <c r="AH23">
        <f>AH22+0</f>
        <v>2</v>
      </c>
      <c r="AI23">
        <f>AI22+0</f>
        <v>2</v>
      </c>
      <c r="AK23">
        <f>AK22+1</f>
        <v>2</v>
      </c>
      <c r="AL23">
        <f>AL22+0</f>
        <v>0</v>
      </c>
      <c r="AM23">
        <f>AM22+0</f>
        <v>0</v>
      </c>
      <c r="AO23">
        <f>AO22+1</f>
        <v>4</v>
      </c>
      <c r="AP23">
        <f>AP22+0</f>
        <v>1</v>
      </c>
      <c r="AQ23">
        <f>AQ22+0</f>
        <v>0</v>
      </c>
      <c r="AW23">
        <f>M23+Q23+U23+Y23+AC23+AG23+AK23+AO23</f>
        <v>415</v>
      </c>
      <c r="AX23">
        <f>N23+R23+V23+Z23+AD23+AH23+AL23+AP23</f>
        <v>54</v>
      </c>
      <c r="AY23">
        <f>O23+S23+W23+AA23+AE23+AI23+AM23+AQ23</f>
        <v>10</v>
      </c>
      <c r="BA23" s="5">
        <v>43865</v>
      </c>
      <c r="BB23">
        <v>11</v>
      </c>
      <c r="BC23">
        <f>(BB23/BB22)-1</f>
        <v>0</v>
      </c>
    </row>
    <row r="24" spans="1:65" ht="19.5">
      <c r="C24">
        <f>H23*D24</f>
        <v>202.99999999929048</v>
      </c>
      <c r="D24">
        <v>0.489156626506</v>
      </c>
      <c r="E24" t="s">
        <v>13</v>
      </c>
      <c r="F24" s="5">
        <v>43914</v>
      </c>
      <c r="G24" s="2">
        <f>H24*50</f>
        <v>30899.999999893022</v>
      </c>
      <c r="H24">
        <f>H23+C24</f>
        <v>617.99999999786041</v>
      </c>
      <c r="I24">
        <v>618</v>
      </c>
      <c r="J24">
        <v>53740</v>
      </c>
      <c r="K24">
        <f>M24+Q24+U24+Y24+AC24+AG24+AK24+AO24</f>
        <v>618</v>
      </c>
      <c r="M24">
        <f>M23+9</f>
        <v>22</v>
      </c>
      <c r="N24">
        <f>N23+1</f>
        <v>3</v>
      </c>
      <c r="O24">
        <f>O23+0</f>
        <v>0</v>
      </c>
      <c r="Q24">
        <f>Q23+27</f>
        <v>88</v>
      </c>
      <c r="R24">
        <f>R23+4</f>
        <v>17</v>
      </c>
      <c r="S24">
        <f>S23+0</f>
        <v>2</v>
      </c>
      <c r="U24">
        <f>U23+48</f>
        <v>89</v>
      </c>
      <c r="V24">
        <f>V23+7</f>
        <v>19</v>
      </c>
      <c r="W24">
        <f>W23+0</f>
        <v>0</v>
      </c>
      <c r="Y24">
        <f>Y23+114</f>
        <v>384</v>
      </c>
      <c r="Z24">
        <f>Z23+3</f>
        <v>23</v>
      </c>
      <c r="AA24">
        <f>AA23+1</f>
        <v>7</v>
      </c>
      <c r="AC24">
        <f>AC23+0</f>
        <v>8</v>
      </c>
      <c r="AD24">
        <f>AD23+0</f>
        <v>4</v>
      </c>
      <c r="AE24">
        <f>AE23+0</f>
        <v>0</v>
      </c>
      <c r="AG24">
        <f>AG23+3</f>
        <v>19</v>
      </c>
      <c r="AH24">
        <f>AH23+2</f>
        <v>4</v>
      </c>
      <c r="AI24">
        <f>AI23+1</f>
        <v>3</v>
      </c>
      <c r="AK24">
        <f>AK23+0</f>
        <v>2</v>
      </c>
      <c r="AL24">
        <f>AL23+0</f>
        <v>0</v>
      </c>
      <c r="AM24">
        <f>AM23+0</f>
        <v>0</v>
      </c>
      <c r="AO24">
        <f>AO23+2</f>
        <v>6</v>
      </c>
      <c r="AP24">
        <f>AP23+0</f>
        <v>1</v>
      </c>
      <c r="AQ24">
        <f>AQ23+0</f>
        <v>0</v>
      </c>
      <c r="AW24">
        <f>M24+Q24+U24+Y24+AC24+AG24+AK24+AO24</f>
        <v>618</v>
      </c>
      <c r="AX24">
        <f>N24+R24+V24+Z24+AD24+AH24+AL24+AP24</f>
        <v>71</v>
      </c>
      <c r="AY24">
        <f>O24+S24+W24+AA24+AE24+AI24+AM24+AQ24</f>
        <v>12</v>
      </c>
      <c r="BA24" s="5">
        <v>43866</v>
      </c>
      <c r="BB24">
        <v>11</v>
      </c>
      <c r="BC24">
        <f>(BB24/BB23)-1</f>
        <v>0</v>
      </c>
    </row>
    <row r="25" spans="1:65" ht="19.5">
      <c r="C25">
        <f>H24*D25</f>
        <v>256.99999999911427</v>
      </c>
      <c r="D25">
        <v>0.41585760517800002</v>
      </c>
      <c r="E25" t="s">
        <v>14</v>
      </c>
      <c r="F25" s="5">
        <v>43915</v>
      </c>
      <c r="G25" s="2">
        <f>H25*50</f>
        <v>43749.999999848733</v>
      </c>
      <c r="H25">
        <f>H24+C25</f>
        <v>874.99999999697468</v>
      </c>
      <c r="I25">
        <v>875</v>
      </c>
      <c r="J25">
        <v>65778</v>
      </c>
      <c r="K25">
        <f>M25+Q25+U25+Y25+AC25+AG25+AK25+AO25</f>
        <v>875</v>
      </c>
      <c r="M25">
        <f>M24+11</f>
        <v>33</v>
      </c>
      <c r="N25">
        <f>N24+0</f>
        <v>3</v>
      </c>
      <c r="O25">
        <f>O24+0</f>
        <v>0</v>
      </c>
      <c r="Q25">
        <f>Q24+28</f>
        <v>116</v>
      </c>
      <c r="R25">
        <f>R24+7</f>
        <v>24</v>
      </c>
      <c r="S25">
        <f>S24+0</f>
        <v>2</v>
      </c>
      <c r="U25">
        <f>U24+38</f>
        <v>127</v>
      </c>
      <c r="V25">
        <f>V24+9</f>
        <v>28</v>
      </c>
      <c r="W25">
        <f>W24+2</f>
        <v>2</v>
      </c>
      <c r="Y25">
        <f>Y24+162</f>
        <v>546</v>
      </c>
      <c r="Z25">
        <f>Z24+24</f>
        <v>47</v>
      </c>
      <c r="AA25">
        <f>AA24+5</f>
        <v>12</v>
      </c>
      <c r="AC25">
        <f>AC24+7</f>
        <v>15</v>
      </c>
      <c r="AD25">
        <f>AD24+0</f>
        <v>4</v>
      </c>
      <c r="AE25">
        <f>AE24+0</f>
        <v>0</v>
      </c>
      <c r="AG25">
        <f>AG24+8</f>
        <v>27</v>
      </c>
      <c r="AH25">
        <f>AH24+1</f>
        <v>5</v>
      </c>
      <c r="AI25">
        <f>AI24+0</f>
        <v>3</v>
      </c>
      <c r="AK25">
        <f>AK24+0</f>
        <v>2</v>
      </c>
      <c r="AL25">
        <f>AL24+0</f>
        <v>0</v>
      </c>
      <c r="AM25">
        <f>AM24+0</f>
        <v>0</v>
      </c>
      <c r="AO25">
        <f>AO24+3</f>
        <v>9</v>
      </c>
      <c r="AP25">
        <f>AP24+1</f>
        <v>2</v>
      </c>
      <c r="AQ25">
        <f>AQ24+0</f>
        <v>0</v>
      </c>
      <c r="AW25">
        <f>M25+Q25+U25+Y25+AC25+AG25+AK25+AO25</f>
        <v>875</v>
      </c>
      <c r="AX25">
        <f>N25+R25+V25+Z25+AD25+AH25+AL25+AP25</f>
        <v>113</v>
      </c>
      <c r="AY25">
        <f>O25+S25+W25+AA25+AE25+AI25+AM25+AQ25</f>
        <v>19</v>
      </c>
      <c r="BA25" s="5">
        <v>43867</v>
      </c>
      <c r="BB25">
        <v>11</v>
      </c>
      <c r="BC25">
        <f>(BB25/BB24)-1</f>
        <v>0</v>
      </c>
    </row>
    <row r="26" spans="1:65" ht="19.5">
      <c r="C26">
        <f>H25*D26</f>
        <v>136.99999999915133</v>
      </c>
      <c r="D26">
        <v>0.15657142857100001</v>
      </c>
      <c r="E26" t="s">
        <v>15</v>
      </c>
      <c r="F26" s="5">
        <v>43916</v>
      </c>
      <c r="G26" s="2">
        <f>H26*50</f>
        <v>50599.999999806299</v>
      </c>
      <c r="H26">
        <f>H25+C26</f>
        <v>1011.999999996126</v>
      </c>
      <c r="I26">
        <v>1012</v>
      </c>
      <c r="J26">
        <v>83836</v>
      </c>
      <c r="K26">
        <f>M26+Q26+U26+Y26+AC26+AG26+AK26+AO26</f>
        <v>1012</v>
      </c>
      <c r="M26">
        <f>M25+11</f>
        <v>44</v>
      </c>
      <c r="N26">
        <f>N25+0</f>
        <v>3</v>
      </c>
      <c r="O26">
        <f>O25+0</f>
        <v>0</v>
      </c>
      <c r="Q26">
        <f>Q25+22</f>
        <v>138</v>
      </c>
      <c r="R26">
        <f>R25+3</f>
        <v>27</v>
      </c>
      <c r="S26">
        <f>S25+0</f>
        <v>2</v>
      </c>
      <c r="U26">
        <f>U25+29</f>
        <v>156</v>
      </c>
      <c r="V26">
        <f>V25+6</f>
        <v>34</v>
      </c>
      <c r="W26">
        <f>W25+0</f>
        <v>2</v>
      </c>
      <c r="Y26">
        <f>Y25+61</f>
        <v>607</v>
      </c>
      <c r="Z26">
        <f>Z25+2</f>
        <v>49</v>
      </c>
      <c r="AA26">
        <f>AA25+1</f>
        <v>13</v>
      </c>
      <c r="AC26">
        <f>AC25+3</f>
        <v>18</v>
      </c>
      <c r="AD26">
        <f>AD25+1</f>
        <v>5</v>
      </c>
      <c r="AE26">
        <f>AE25+1</f>
        <v>1</v>
      </c>
      <c r="AG26">
        <f>AG25+6</f>
        <v>33</v>
      </c>
      <c r="AH26">
        <f>AH25+0</f>
        <v>5</v>
      </c>
      <c r="AI26">
        <f>AI25+0</f>
        <v>3</v>
      </c>
      <c r="AK26">
        <f>AK25+1</f>
        <v>3</v>
      </c>
      <c r="AL26">
        <f>AL25+0</f>
        <v>0</v>
      </c>
      <c r="AM26">
        <f>AM25+0</f>
        <v>0</v>
      </c>
      <c r="AO26">
        <f>AO25+4</f>
        <v>13</v>
      </c>
      <c r="AP26">
        <f>AP25+0</f>
        <v>2</v>
      </c>
      <c r="AQ26">
        <f>AQ25+0</f>
        <v>0</v>
      </c>
      <c r="AW26">
        <f>M26+Q26+U26+Y26+AC26+AG26+AK26+AO26</f>
        <v>1012</v>
      </c>
      <c r="AX26">
        <f>N26+R26+V26+Z26+AD26+AH26+AL26+AP26</f>
        <v>125</v>
      </c>
      <c r="AY26">
        <f>O26+S26+W26+AA26+AE26+AI26+AM26+AQ26</f>
        <v>21</v>
      </c>
      <c r="BA26" s="5">
        <v>43868</v>
      </c>
      <c r="BB26">
        <v>11</v>
      </c>
      <c r="BC26">
        <f>(BB26/BB25)-1</f>
        <v>0</v>
      </c>
    </row>
    <row r="27" spans="1:65" ht="19.5">
      <c r="C27">
        <f>H26*D27</f>
        <v>278.999999994132</v>
      </c>
      <c r="D27">
        <v>0.27569169960000001</v>
      </c>
      <c r="E27" t="s">
        <v>16</v>
      </c>
      <c r="F27" s="5">
        <v>43917</v>
      </c>
      <c r="G27" s="2">
        <f>H27*50</f>
        <v>64549.999999512896</v>
      </c>
      <c r="H27">
        <f>H26+C27</f>
        <v>1290.9999999902579</v>
      </c>
      <c r="I27">
        <v>1291</v>
      </c>
      <c r="J27">
        <v>101657</v>
      </c>
      <c r="K27">
        <f>M27+Q27+U27+Y27+AC27+AG27+AK27+AO27</f>
        <v>1291</v>
      </c>
      <c r="M27">
        <f>M26+8</f>
        <v>52</v>
      </c>
      <c r="N27">
        <f>N26+6</f>
        <v>9</v>
      </c>
      <c r="O27">
        <f>O26+0</f>
        <v>0</v>
      </c>
      <c r="Q27">
        <f>Q26+51</f>
        <v>189</v>
      </c>
      <c r="R27">
        <f>R26+9</f>
        <v>36</v>
      </c>
      <c r="S27">
        <f>S26+0</f>
        <v>2</v>
      </c>
      <c r="U27">
        <f>U26+66</f>
        <v>222</v>
      </c>
      <c r="V27">
        <f>V26+12</f>
        <v>46</v>
      </c>
      <c r="W27">
        <f>W26+4</f>
        <v>6</v>
      </c>
      <c r="Y27">
        <f>Y26+145</f>
        <v>752</v>
      </c>
      <c r="Z27">
        <f>Z26+19</f>
        <v>68</v>
      </c>
      <c r="AA27">
        <f>AA26+2</f>
        <v>15</v>
      </c>
      <c r="AC27">
        <f>AC26+7</f>
        <v>25</v>
      </c>
      <c r="AD27">
        <f>AD26+0</f>
        <v>5</v>
      </c>
      <c r="AE27">
        <f>AE26+0</f>
        <v>1</v>
      </c>
      <c r="AG27">
        <f>AG26+0</f>
        <v>33</v>
      </c>
      <c r="AH27">
        <f>AH26+2</f>
        <v>7</v>
      </c>
      <c r="AI27">
        <f>AI26+0</f>
        <v>3</v>
      </c>
      <c r="AK27">
        <f>AK26+0</f>
        <v>3</v>
      </c>
      <c r="AL27">
        <f>AL26+0</f>
        <v>0</v>
      </c>
      <c r="AM27">
        <f>AM26+0</f>
        <v>0</v>
      </c>
      <c r="AO27">
        <f>AO26+2</f>
        <v>15</v>
      </c>
      <c r="AP27">
        <f>AP26+0</f>
        <v>2</v>
      </c>
      <c r="AQ27">
        <f>AQ26+0</f>
        <v>0</v>
      </c>
      <c r="AW27">
        <f>M27+Q27+U27+Y27+AC27+AG27+AK27+AO27</f>
        <v>1291</v>
      </c>
      <c r="AX27">
        <f>N27+R27+V27+Z27+AD27+AH27+AL27+AP27</f>
        <v>173</v>
      </c>
      <c r="AY27">
        <f>O27+S27+W27+AA27+AE27+AI27+AM27+AQ27</f>
        <v>27</v>
      </c>
      <c r="BA27" s="5">
        <v>43869</v>
      </c>
      <c r="BB27">
        <v>11</v>
      </c>
      <c r="BC27">
        <f>(BB27/BB26)-1</f>
        <v>0</v>
      </c>
    </row>
    <row r="28" spans="1:65" ht="19.5">
      <c r="C28">
        <f>H27*D28</f>
        <v>232.99999999841174</v>
      </c>
      <c r="D28">
        <v>0.18048024787</v>
      </c>
      <c r="E28" t="s">
        <v>17</v>
      </c>
      <c r="F28" s="5">
        <v>43918</v>
      </c>
      <c r="G28" s="2">
        <f>H28*50</f>
        <v>76199.999999433494</v>
      </c>
      <c r="H28">
        <f>H27+C28</f>
        <v>1523.9999999886697</v>
      </c>
      <c r="I28">
        <v>1524</v>
      </c>
      <c r="J28">
        <v>121478</v>
      </c>
      <c r="K28">
        <f>M28+Q28+U28+Y28+AC28+AG28+AK28+AO28</f>
        <v>1524</v>
      </c>
      <c r="M28">
        <f>M27+13</f>
        <v>65</v>
      </c>
      <c r="N28">
        <f>N27+3</f>
        <v>12</v>
      </c>
      <c r="O28">
        <f>O27+0</f>
        <v>0</v>
      </c>
      <c r="Q28">
        <f>Q27+39</f>
        <v>228</v>
      </c>
      <c r="R28">
        <f>R27+5</f>
        <v>41</v>
      </c>
      <c r="S28">
        <f>S27+0</f>
        <v>2</v>
      </c>
      <c r="U28">
        <f>U27+14</f>
        <v>236</v>
      </c>
      <c r="V28">
        <f>V27+4</f>
        <v>50</v>
      </c>
      <c r="W28">
        <f>W27+0</f>
        <v>6</v>
      </c>
      <c r="Y28">
        <f>Y27+156</f>
        <v>908</v>
      </c>
      <c r="Z28">
        <f>Z27+20</f>
        <v>88</v>
      </c>
      <c r="AA28">
        <f>AA27+5</f>
        <v>20</v>
      </c>
      <c r="AC28">
        <f>AC27+3</f>
        <v>28</v>
      </c>
      <c r="AD28">
        <f>AD27+0</f>
        <v>5</v>
      </c>
      <c r="AE28">
        <f>AE27+0</f>
        <v>1</v>
      </c>
      <c r="AG28">
        <f>AG27+4</f>
        <v>37</v>
      </c>
      <c r="AH28">
        <f>AH27+0</f>
        <v>7</v>
      </c>
      <c r="AI28">
        <f>AI27+1</f>
        <v>4</v>
      </c>
      <c r="AK28">
        <f>AK27+0</f>
        <v>3</v>
      </c>
      <c r="AL28">
        <f>AL27+0</f>
        <v>0</v>
      </c>
      <c r="AM28">
        <f>AM27+0</f>
        <v>0</v>
      </c>
      <c r="AO28">
        <f>AO27+4</f>
        <v>19</v>
      </c>
      <c r="AP28">
        <f>AP27+0</f>
        <v>2</v>
      </c>
      <c r="AQ28">
        <f>AQ27+0</f>
        <v>0</v>
      </c>
      <c r="AW28">
        <f>M28+Q28+U28+Y28+AC28+AG28+AK28+AO28</f>
        <v>1524</v>
      </c>
      <c r="AX28">
        <f>N28+R28+V28+Z28+AD28+AH28+AL28+AP28</f>
        <v>205</v>
      </c>
      <c r="AY28">
        <f>O28+S28+W28+AA28+AE28+AI28+AM28+AQ28</f>
        <v>33</v>
      </c>
      <c r="BA28" s="5">
        <v>43870</v>
      </c>
      <c r="BB28">
        <v>11</v>
      </c>
      <c r="BC28">
        <f>(BB28/BB27)-1</f>
        <v>0</v>
      </c>
    </row>
    <row r="29" spans="1:65" ht="19.5">
      <c r="C29">
        <f>H28*D29</f>
        <v>468.99999999616119</v>
      </c>
      <c r="D29">
        <v>0.30774278215200002</v>
      </c>
      <c r="E29" t="s">
        <v>11</v>
      </c>
      <c r="F29" s="5">
        <v>43919</v>
      </c>
      <c r="G29" s="2">
        <f>H29*50</f>
        <v>99649.999999241554</v>
      </c>
      <c r="H29">
        <f>H28+C29</f>
        <v>1992.999999984831</v>
      </c>
      <c r="I29">
        <v>1993</v>
      </c>
      <c r="J29">
        <v>140886</v>
      </c>
      <c r="K29">
        <f>M29+Q29+U29+Y29+AC29+AG29+AK29+AO29</f>
        <v>1993</v>
      </c>
      <c r="M29">
        <f>M28+22</f>
        <v>87</v>
      </c>
      <c r="N29">
        <f>N28-7</f>
        <v>5</v>
      </c>
      <c r="O29">
        <f>O28+0</f>
        <v>0</v>
      </c>
      <c r="Q29">
        <f>Q28+48</f>
        <v>276</v>
      </c>
      <c r="R29">
        <f>R28+26</f>
        <v>67</v>
      </c>
      <c r="S29">
        <f>S28+0</f>
        <v>2</v>
      </c>
      <c r="U29">
        <f>U28+44</f>
        <v>280</v>
      </c>
      <c r="V29">
        <f>V28+87</f>
        <v>137</v>
      </c>
      <c r="W29">
        <f>W28+0</f>
        <v>6</v>
      </c>
      <c r="Y29">
        <f>Y28+337</f>
        <v>1245</v>
      </c>
      <c r="Z29">
        <f>Z28+101</f>
        <v>189</v>
      </c>
      <c r="AA29">
        <f>AA28+1</f>
        <v>21</v>
      </c>
      <c r="AC29">
        <f>AC28+10</f>
        <v>38</v>
      </c>
      <c r="AD29">
        <f>AD28-4</f>
        <v>1</v>
      </c>
      <c r="AE29">
        <f>AE28+0</f>
        <v>1</v>
      </c>
      <c r="AG29">
        <f>AG28+3</f>
        <v>40</v>
      </c>
      <c r="AH29">
        <f>AH28-7</f>
        <v>0</v>
      </c>
      <c r="AI29">
        <f>AI28+0</f>
        <v>4</v>
      </c>
      <c r="AK29">
        <f>AK28+4</f>
        <v>7</v>
      </c>
      <c r="AL29">
        <f>AL28+1</f>
        <v>1</v>
      </c>
      <c r="AM29">
        <f>AM28+0</f>
        <v>0</v>
      </c>
      <c r="AO29">
        <f>AO28+1</f>
        <v>20</v>
      </c>
      <c r="AP29">
        <f>AP28+2</f>
        <v>4</v>
      </c>
      <c r="AQ29">
        <f>AQ28+0</f>
        <v>0</v>
      </c>
      <c r="AW29">
        <f>M29+Q29+U29+Y29+AC29+AG29+AK29+AO29</f>
        <v>1993</v>
      </c>
      <c r="AX29">
        <f>N29+R29+V29+Z29+AD29+AH29+AL29+AP29</f>
        <v>404</v>
      </c>
      <c r="AY29">
        <f>O29+S29+W29+AA29+AE29+AI29+AM29+AQ29</f>
        <v>34</v>
      </c>
      <c r="BA29" s="5">
        <v>43871</v>
      </c>
      <c r="BB29">
        <v>11</v>
      </c>
      <c r="BC29">
        <f>(BB29/BB28)-1</f>
        <v>0</v>
      </c>
    </row>
    <row r="30" spans="1:65" ht="19.5">
      <c r="C30">
        <f>H29*D30</f>
        <v>577.99999999481281</v>
      </c>
      <c r="D30">
        <f>0.29001505268400002</f>
        <v>0.29001505268400002</v>
      </c>
      <c r="E30" t="s">
        <v>12</v>
      </c>
      <c r="F30" s="5">
        <v>43920</v>
      </c>
      <c r="G30" s="2">
        <f>H30*50</f>
        <v>128549.99999898218</v>
      </c>
      <c r="H30">
        <f>H29+C30</f>
        <v>2570.9999999796437</v>
      </c>
      <c r="I30">
        <v>2571</v>
      </c>
      <c r="J30">
        <v>161807</v>
      </c>
      <c r="K30">
        <f>M30+Q30+U30+Y30+AC30+AG30+AK30+AO30+AS30</f>
        <v>2571</v>
      </c>
      <c r="M30">
        <f>M29+26</f>
        <v>113</v>
      </c>
      <c r="N30">
        <f>N29+2</f>
        <v>7</v>
      </c>
      <c r="O30">
        <f>O29+1</f>
        <v>1</v>
      </c>
      <c r="Q30">
        <f>Q29+54</f>
        <v>330</v>
      </c>
      <c r="R30">
        <f>R29+29</f>
        <v>96</v>
      </c>
      <c r="S30">
        <f>S29+1</f>
        <v>3</v>
      </c>
      <c r="U30">
        <f>U29+93</f>
        <v>373</v>
      </c>
      <c r="V30">
        <f>V29+39</f>
        <v>176</v>
      </c>
      <c r="W30">
        <f>W29+0</f>
        <v>6</v>
      </c>
      <c r="Y30">
        <f>Y29+200</f>
        <v>1445</v>
      </c>
      <c r="Z30">
        <f>Z29+41</f>
        <v>230</v>
      </c>
      <c r="AA30">
        <f>AA29+0</f>
        <v>21</v>
      </c>
      <c r="AC30">
        <f>AC29+12</f>
        <v>50</v>
      </c>
      <c r="AD30">
        <f>AD29+0</f>
        <v>1</v>
      </c>
      <c r="AE30">
        <f>AE29+0</f>
        <v>1</v>
      </c>
      <c r="AG30">
        <f>AG29+10</f>
        <v>50</v>
      </c>
      <c r="AH30">
        <f>AH29+2</f>
        <v>2</v>
      </c>
      <c r="AI30">
        <f>AI29+0</f>
        <v>4</v>
      </c>
      <c r="AK30">
        <f>AK29+3</f>
        <v>10</v>
      </c>
      <c r="AL30">
        <f>AL29-1</f>
        <v>0</v>
      </c>
      <c r="AM30">
        <f>AM29+0</f>
        <v>0</v>
      </c>
      <c r="AO30">
        <f>AO29+4</f>
        <v>24</v>
      </c>
      <c r="AP30">
        <f>AP29+1</f>
        <v>5</v>
      </c>
      <c r="AQ30">
        <f>AQ29+0</f>
        <v>0</v>
      </c>
      <c r="AS30">
        <f>AS29+176</f>
        <v>176</v>
      </c>
      <c r="AU30">
        <f>AU29+0</f>
        <v>0</v>
      </c>
      <c r="AW30">
        <f>M30+Q30+U30+Y30+AC30+AG30+AK30+AO30+AS30</f>
        <v>2571</v>
      </c>
      <c r="AX30">
        <f>N30+R30+V30+Z30+AD30+AH30+AL30+AP30+AT30</f>
        <v>517</v>
      </c>
      <c r="AY30">
        <f>O30+S30+W30+AA30+AE30+AI30+AM30+AQ30+AU30</f>
        <v>36</v>
      </c>
      <c r="BA30" s="5">
        <v>43872</v>
      </c>
      <c r="BB30">
        <v>12</v>
      </c>
      <c r="BC30">
        <f>(BB30/BB29)-1</f>
        <v>0.090909090909090828</v>
      </c>
    </row>
    <row r="31" spans="1:65" ht="19.5">
      <c r="C31">
        <f>H30*D31</f>
        <v>556.99999999574084</v>
      </c>
      <c r="D31">
        <f>0.21664721898100001</f>
        <v>0.21664721898100001</v>
      </c>
      <c r="E31" t="s">
        <v>13</v>
      </c>
      <c r="F31" s="5">
        <v>43921</v>
      </c>
      <c r="G31" s="2">
        <f>H31*50</f>
        <v>156399.99999876923</v>
      </c>
      <c r="H31">
        <f>H30+C31</f>
        <v>3127.9999999753845</v>
      </c>
      <c r="I31">
        <v>3128</v>
      </c>
      <c r="J31">
        <v>188172</v>
      </c>
      <c r="K31">
        <f>M31+Q31+U31+Y31+AC31+AG31+AK31+AO31+AS31</f>
        <v>3128</v>
      </c>
      <c r="M31">
        <f>M30+8</f>
        <v>121</v>
      </c>
      <c r="N31">
        <f>N30+0</f>
        <v>7</v>
      </c>
      <c r="O31">
        <f>O30+0</f>
        <v>1</v>
      </c>
      <c r="Q31">
        <f>Q30+63</f>
        <v>393</v>
      </c>
      <c r="R31">
        <f>R30+14</f>
        <v>110</v>
      </c>
      <c r="S31">
        <f>S30+4</f>
        <v>7</v>
      </c>
      <c r="U31">
        <f>U30+144</f>
        <v>517</v>
      </c>
      <c r="V31">
        <f>V30+26</f>
        <v>202</v>
      </c>
      <c r="W31">
        <f>W30+6</f>
        <v>12</v>
      </c>
      <c r="Y31">
        <f>Y30+425</f>
        <v>1870</v>
      </c>
      <c r="Z31">
        <f>Z30+45</f>
        <v>275</v>
      </c>
      <c r="AA31">
        <f>AA30+17</f>
        <v>38</v>
      </c>
      <c r="AC31">
        <f>AC30+6</f>
        <v>56</v>
      </c>
      <c r="AD31">
        <f>AD30+4</f>
        <v>5</v>
      </c>
      <c r="AE31">
        <f>AE30+0</f>
        <v>1</v>
      </c>
      <c r="AG31">
        <f>AG30+6</f>
        <v>56</v>
      </c>
      <c r="AH31">
        <f>AH30+-1</f>
        <v>1</v>
      </c>
      <c r="AI31">
        <f>AI30+3</f>
        <v>7</v>
      </c>
      <c r="AK31">
        <f>AK30+1</f>
        <v>11</v>
      </c>
      <c r="AL31">
        <f>AL30+0</f>
        <v>0</v>
      </c>
      <c r="AM31">
        <f>AM30+0</f>
        <v>0</v>
      </c>
      <c r="AO31">
        <f>AO30+3</f>
        <v>27</v>
      </c>
      <c r="AP31">
        <f>AP30+3</f>
        <v>8</v>
      </c>
      <c r="AQ31">
        <f>AQ30+1</f>
        <v>1</v>
      </c>
      <c r="AS31">
        <f>AS30-99</f>
        <v>77</v>
      </c>
      <c r="AU31">
        <f>AU30+2</f>
        <v>2</v>
      </c>
      <c r="AW31">
        <f>M31+Q31+U31+Y31+AC31+AG31+AK31+AO31+AS31</f>
        <v>3128</v>
      </c>
      <c r="AX31">
        <f>N31+R31+V31+Z31+AD31+AH31+AL31+AP31+AT31</f>
        <v>608</v>
      </c>
      <c r="AY31">
        <f>O31+S31+W31+AA31+AE31+AI31+AM31+AQ31+AU31</f>
        <v>69</v>
      </c>
      <c r="BA31" s="5">
        <v>43873</v>
      </c>
      <c r="BB31">
        <v>12</v>
      </c>
      <c r="BC31">
        <f>(BB31/BB30)-1</f>
        <v>0</v>
      </c>
    </row>
    <row r="32" spans="1:65" ht="19.5">
      <c r="C32">
        <f>H31*D32</f>
        <v>429.00000000942401</v>
      </c>
      <c r="D32">
        <v>0.1371483376</v>
      </c>
      <c r="E32" t="s">
        <v>14</v>
      </c>
      <c r="F32" s="5">
        <v>43922</v>
      </c>
      <c r="G32" s="2">
        <f>H32*50</f>
        <v>177849.99999924045</v>
      </c>
      <c r="H32">
        <f>H31+C32</f>
        <v>3556.9999999848087</v>
      </c>
      <c r="I32">
        <v>3557</v>
      </c>
      <c r="J32">
        <v>213372</v>
      </c>
      <c r="K32">
        <f>M32+Q32+U32+Y32+AC32+AG32+AK32+AO32+AS32</f>
        <v>3557</v>
      </c>
      <c r="M32">
        <f>M31+10</f>
        <v>131</v>
      </c>
      <c r="N32">
        <f>N31+4</f>
        <v>11</v>
      </c>
      <c r="O32">
        <f>O31+0</f>
        <v>1</v>
      </c>
      <c r="Q32">
        <f>Q31+76</f>
        <v>469</v>
      </c>
      <c r="R32">
        <f>R31+16</f>
        <v>126</v>
      </c>
      <c r="S32">
        <f>S31+4</f>
        <v>11</v>
      </c>
      <c r="U32">
        <f>U31+94</f>
        <v>611</v>
      </c>
      <c r="V32">
        <f>V31+49</f>
        <v>251</v>
      </c>
      <c r="W32">
        <f>W31+3</f>
        <v>15</v>
      </c>
      <c r="Y32">
        <f>Y31+116</f>
        <v>1986</v>
      </c>
      <c r="Z32">
        <f>Z31+84</f>
        <v>359</v>
      </c>
      <c r="AA32">
        <f>AA31+8</f>
        <v>46</v>
      </c>
      <c r="AC32">
        <f>AC31+10</f>
        <v>66</v>
      </c>
      <c r="AD32">
        <f>AD31+3</f>
        <v>8</v>
      </c>
      <c r="AE32">
        <f>AE31+1</f>
        <v>2</v>
      </c>
      <c r="AG32">
        <f>AG31+5</f>
        <v>61</v>
      </c>
      <c r="AH32">
        <f>AH31+0</f>
        <v>1</v>
      </c>
      <c r="AI32">
        <f>AI31+0</f>
        <v>7</v>
      </c>
      <c r="AK32">
        <f>AK31+8</f>
        <v>19</v>
      </c>
      <c r="AL32">
        <f>AL31+0</f>
        <v>0</v>
      </c>
      <c r="AM32">
        <f>AM31+0</f>
        <v>0</v>
      </c>
      <c r="AO32">
        <f>AO31+2</f>
        <v>29</v>
      </c>
      <c r="AP32">
        <f>AP31+2</f>
        <v>10</v>
      </c>
      <c r="AQ32">
        <f>AQ31+0</f>
        <v>1</v>
      </c>
      <c r="AS32">
        <f>AS31+108</f>
        <v>185</v>
      </c>
      <c r="AU32">
        <f>AU31+0</f>
        <v>2</v>
      </c>
      <c r="AW32">
        <f>M32+Q32+U32+Y32+AC32+AG32+AK32+AO32+AS32</f>
        <v>3557</v>
      </c>
      <c r="AX32">
        <f>N32+R32+V32+Z32+AD32+AH32+AL32+AP32+AT32</f>
        <v>766</v>
      </c>
      <c r="AY32">
        <f>O32+S32+W32+AA32+AE32+AI32+AM32+AQ32+AU32</f>
        <v>85</v>
      </c>
      <c r="BA32" s="5">
        <v>43874</v>
      </c>
      <c r="BB32">
        <v>13</v>
      </c>
      <c r="BC32">
        <f>(BB32/BB31)-1</f>
        <v>0.083333333333333259</v>
      </c>
    </row>
    <row r="33" spans="1:65" ht="19.5">
      <c r="C33">
        <f>H32*D33</f>
        <v>266.99999999874649</v>
      </c>
      <c r="D33">
        <v>0.075063255552399996</v>
      </c>
      <c r="E33" t="s">
        <v>15</v>
      </c>
      <c r="F33" s="5">
        <v>43923</v>
      </c>
      <c r="G33" s="2">
        <f>H33*50</f>
        <v>191199.99999917776</v>
      </c>
      <c r="H33">
        <f>H32+C33</f>
        <v>3823.9999999835554</v>
      </c>
      <c r="I33">
        <v>3824</v>
      </c>
      <c r="J33">
        <v>243453</v>
      </c>
      <c r="K33">
        <f>M33+Q33+U33+Y33+AC33+AG33+AK33+AO33+AS33</f>
        <v>3824</v>
      </c>
      <c r="M33">
        <f>M32+10</f>
        <v>141</v>
      </c>
      <c r="N33">
        <f>N32+0</f>
        <v>11</v>
      </c>
      <c r="O33">
        <f>O32+1</f>
        <v>2</v>
      </c>
      <c r="Q33">
        <f>Q32+70</f>
        <v>539</v>
      </c>
      <c r="R33">
        <f>R32+10</f>
        <v>136</v>
      </c>
      <c r="S33">
        <f>S32+2</f>
        <v>13</v>
      </c>
      <c r="U33">
        <f>U32+36</f>
        <v>647</v>
      </c>
      <c r="V33">
        <f>V32+23</f>
        <v>274</v>
      </c>
      <c r="W33">
        <f>W32+2</f>
        <v>17</v>
      </c>
      <c r="Y33">
        <f>Y32+146</f>
        <v>2132</v>
      </c>
      <c r="Z33">
        <f>Z32+22</f>
        <v>381</v>
      </c>
      <c r="AA33">
        <f>AA32+19</f>
        <v>65</v>
      </c>
      <c r="AC33">
        <f>AC32+8</f>
        <v>74</v>
      </c>
      <c r="AD33">
        <f>AD32+3</f>
        <v>11</v>
      </c>
      <c r="AE33">
        <f>AE32+1</f>
        <v>3</v>
      </c>
      <c r="AG33">
        <f>AG32+6</f>
        <v>67</v>
      </c>
      <c r="AH33">
        <f>AH32+1</f>
        <v>2</v>
      </c>
      <c r="AI33">
        <f>AI32+3</f>
        <v>10</v>
      </c>
      <c r="AK33">
        <f>AK32+2</f>
        <v>21</v>
      </c>
      <c r="AL33">
        <f>AL32+3</f>
        <v>3</v>
      </c>
      <c r="AM33">
        <f>AM32+0</f>
        <v>0</v>
      </c>
      <c r="AO33">
        <f>AO32+0</f>
        <v>29</v>
      </c>
      <c r="AP33">
        <f>AP32+-1</f>
        <v>9</v>
      </c>
      <c r="AQ33">
        <f>AQ32+0</f>
        <v>1</v>
      </c>
      <c r="AS33">
        <f>AS32+-11</f>
        <v>174</v>
      </c>
      <c r="AU33">
        <f>AU32+-1</f>
        <v>1</v>
      </c>
      <c r="AW33">
        <f>M33+Q33+U33+Y33+AC33+AG33+AK33+AO33+AS33</f>
        <v>3824</v>
      </c>
      <c r="AX33">
        <f>N33+R33+V33+Z33+AD33+AH33+AL33+AP33+AT33</f>
        <v>827</v>
      </c>
      <c r="AY33">
        <f>O33+S33+W33+AA33+AE33+AI33+AM33+AQ33+AU33</f>
        <v>112</v>
      </c>
      <c r="BA33" s="5">
        <v>43875</v>
      </c>
      <c r="BB33">
        <v>13</v>
      </c>
      <c r="BC33">
        <f>(BB33/BB32)-1</f>
        <v>0</v>
      </c>
    </row>
    <row r="34" spans="1:65" ht="19.5">
      <c r="C34">
        <f>H33*D34</f>
        <v>1089.9999999793126</v>
      </c>
      <c r="D34">
        <v>0.28504184100000002</v>
      </c>
      <c r="E34" t="s">
        <v>16</v>
      </c>
      <c r="F34" s="5">
        <v>43924</v>
      </c>
      <c r="G34" s="2">
        <f>H34*50</f>
        <v>245699.99999814341</v>
      </c>
      <c r="H34">
        <f>H33+C34</f>
        <v>4913.9999999628681</v>
      </c>
      <c r="I34">
        <v>4914</v>
      </c>
      <c r="J34">
        <v>275586</v>
      </c>
      <c r="K34">
        <f>M34+Q34+U34+Y34+AC34+AG34+AK34+AO34+AS34</f>
        <v>4914</v>
      </c>
      <c r="M34">
        <f>M33+32</f>
        <v>173</v>
      </c>
      <c r="N34">
        <f>N33+3</f>
        <v>14</v>
      </c>
      <c r="O34">
        <f>O33+2</f>
        <v>4</v>
      </c>
      <c r="Q34">
        <f>Q33+140</f>
        <v>679</v>
      </c>
      <c r="R34">
        <f>R33+30</f>
        <v>166</v>
      </c>
      <c r="S34">
        <f>S33+5</f>
        <v>18</v>
      </c>
      <c r="U34">
        <f>U33+244</f>
        <v>891</v>
      </c>
      <c r="V34">
        <f>V33+19</f>
        <v>293</v>
      </c>
      <c r="W34">
        <f>W33+1</f>
        <v>18</v>
      </c>
      <c r="Y34">
        <f>Y33+584</f>
        <v>2716</v>
      </c>
      <c r="Z34">
        <f>Z33+28</f>
        <v>409</v>
      </c>
      <c r="AA34">
        <f>AA33+10</f>
        <v>75</v>
      </c>
      <c r="AC34">
        <f>AC33+17</f>
        <v>91</v>
      </c>
      <c r="AD34">
        <f>AD33+1</f>
        <v>12</v>
      </c>
      <c r="AE34">
        <f>AE33+-1</f>
        <v>2</v>
      </c>
      <c r="AG34">
        <f>AG33+12</f>
        <v>79</v>
      </c>
      <c r="AH34">
        <f>AH33+1</f>
        <v>3</v>
      </c>
      <c r="AI34">
        <f>AI33+0</f>
        <v>10</v>
      </c>
      <c r="AK34">
        <f>AK33+6</f>
        <v>27</v>
      </c>
      <c r="AL34">
        <f>AL33+0</f>
        <v>3</v>
      </c>
      <c r="AM34">
        <f>AM33+0</f>
        <v>0</v>
      </c>
      <c r="AO34">
        <f>AO33+11</f>
        <v>40</v>
      </c>
      <c r="AP34">
        <f>AP33+0</f>
        <v>9</v>
      </c>
      <c r="AQ34">
        <f>AQ33+2</f>
        <v>3</v>
      </c>
      <c r="AS34">
        <f>AS33+44</f>
        <v>218</v>
      </c>
      <c r="AU34">
        <f>AU33+0</f>
        <v>1</v>
      </c>
      <c r="AW34">
        <f>M34+Q34+U34+Y34+AC34+AG34+AK34+AO34+AS34</f>
        <v>4914</v>
      </c>
      <c r="AX34">
        <f>N34+R34+V34+Z34+AD34+AH34+AL34+AP34+AT34</f>
        <v>909</v>
      </c>
      <c r="AY34">
        <f>O34+S34+W34+AA34+AE34+AI34+AM34+AQ34+AU34</f>
        <v>131</v>
      </c>
      <c r="BA34" s="5">
        <v>43876</v>
      </c>
      <c r="BB34">
        <v>13</v>
      </c>
      <c r="BC34">
        <f>(BB34/BB33)-1</f>
        <v>0</v>
      </c>
    </row>
    <row r="35" spans="1:65" ht="19.5">
      <c r="C35">
        <f>H34*D35</f>
        <v>361.99999999739401</v>
      </c>
      <c r="D35">
        <v>0.0736670736671</v>
      </c>
      <c r="E35" t="s">
        <v>17</v>
      </c>
      <c r="F35" s="5">
        <v>43925</v>
      </c>
      <c r="G35" s="2">
        <f>H35*50</f>
        <v>263799.99999801314</v>
      </c>
      <c r="H35">
        <f>H34+C35</f>
        <v>5275.9999999602624</v>
      </c>
      <c r="I35">
        <v>5276</v>
      </c>
      <c r="J35">
        <v>308850</v>
      </c>
      <c r="K35">
        <f>M35+Q35+U35+Y35+AC35+AG35+AK35+AO35+AS35</f>
        <v>5276</v>
      </c>
      <c r="M35">
        <f>M34+9</f>
        <v>182</v>
      </c>
      <c r="N35">
        <f>N34+1</f>
        <v>15</v>
      </c>
      <c r="O35">
        <f>O34+1</f>
        <v>5</v>
      </c>
      <c r="Q35">
        <f>Q34+47</f>
        <v>726</v>
      </c>
      <c r="R35">
        <f>R34+18</f>
        <v>184</v>
      </c>
      <c r="S35">
        <f>S34+8</f>
        <v>26</v>
      </c>
      <c r="U35">
        <f>U34+133</f>
        <v>1024</v>
      </c>
      <c r="V35">
        <f>V34+31</f>
        <v>324</v>
      </c>
      <c r="W35">
        <f>W34+11</f>
        <v>29</v>
      </c>
      <c r="Y35">
        <f>Y34+108</f>
        <v>2824</v>
      </c>
      <c r="Z35">
        <f>Z34+66</f>
        <v>475</v>
      </c>
      <c r="AA35">
        <f>AA34+11</f>
        <v>86</v>
      </c>
      <c r="AC35">
        <f>AC34+9</f>
        <v>100</v>
      </c>
      <c r="AD35">
        <f>AD34+7</f>
        <v>19</v>
      </c>
      <c r="AE35">
        <f>AE34+2</f>
        <v>4</v>
      </c>
      <c r="AG35">
        <f>AG34+12</f>
        <v>91</v>
      </c>
      <c r="AH35">
        <f>AH34+0</f>
        <v>3</v>
      </c>
      <c r="AI35">
        <f>AI34+0</f>
        <v>10</v>
      </c>
      <c r="AK35">
        <f>AK34+4</f>
        <v>31</v>
      </c>
      <c r="AL35">
        <f>AL34+0</f>
        <v>3</v>
      </c>
      <c r="AM35">
        <f>AM34+1</f>
        <v>1</v>
      </c>
      <c r="AO35">
        <f>AO34+17</f>
        <v>57</v>
      </c>
      <c r="AP35">
        <f>AP34+1</f>
        <v>10</v>
      </c>
      <c r="AQ35">
        <f>AQ34+0</f>
        <v>3</v>
      </c>
      <c r="AS35">
        <f>AS34+23</f>
        <v>241</v>
      </c>
      <c r="AU35">
        <f>AU34+0</f>
        <v>1</v>
      </c>
      <c r="AW35">
        <f>M35+Q35+U35+Y35+AC35+AG35+AK35+AO35+AS35</f>
        <v>5276</v>
      </c>
      <c r="AX35">
        <f>N35+R35+V35+Z35+AD35+AH35+AL35+AP35+AT35</f>
        <v>1033</v>
      </c>
      <c r="AY35">
        <f>O35+S35+W35+AA35+AE35+AI35+AM35+AQ35+AU35</f>
        <v>165</v>
      </c>
      <c r="BA35" s="5">
        <v>43877</v>
      </c>
      <c r="BB35">
        <v>13</v>
      </c>
      <c r="BC35">
        <f>(BB35/BB34)-1</f>
        <v>0</v>
      </c>
    </row>
    <row r="36" spans="1:65" ht="19.5">
      <c r="C36">
        <f>H35*D36</f>
        <v>398.99999999688362</v>
      </c>
      <c r="D36">
        <v>0.075625473843800001</v>
      </c>
      <c r="E36" t="s">
        <v>11</v>
      </c>
      <c r="F36" s="5">
        <v>43926</v>
      </c>
      <c r="G36" s="2">
        <f>H36*50</f>
        <v>283749.99999785732</v>
      </c>
      <c r="H36">
        <f>H35+C36</f>
        <v>5674.9999999571464</v>
      </c>
      <c r="I36">
        <v>5675</v>
      </c>
      <c r="J36">
        <v>337072</v>
      </c>
      <c r="K36">
        <f>M36+Q36+U36+Y36+AC36+AG36+AK36+AO36+AS36</f>
        <v>5675</v>
      </c>
      <c r="M36">
        <f>M35+15</f>
        <v>197</v>
      </c>
      <c r="N36">
        <f>N35+0</f>
        <v>15</v>
      </c>
      <c r="O36">
        <f>O35+1</f>
        <v>6</v>
      </c>
      <c r="Q36">
        <f>Q35+25</f>
        <v>751</v>
      </c>
      <c r="R36">
        <f>R35+5</f>
        <v>189</v>
      </c>
      <c r="S36">
        <f>S35+3</f>
        <v>29</v>
      </c>
      <c r="U36">
        <f>U35+138</f>
        <v>1162</v>
      </c>
      <c r="V36">
        <f>V35+48</f>
        <v>372</v>
      </c>
      <c r="W36">
        <f>W35+7</f>
        <v>36</v>
      </c>
      <c r="Y36">
        <f>Y35+226</f>
        <v>3050</v>
      </c>
      <c r="Z36">
        <f>Z35+56</f>
        <v>531</v>
      </c>
      <c r="AA36">
        <f>AA35+10</f>
        <v>96</v>
      </c>
      <c r="AC36">
        <f>AC35+10</f>
        <v>110</v>
      </c>
      <c r="AD36">
        <f>AD35+0</f>
        <v>19</v>
      </c>
      <c r="AE36">
        <f>AE35+1</f>
        <v>5</v>
      </c>
      <c r="AG36">
        <f>AG35+3</f>
        <v>94</v>
      </c>
      <c r="AH36">
        <f>AH35+0</f>
        <v>3</v>
      </c>
      <c r="AI36">
        <f>AI35+1</f>
        <v>11</v>
      </c>
      <c r="AK36">
        <f>AK35+1</f>
        <v>32</v>
      </c>
      <c r="AL36">
        <f>AL35+0</f>
        <v>3</v>
      </c>
      <c r="AM36">
        <f>AM35+0</f>
        <v>1</v>
      </c>
      <c r="AO36">
        <f>AO35+0</f>
        <v>57</v>
      </c>
      <c r="AP36">
        <f>AP35+0</f>
        <v>10</v>
      </c>
      <c r="AQ36">
        <f>AQ35+1</f>
        <v>4</v>
      </c>
      <c r="AS36">
        <f>AS35+-19</f>
        <v>222</v>
      </c>
      <c r="AU36">
        <f>AU35+0</f>
        <v>1</v>
      </c>
      <c r="AW36">
        <f>M36+Q36+U36+Y36+AC36+AG36+AK36+AO36+AS36</f>
        <v>5675</v>
      </c>
      <c r="AX36">
        <f>N36+R36+V36+Z36+AD36+AH36+AL36+AP36+AT36</f>
        <v>1142</v>
      </c>
      <c r="AY36">
        <f>O36+S36+W36+AA36+AE36+AI36+AM36+AQ36+AU36</f>
        <v>189</v>
      </c>
      <c r="BA36" s="5">
        <v>43878</v>
      </c>
      <c r="BB36">
        <v>13</v>
      </c>
      <c r="BC36">
        <f>(BB36/BB35)-1</f>
        <v>0</v>
      </c>
    </row>
    <row r="37" spans="1:65" ht="19.5">
      <c r="C37">
        <f>H36*D37</f>
        <v>1230.9999999880292</v>
      </c>
      <c r="D37">
        <v>0.21691629955899999</v>
      </c>
      <c r="E37" t="s">
        <v>12</v>
      </c>
      <c r="F37" s="5">
        <v>43927</v>
      </c>
      <c r="G37" s="2">
        <f>H37*50</f>
        <v>345299.99999725877</v>
      </c>
      <c r="H37">
        <f>H36+C37</f>
        <v>6905.9999999451757</v>
      </c>
      <c r="I37">
        <v>6906</v>
      </c>
      <c r="J37">
        <v>366667</v>
      </c>
      <c r="K37">
        <f>M37+Q37+U37+Y37+AC37+AG37+AK37+AO37+AS37</f>
        <v>6906</v>
      </c>
      <c r="M37">
        <f>M36+33</f>
        <v>230</v>
      </c>
      <c r="N37">
        <f>N36+0</f>
        <v>15</v>
      </c>
      <c r="O37">
        <f>O36+2</f>
        <v>8</v>
      </c>
      <c r="Q37">
        <f>Q36+131</f>
        <v>882</v>
      </c>
      <c r="R37">
        <f>R36+24</f>
        <v>213</v>
      </c>
      <c r="S37">
        <f>S36+2</f>
        <v>31</v>
      </c>
      <c r="U37">
        <f>U36+306</f>
        <v>1468</v>
      </c>
      <c r="V37">
        <f>V36+12</f>
        <v>384</v>
      </c>
      <c r="W37">
        <f>W36+5</f>
        <v>41</v>
      </c>
      <c r="Y37">
        <f>Y36+669</f>
        <v>3719</v>
      </c>
      <c r="Z37">
        <f>Z36+41</f>
        <v>572</v>
      </c>
      <c r="AA37">
        <f>AA36+5</f>
        <v>101</v>
      </c>
      <c r="AC37">
        <f>AC36+25</f>
        <v>135</v>
      </c>
      <c r="AD37">
        <f>AD36+3</f>
        <v>22</v>
      </c>
      <c r="AE37">
        <f>AE36+2</f>
        <v>7</v>
      </c>
      <c r="AG37">
        <f>AG36+9</f>
        <v>103</v>
      </c>
      <c r="AH37">
        <f>AH36+0</f>
        <v>3</v>
      </c>
      <c r="AI37">
        <f>AI36+2</f>
        <v>13</v>
      </c>
      <c r="AK37">
        <f>AK36+8</f>
        <v>40</v>
      </c>
      <c r="AL37">
        <f>AL36+-1</f>
        <v>2</v>
      </c>
      <c r="AM37">
        <f>AM36+0</f>
        <v>1</v>
      </c>
      <c r="AO37">
        <f>AO36+8</f>
        <v>65</v>
      </c>
      <c r="AP37">
        <f>AP36+0</f>
        <v>10</v>
      </c>
      <c r="AQ37">
        <f>AQ36+0</f>
        <v>4</v>
      </c>
      <c r="AS37">
        <f>AS36+42</f>
        <v>264</v>
      </c>
      <c r="AU37">
        <f>AU36+-1</f>
        <v>0</v>
      </c>
      <c r="AW37">
        <f>M37+Q37+U37+Y37+AC37+AG37+AK37+AO37+AS37</f>
        <v>6906</v>
      </c>
      <c r="AX37">
        <f>N37+R37+V37+Z37+AD37+AH37+AL37+AP37+AT37</f>
        <v>1221</v>
      </c>
      <c r="AY37">
        <f>O37+S37+W37+AA37+AE37+AI37+AM37+AQ37+AU37</f>
        <v>206</v>
      </c>
      <c r="BA37" s="5">
        <v>43879</v>
      </c>
      <c r="BB37">
        <v>13</v>
      </c>
      <c r="BC37">
        <f>(BB37/BB36)-1</f>
        <v>0</v>
      </c>
    </row>
    <row r="38" spans="1:65" ht="19.5">
      <c r="C38">
        <f>H37*D38</f>
        <v>874.99999999378963</v>
      </c>
      <c r="D38">
        <v>0.12670141905599999</v>
      </c>
      <c r="E38" t="s">
        <v>13</v>
      </c>
      <c r="F38" s="5">
        <v>43928</v>
      </c>
      <c r="G38" s="2">
        <f>H38*50</f>
        <v>389049.99999694829</v>
      </c>
      <c r="H38">
        <f>H37+C38</f>
        <v>7780.9999999389656</v>
      </c>
      <c r="I38">
        <v>7781</v>
      </c>
      <c r="J38">
        <v>396223</v>
      </c>
      <c r="K38">
        <f>M38+Q38+U38+Y38+AC38+AG38+AK38+AO38+AS38</f>
        <v>7781</v>
      </c>
      <c r="M38">
        <f>M37+25</f>
        <v>255</v>
      </c>
      <c r="N38">
        <f>N37+2</f>
        <v>17</v>
      </c>
      <c r="O38">
        <f>O37+1</f>
        <v>9</v>
      </c>
      <c r="Q38">
        <f>Q37+163</f>
        <v>1045</v>
      </c>
      <c r="R38">
        <f>R37+30</f>
        <v>243</v>
      </c>
      <c r="S38">
        <f>S37+17</f>
        <v>48</v>
      </c>
      <c r="T38" t="inlineStr">
        <is>
          <t>UPDATED - finished this line's entry and won't require further update.</t>
        </is>
      </c>
      <c r="U38">
        <f>U37+196</f>
        <v>1664</v>
      </c>
      <c r="V38">
        <f>V37+6</f>
        <v>390</v>
      </c>
      <c r="W38">
        <f>W37+19</f>
        <v>60</v>
      </c>
      <c r="Y38">
        <f>Y37+417</f>
        <v>4136</v>
      </c>
      <c r="Z38">
        <f>Z37+41</f>
        <v>613</v>
      </c>
      <c r="AA38">
        <f>AA37+31</f>
        <v>132</v>
      </c>
      <c r="AC38">
        <f>AC37+15</f>
        <v>150</v>
      </c>
      <c r="AD38">
        <f>AD37+4</f>
        <v>26</v>
      </c>
      <c r="AE38">
        <f>AE37+0</f>
        <v>7</v>
      </c>
      <c r="AG38">
        <f>AG37+8</f>
        <v>111</v>
      </c>
      <c r="AH38">
        <f>AH37+1</f>
        <v>4</v>
      </c>
      <c r="AI38">
        <f>AI37+0</f>
        <v>13</v>
      </c>
      <c r="AK38">
        <f>AK37+3</f>
        <v>43</v>
      </c>
      <c r="AL38">
        <f>AL37+1</f>
        <v>3</v>
      </c>
      <c r="AM38">
        <f>AM37+0</f>
        <v>1</v>
      </c>
      <c r="AO38">
        <f>AO37+20</f>
        <v>85</v>
      </c>
      <c r="AP38">
        <f>AP37+2</f>
        <v>12</v>
      </c>
      <c r="AQ38">
        <f>AQ37+0</f>
        <v>4</v>
      </c>
      <c r="AS38">
        <f>AS37+28</f>
        <v>292</v>
      </c>
      <c r="AU38">
        <f>AU37+3</f>
        <v>3</v>
      </c>
      <c r="AW38">
        <f>M38+Q38+U38+Y38+AC38+AG38+AK38+AO38+AS38</f>
        <v>7781</v>
      </c>
      <c r="AX38">
        <f>N38+R38+V38+Z38+AD38+AH38+AL38+AP38+AT38</f>
        <v>1308</v>
      </c>
      <c r="AY38">
        <f>O38+S38+W38+AA38+AE38+AI38+AM38+AQ38+AU38</f>
        <v>277</v>
      </c>
      <c r="AZ38" t="inlineStr">
        <is>
          <t>CORRECT - no errors seen.  Ready for permanent record.</t>
        </is>
      </c>
      <c r="BA38" s="5">
        <v>43880</v>
      </c>
      <c r="BB38">
        <v>13</v>
      </c>
      <c r="BC38">
        <f>(BB38/BB37)-1</f>
        <v>0</v>
      </c>
    </row>
    <row r="39" spans="1:65" ht="19.5">
      <c r="C39">
        <f>H38*D39</f>
        <v>999.99999999041893</v>
      </c>
      <c r="D39">
        <v>0.12851818532299999</v>
      </c>
      <c r="E39" t="s">
        <v>14</v>
      </c>
      <c r="F39" s="5">
        <v>43929</v>
      </c>
      <c r="G39" s="2">
        <f>H39*50</f>
        <v>439049.99999646924</v>
      </c>
      <c r="H39">
        <f>H38+C39</f>
        <v>8780.999999929385</v>
      </c>
      <c r="I39">
        <v>8781</v>
      </c>
      <c r="J39">
        <v>429052</v>
      </c>
      <c r="K39">
        <f>M39+Q39+U39+Y39+AC39+AG39+AK39+AO39+AS39</f>
        <v>8781</v>
      </c>
      <c r="L39" t="inlineStr">
        <is>
          <t>NEW:</t>
        </is>
      </c>
      <c r="M39">
        <f>M38+37</f>
        <v>292</v>
      </c>
      <c r="N39">
        <f>N38+3</f>
        <v>20</v>
      </c>
      <c r="O39">
        <f>O38+3</f>
        <v>12</v>
      </c>
      <c r="Q39">
        <f>Q38+245</f>
        <v>1290</v>
      </c>
      <c r="R39">
        <f>R38+8</f>
        <v>251</v>
      </c>
      <c r="S39">
        <f>S38+20</f>
        <v>68</v>
      </c>
      <c r="T39" t="inlineStr">
        <is>
          <t>PROPOSED - open to proposal now - subject to revision.</t>
        </is>
      </c>
      <c r="U39">
        <f>U38+281</f>
        <v>1945</v>
      </c>
      <c r="V39">
        <f>V38+38</f>
        <v>428</v>
      </c>
      <c r="W39">
        <f>W38+10</f>
        <v>70</v>
      </c>
      <c r="Y39">
        <f>Y38+281</f>
        <v>4417</v>
      </c>
      <c r="Z39">
        <f>Z38+52</f>
        <v>665</v>
      </c>
      <c r="AA39">
        <f>AA38+23</f>
        <v>155</v>
      </c>
      <c r="AC39">
        <f>AC38+24</f>
        <v>174</v>
      </c>
      <c r="AD39">
        <f>AD38+2</f>
        <v>28</v>
      </c>
      <c r="AE39">
        <f>AE38+2</f>
        <v>9</v>
      </c>
      <c r="AG39">
        <f>AG38+17</f>
        <v>128</v>
      </c>
      <c r="AH39">
        <f>AH38+3</f>
        <v>7</v>
      </c>
      <c r="AI39">
        <f>AI38+0</f>
        <v>13</v>
      </c>
      <c r="AK39">
        <f>AK38+6</f>
        <v>49</v>
      </c>
      <c r="AL39">
        <f>AL38+0</f>
        <v>3</v>
      </c>
      <c r="AM39">
        <f>AM38+0</f>
        <v>1</v>
      </c>
      <c r="AO39">
        <f>AO38+35</f>
        <v>120</v>
      </c>
      <c r="AP39">
        <f>AP38+4</f>
        <v>16</v>
      </c>
      <c r="AQ39">
        <f>AQ38+1</f>
        <v>5</v>
      </c>
      <c r="AS39">
        <f>AS38+74</f>
        <v>366</v>
      </c>
      <c r="AU39">
        <f>AU38+-1</f>
        <v>2</v>
      </c>
      <c r="AW39">
        <f>M39+Q39+U39+Y39+AC39+AG39+AK39+AO39+AS39</f>
        <v>8781</v>
      </c>
      <c r="AX39">
        <f>N39+R39+V39+Z39+AD39+AH39+AL39+AP39+AT39</f>
        <v>1418</v>
      </c>
      <c r="AY39">
        <f>O39+S39+W39+AA39+AE39+AI39+AM39+AQ39+AU39</f>
        <v>335</v>
      </c>
      <c r="BA39" s="5">
        <v>43881</v>
      </c>
      <c r="BB39">
        <v>13</v>
      </c>
      <c r="BC39">
        <f>(BB39/BB38)-1</f>
        <v>0</v>
      </c>
    </row>
    <row r="40" spans="1:65" ht="19.5">
      <c r="C40">
        <f>H39*D40</f>
        <v>1016.6830498307996</v>
      </c>
      <c r="D40">
        <f>D39/1.1100000000000001</f>
        <v>0.11578214893963963</v>
      </c>
      <c r="E40" t="s">
        <v>15</v>
      </c>
      <c r="F40" t="inlineStr">
        <is>
          <t>day two</t>
        </is>
      </c>
      <c r="G40" s="2">
        <f>H40*50</f>
        <v>489884.15248800919</v>
      </c>
      <c r="H40">
        <f>H39+C40</f>
        <v>9797.6830497601841</v>
      </c>
      <c r="BA40" s="5">
        <v>43882</v>
      </c>
      <c r="BB40">
        <v>15</v>
      </c>
      <c r="BC40">
        <f>(BB40/BB39)-1</f>
        <v>0.15384615384615374</v>
      </c>
    </row>
    <row r="41" spans="1:65" ht="19.5">
      <c r="C41">
        <f>H40*D41</f>
        <v>1021.9790974150596</v>
      </c>
      <c r="D41">
        <f>D40/1.1100000000000001</f>
        <v>0.10430824228796362</v>
      </c>
      <c r="E41" t="s">
        <v>16</v>
      </c>
      <c r="F41" t="inlineStr">
        <is>
          <t>day three</t>
        </is>
      </c>
      <c r="G41" s="2">
        <f>H41*50</f>
        <v>540983.10735876218</v>
      </c>
      <c r="H41">
        <f>H40+C41</f>
        <v>10819.662147175244</v>
      </c>
      <c r="J41" t="inlineStr">
        <is>
          <t>*preliminary*</t>
        </is>
      </c>
      <c r="BA41" s="5">
        <v>43883</v>
      </c>
      <c r="BB41">
        <v>15</v>
      </c>
      <c r="BC41">
        <f>(BB41/BB40)-1</f>
        <v>0</v>
      </c>
    </row>
    <row r="42" spans="1:65" ht="19.5">
      <c r="C42">
        <f>H41*D42</f>
        <v>1016.7386853346522</v>
      </c>
      <c r="D42">
        <f>D41/1.1100000000000001</f>
        <v>0.093971389448615869</v>
      </c>
      <c r="E42" t="s">
        <v>17</v>
      </c>
      <c r="F42" t="inlineStr">
        <is>
          <t>day four</t>
        </is>
      </c>
      <c r="G42" s="2">
        <f>H42*50</f>
        <v>591820.04162549484</v>
      </c>
      <c r="H42">
        <f>H41+C42</f>
        <v>11836.400832509897</v>
      </c>
      <c r="J42" s="1"/>
      <c r="K42" t="inlineStr">
        <is>
          <t>TODAY:</t>
        </is>
      </c>
      <c r="M42" s="6">
        <f>(M39/M38)-1</f>
        <v>0.1450980392156862</v>
      </c>
      <c r="N42" s="6">
        <f>(N39/N38)-1</f>
        <v>0.17647058823529416</v>
      </c>
      <c r="O42" s="6">
        <f>(O39/O38)-1</f>
        <v>0.33333333333333326</v>
      </c>
      <c r="P42" s="4"/>
      <c r="Q42" s="6">
        <f>(Q39/Q38)-1</f>
        <v>0.23444976076555024</v>
      </c>
      <c r="R42" s="6">
        <f>(R39/R38)-1</f>
        <v>0.03292181069958855</v>
      </c>
      <c r="S42" s="6">
        <f>(S39/S38)-1</f>
        <v>0.41666666666666674</v>
      </c>
      <c r="T42" s="4"/>
      <c r="U42" s="6">
        <f>(U39/U38)-1</f>
        <v>0.16887019230769229</v>
      </c>
      <c r="V42" s="6">
        <f>(V39/V38)-1</f>
        <v>0.097435897435897534</v>
      </c>
      <c r="W42" s="6">
        <f>(W39/W38)-1</f>
        <v>0.16666666666666674</v>
      </c>
      <c r="X42" s="4"/>
      <c r="Y42" s="6">
        <f>(Y39/Y38)-1</f>
        <v>0.067940038684719539</v>
      </c>
      <c r="Z42" s="6">
        <f>(Z39/Z38)-1</f>
        <v>0.084828711256117462</v>
      </c>
      <c r="AA42" s="6">
        <f>(AA39/AA38)-1</f>
        <v>0.17424242424242431</v>
      </c>
      <c r="AB42" s="4"/>
      <c r="AC42" s="6">
        <f>(AC39/AC38)-1</f>
        <v>0.15999999999999992</v>
      </c>
      <c r="AD42" s="6">
        <f>(AD39/AD38)-1</f>
        <v>0.076923076923076872</v>
      </c>
      <c r="AE42" s="6">
        <f>(AE39/AE38)-1</f>
        <v>0.28571428571428581</v>
      </c>
      <c r="AF42" s="4"/>
      <c r="AG42" s="6">
        <f>(AG39/AG38)-1</f>
        <v>0.15315315315315314</v>
      </c>
      <c r="AH42" s="6">
        <f>(AH39/AH38)-1</f>
        <v>0.75</v>
      </c>
      <c r="AI42" s="6">
        <f>(AI39/AI38)-1</f>
        <v>0</v>
      </c>
      <c r="AJ42" s="4"/>
      <c r="AK42" s="6">
        <f>(AK39/AK38)-1</f>
        <v>0.13953488372093026</v>
      </c>
      <c r="AL42" s="6">
        <f>(AL39/AL38)-1</f>
        <v>0</v>
      </c>
      <c r="AM42" s="6">
        <f>(AM39/AM38)-1</f>
        <v>0</v>
      </c>
      <c r="AN42" s="4"/>
      <c r="AO42" s="6">
        <f>(AO39/AO38)-1</f>
        <v>0.41176470588235303</v>
      </c>
      <c r="AP42" s="6">
        <f>(AP39/AP38)-1</f>
        <v>0.33333333333333326</v>
      </c>
      <c r="AQ42" s="6">
        <f>(AQ39/AQ38)-1</f>
        <v>0.25</v>
      </c>
      <c r="AR42" s="4"/>
      <c r="AS42" s="6">
        <f>(AS39/AS38)-1</f>
        <v>0.25342465753424648</v>
      </c>
      <c r="AT42" s="6"/>
      <c r="AU42" s="6">
        <f>(AU39/AU38)-1</f>
        <v>-0.33333333333333337</v>
      </c>
      <c r="AV42" s="4"/>
      <c r="AW42" s="6">
        <f>(AW39/AW38)-1</f>
        <v>0.12851818532322334</v>
      </c>
      <c r="AX42" s="6">
        <f>(AX39/AX38)-1</f>
        <v>0.084097859327217028</v>
      </c>
      <c r="AY42" s="6">
        <f>(AY39/AY38)-1</f>
        <v>0.20938628158844774</v>
      </c>
      <c r="BA42" s="5">
        <v>43884</v>
      </c>
      <c r="BB42">
        <v>15</v>
      </c>
      <c r="BC42">
        <f>(BB42/BB41)-1</f>
        <v>0</v>
      </c>
    </row>
    <row r="43" spans="1:65" ht="19.5">
      <c r="C43">
        <f>H42*D43</f>
        <v>1002.056785857395</v>
      </c>
      <c r="D43">
        <f>D42/1.1100000000000001</f>
        <v>0.084658909413167435</v>
      </c>
      <c r="E43" t="s">
        <v>11</v>
      </c>
      <c r="F43" t="inlineStr">
        <is>
          <t>day five</t>
        </is>
      </c>
      <c r="G43" s="2">
        <f>H43*50</f>
        <v>641922.88091836451</v>
      </c>
      <c r="H43">
        <f>H42+C43</f>
        <v>12838.457618367291</v>
      </c>
      <c r="BA43" s="5">
        <v>43885</v>
      </c>
      <c r="BB43">
        <v>51</v>
      </c>
      <c r="BC43">
        <f>(BB43/BB42)-1</f>
        <v>2.3999999999999999</v>
      </c>
    </row>
    <row r="44" spans="1:65" ht="19.5">
      <c r="C44">
        <f>H43*D44</f>
        <v>979.18001848481595</v>
      </c>
      <c r="D44">
        <f>D43/1.1100000000000001</f>
        <v>0.076269287759610296</v>
      </c>
      <c r="E44" t="s">
        <v>12</v>
      </c>
      <c r="F44" t="inlineStr">
        <is>
          <t>above: moving target</t>
        </is>
      </c>
      <c r="G44" s="2">
        <f>H44*50</f>
        <v>690881.8818426053</v>
      </c>
      <c r="H44">
        <f>H43+C44</f>
        <v>13817.637636852107</v>
      </c>
      <c r="BA44" s="5">
        <v>43886</v>
      </c>
      <c r="BB44">
        <v>51</v>
      </c>
      <c r="BC44">
        <f>(BB44/BB43)-1</f>
        <v>0</v>
      </c>
    </row>
    <row r="45" spans="1:65" ht="19.5">
      <c r="C45">
        <f>H44*D45</f>
        <v>949.42466764242772</v>
      </c>
      <c r="D45">
        <f>D44/1.1100000000000001</f>
        <v>0.068711070053702958</v>
      </c>
      <c r="E45" t="s">
        <v>13</v>
      </c>
      <c r="F45" s="5">
        <v>43935</v>
      </c>
      <c r="G45" s="2">
        <f>H45*50</f>
        <v>738353.11522472673</v>
      </c>
      <c r="H45">
        <f>H44+C45</f>
        <v>14767.062304494535</v>
      </c>
      <c r="K45" t="inlineStr">
        <is>
          <t>Yesterday:</t>
        </is>
      </c>
      <c r="M45" s="6">
        <v>0.11</v>
      </c>
      <c r="N45" s="6">
        <v>0.13</v>
      </c>
      <c r="O45" s="6">
        <v>0.13</v>
      </c>
      <c r="P45" s="6"/>
      <c r="Q45" s="6">
        <v>0.17999999999999999</v>
      </c>
      <c r="R45" s="6">
        <v>0.14000000000000001</v>
      </c>
      <c r="S45" s="6">
        <v>0.55000000000000004</v>
      </c>
      <c r="T45" s="6"/>
      <c r="U45" s="6">
        <v>0.13</v>
      </c>
      <c r="V45" s="6">
        <v>0.02</v>
      </c>
      <c r="W45" s="6">
        <v>0.46000000000000002</v>
      </c>
      <c r="X45" s="6"/>
      <c r="Y45" s="6">
        <v>0.11</v>
      </c>
      <c r="Z45" s="6">
        <v>0.070000000000000007</v>
      </c>
      <c r="AA45" s="6">
        <v>0.31</v>
      </c>
      <c r="AB45" s="6"/>
      <c r="AC45" s="6">
        <v>0.11</v>
      </c>
      <c r="AD45" s="6">
        <v>0.17999999999999999</v>
      </c>
      <c r="AE45" s="6">
        <v>0</v>
      </c>
      <c r="AF45" s="6"/>
      <c r="AG45" s="6">
        <v>0.080000000000000002</v>
      </c>
      <c r="AH45" s="6">
        <v>0.33000000000000002</v>
      </c>
      <c r="AI45" s="6">
        <v>0</v>
      </c>
      <c r="AJ45" s="6"/>
      <c r="AK45" s="6">
        <v>0.070000000000000007</v>
      </c>
      <c r="AL45" s="6">
        <v>0.5</v>
      </c>
      <c r="AM45" s="6">
        <v>0</v>
      </c>
      <c r="AN45" s="6"/>
      <c r="AO45" s="6">
        <v>0.31</v>
      </c>
      <c r="AP45" s="6">
        <v>0.20000000000000001</v>
      </c>
      <c r="AQ45" s="6">
        <v>0</v>
      </c>
      <c r="AR45" s="6"/>
      <c r="AS45" s="6">
        <v>0.11</v>
      </c>
      <c r="AT45" s="6"/>
      <c r="AU45" s="6" t="inlineStr">
        <is>
          <t>r: +3</t>
        </is>
      </c>
      <c r="AV45" s="6"/>
      <c r="AW45" s="6">
        <v>0.13</v>
      </c>
      <c r="AX45" s="6">
        <v>0.070000000000000007</v>
      </c>
      <c r="AY45" s="6">
        <v>0.34000000000000002</v>
      </c>
      <c r="BA45" s="5">
        <v>43887</v>
      </c>
      <c r="BB45">
        <v>57</v>
      </c>
      <c r="BC45">
        <f>(BB45/BB44)-1</f>
        <v>0.11764705882352944</v>
      </c>
    </row>
    <row r="46" spans="1:65" ht="19.5">
      <c r="C46">
        <f>H45*D46</f>
        <v>914.10869593830648</v>
      </c>
      <c r="D46">
        <f>D45/1.1100000000000001</f>
        <v>0.061901864913245903</v>
      </c>
      <c r="E46" t="s">
        <v>14</v>
      </c>
      <c r="F46" s="5">
        <v>43936</v>
      </c>
      <c r="G46" s="2">
        <f>H46*50</f>
        <v>784058.55002164212</v>
      </c>
      <c r="H46">
        <f>H45+C46</f>
        <v>15681.171000432842</v>
      </c>
      <c r="BA46" s="5">
        <v>43888</v>
      </c>
      <c r="BB46">
        <v>58</v>
      </c>
      <c r="BC46">
        <f>(BB46/BB45)-1</f>
        <v>0.017543859649122862</v>
      </c>
    </row>
    <row r="47" spans="1:65" ht="19.5">
      <c r="C47">
        <f>H46*D47</f>
        <v>874.49885491018267</v>
      </c>
      <c r="D47">
        <f>D46/1.1100000000000001</f>
        <v>0.055767445867789096</v>
      </c>
      <c r="E47" t="s">
        <v>15</v>
      </c>
      <c r="F47" s="5">
        <v>43937</v>
      </c>
      <c r="G47" s="2">
        <f>H47*50</f>
        <v>827783.49276715121</v>
      </c>
      <c r="H47">
        <f>H46+C47</f>
        <v>16555.669855343025</v>
      </c>
      <c r="P47" t="inlineStr">
        <is>
          <t>older Source: https://portal.ct.gov/Coronavirus/Pages/Governors-Press-Releases</t>
        </is>
      </c>
      <c r="AQ47" s="6"/>
      <c r="BA47" s="5">
        <v>43889</v>
      </c>
      <c r="BB47">
        <v>60</v>
      </c>
      <c r="BC47">
        <f>(BB47/BB46)-1</f>
        <v>0.034482758620689724</v>
      </c>
    </row>
    <row r="48" spans="1:65" ht="19.5">
      <c r="C48">
        <f>H47*D48</f>
        <v>831.77245266921602</v>
      </c>
      <c r="D48">
        <f>D47/1.1100000000000001</f>
        <v>0.050240942223233415</v>
      </c>
      <c r="E48" t="s">
        <v>16</v>
      </c>
      <c r="F48" s="5">
        <v>43938</v>
      </c>
      <c r="G48" s="2">
        <f>H48*50</f>
        <v>869372.11540061201</v>
      </c>
      <c r="H48">
        <f>H47+C48</f>
        <v>17387.44230801224</v>
      </c>
      <c r="J48" s="1"/>
      <c r="AL48" t="inlineStr">
        <is>
          <t>any zero-to-positive int gets the 'r: +n' entry.</t>
        </is>
      </c>
      <c r="BA48" s="5">
        <v>43890</v>
      </c>
      <c r="BB48">
        <v>68</v>
      </c>
      <c r="BC48">
        <f>(BB48/BB47)-1</f>
        <v>0.1333333333333333</v>
      </c>
    </row>
    <row r="49" spans="1:65" ht="19.5">
      <c r="C49">
        <f>H48*D49</f>
        <v>786.9923282942766</v>
      </c>
      <c r="D49">
        <f>D48/1.1100000000000001</f>
        <v>0.045262110111021089</v>
      </c>
      <c r="E49" t="s">
        <v>17</v>
      </c>
      <c r="F49" s="5">
        <v>43939</v>
      </c>
      <c r="G49" s="2">
        <f>H49*50</f>
        <v>908721.73181532579</v>
      </c>
      <c r="H49">
        <f>H48+C49</f>
        <v>18174.434636306516</v>
      </c>
      <c r="P49" t="inlineStr">
        <is>
          <t>recent Source: https://portal.ct.gov/-/media/Coronavirus/CTDPHCOVID19summary3312020.pdf?la=en</t>
        </is>
      </c>
      <c r="BA49" s="5">
        <v>43891</v>
      </c>
      <c r="BB49">
        <v>74</v>
      </c>
      <c r="BC49">
        <f>(BB49/BB48)-1</f>
        <v>0.088235294117646967</v>
      </c>
    </row>
    <row r="50" spans="1:65" ht="19.5">
      <c r="C50">
        <f>H49*D50</f>
        <v>741.09302857122611</v>
      </c>
      <c r="D50">
        <f>D49/1.1100000000000001</f>
        <v>0.040776675775694673</v>
      </c>
      <c r="E50" t="s">
        <v>11</v>
      </c>
      <c r="F50" s="5">
        <v>43940</v>
      </c>
      <c r="G50" s="2">
        <f>H50*50</f>
        <v>945776.38324388722</v>
      </c>
      <c r="H50">
        <f>H49+C50</f>
        <v>18915.527664877744</v>
      </c>
      <c r="BA50" s="5">
        <v>43892</v>
      </c>
      <c r="BB50">
        <v>98</v>
      </c>
      <c r="BC50">
        <f>(BB50/BB49)-1</f>
        <v>0.32432432432432434</v>
      </c>
    </row>
    <row r="51" spans="1:65" ht="19.5">
      <c r="C51">
        <f>H50*D51</f>
        <v>694.87598082603847</v>
      </c>
      <c r="D51">
        <f>D50/1.1100000000000001</f>
        <v>0.036735743942067273</v>
      </c>
      <c r="E51" t="s">
        <v>12</v>
      </c>
      <c r="F51" s="5">
        <v>43941</v>
      </c>
      <c r="G51" s="2">
        <f>H51*50</f>
        <v>980520.18228518916</v>
      </c>
      <c r="H51">
        <f>H50+C51</f>
        <v>19610.403645703784</v>
      </c>
      <c r="I51" t="inlineStr">
        <is>
          <t>&lt;&lt; transmission under 4 percent growth (per day)</t>
        </is>
      </c>
      <c r="P51" t="inlineStr">
        <is>
          <t>export: $ ssconvert -T Gnumeric_stf:stf_csv thisfile.gnumeric thisfile.csv</t>
        </is>
      </c>
      <c r="BA51" s="5">
        <v>43893</v>
      </c>
      <c r="BB51">
        <v>118</v>
      </c>
      <c r="BC51">
        <f>(BB51/BB50)-1</f>
        <v>0.20408163265306123</v>
      </c>
    </row>
    <row r="52" spans="1:65" ht="19.5">
      <c r="C52">
        <f>H51*D52</f>
        <v>720.40276692915677</v>
      </c>
      <c r="D52">
        <f>D51</f>
        <v>0.036735743942067273</v>
      </c>
      <c r="E52" t="s">
        <v>13</v>
      </c>
      <c r="F52" s="5">
        <v>43942</v>
      </c>
      <c r="G52" s="2">
        <f>H52*50</f>
        <v>1016540.320631647</v>
      </c>
      <c r="H52">
        <f>H51+C52</f>
        <v>20330.806412632941</v>
      </c>
      <c r="I52" t="inlineStr">
        <is>
          <t>(four percent arbitrarily chosen)</t>
        </is>
      </c>
      <c r="BA52" s="5">
        <v>43894</v>
      </c>
      <c r="BB52">
        <v>149</v>
      </c>
      <c r="BC52">
        <f>(BB52/BB51)-1</f>
        <v>0.26271186440677963</v>
      </c>
    </row>
    <row r="53" spans="1:65" ht="19.5">
      <c r="C53">
        <f>H52*D53</f>
        <v>746.86729851022301</v>
      </c>
      <c r="D53">
        <f>D52</f>
        <v>0.036735743942067273</v>
      </c>
      <c r="E53" t="s">
        <v>14</v>
      </c>
      <c r="F53" s="5">
        <v>43943</v>
      </c>
      <c r="G53" s="2">
        <f>H53*50</f>
        <v>1053883.6855571582</v>
      </c>
      <c r="H53">
        <f>H52+C53</f>
        <v>21077.673711143165</v>
      </c>
      <c r="P53" t="inlineStr">
        <is>
          <t>March 31: Hospitalization by county presented in a graphic (only?)</t>
        </is>
      </c>
      <c r="BA53" s="5">
        <v>43895</v>
      </c>
      <c r="BB53">
        <v>217</v>
      </c>
      <c r="BC53">
        <f>(BB53/BB52)-1</f>
        <v>0.4563758389261745</v>
      </c>
    </row>
    <row r="54" spans="1:65" ht="19.5">
      <c r="C54">
        <f>H53*D54</f>
        <v>774.30402434699818</v>
      </c>
      <c r="D54">
        <f>D53</f>
        <v>0.036735743942067273</v>
      </c>
      <c r="E54" t="s">
        <v>15</v>
      </c>
      <c r="F54" s="5">
        <v>43944</v>
      </c>
      <c r="G54" s="2">
        <f>H54*50</f>
        <v>1092598.8867745083</v>
      </c>
      <c r="H54">
        <f>H53+C54</f>
        <v>21851.977735490163</v>
      </c>
      <c r="I54" t="inlineStr">
        <is>
          <t>&lt;&lt; 1.09 million (50x measured)</t>
        </is>
      </c>
      <c r="BA54" s="5">
        <v>43896</v>
      </c>
      <c r="BB54">
        <v>262</v>
      </c>
      <c r="BC54">
        <f>(BB54/BB53)-1</f>
        <v>0.20737327188940102</v>
      </c>
    </row>
    <row r="55" spans="1:65" ht="19.5">
      <c r="C55">
        <f>H54*D55</f>
        <v>802.74865871872169</v>
      </c>
      <c r="D55">
        <f>D54</f>
        <v>0.036735743942067273</v>
      </c>
      <c r="E55" t="s">
        <v>16</v>
      </c>
      <c r="F55" s="5">
        <v>43945</v>
      </c>
      <c r="G55" s="2">
        <f>H55*50</f>
        <v>1132736.3197104444</v>
      </c>
      <c r="H55">
        <f>H54+C55</f>
        <v>22654.726394208887</v>
      </c>
      <c r="P55" t="inlineStr">
        <is>
          <t>31 March 23:09 UTC: many cosmetic changes, columns deleted (or added).</t>
        </is>
      </c>
      <c r="BA55" s="5">
        <v>43897</v>
      </c>
      <c r="BB55">
        <v>402</v>
      </c>
      <c r="BC55">
        <f>(BB55/BB54)-1</f>
        <v>0.53435114503816794</v>
      </c>
    </row>
    <row r="56" spans="1:65" ht="19.5">
      <c r="C56">
        <f>H55*D56</f>
        <v>832.2382278952507</v>
      </c>
      <c r="D56">
        <f>D55</f>
        <v>0.036735743942067273</v>
      </c>
      <c r="E56" t="s">
        <v>17</v>
      </c>
      <c r="F56" s="5">
        <v>43946</v>
      </c>
      <c r="G56" s="2">
        <f>H56*50</f>
        <v>1174348.2311052068</v>
      </c>
      <c r="H56">
        <f>H55+C56</f>
        <v>23486.964622104137</v>
      </c>
      <c r="P56" t="inlineStr">
        <is>
          <t>Hopefully, no major corruption of data/forumlas present after these major edits.</t>
        </is>
      </c>
      <c r="BA56" s="5">
        <v>43898</v>
      </c>
      <c r="BB56">
        <v>518</v>
      </c>
      <c r="BC56">
        <f>(BB56/BB55)-1</f>
        <v>0.28855721393034828</v>
      </c>
    </row>
    <row r="57" spans="1:65" ht="19.5">
      <c r="C57">
        <f>H56*D57</f>
        <v>862.81111833401042</v>
      </c>
      <c r="D57">
        <f>D56</f>
        <v>0.036735743942067273</v>
      </c>
      <c r="E57" t="s">
        <v>11</v>
      </c>
      <c r="F57" s="5">
        <v>43947</v>
      </c>
      <c r="G57" s="2">
        <f>H57*50</f>
        <v>1217488.7870219075</v>
      </c>
      <c r="H57">
        <f>H56+C57</f>
        <v>24349.775740438148</v>
      </c>
      <c r="BA57" s="5">
        <v>43899</v>
      </c>
      <c r="BB57">
        <v>583</v>
      </c>
      <c r="BC57">
        <f>(BB57/BB56)-1</f>
        <v>0.12548262548262556</v>
      </c>
    </row>
    <row r="58" spans="1:65" ht="19.5">
      <c r="C58">
        <f>H57*D58</f>
        <v>894.50712664749733</v>
      </c>
      <c r="D58">
        <f>D57</f>
        <v>0.036735743942067273</v>
      </c>
      <c r="E58" t="s">
        <v>12</v>
      </c>
      <c r="F58" s="5">
        <v>43948</v>
      </c>
      <c r="G58" s="2">
        <f>H58*50</f>
        <v>1262214.1433542822</v>
      </c>
      <c r="H58">
        <f>H57+C58</f>
        <v>25244.282867085647</v>
      </c>
      <c r="P58" t="inlineStr">
        <is>
          <t>1 April: Column D now formatted as percentile</t>
        </is>
      </c>
      <c r="BA58" s="5">
        <v>43900</v>
      </c>
      <c r="BB58">
        <v>959</v>
      </c>
      <c r="BC58">
        <f>(BB58/BB57)-1</f>
        <v>0.64493996569468259</v>
      </c>
    </row>
    <row r="59" spans="1:65" ht="19.5">
      <c r="C59">
        <f>H58*D59</f>
        <v>927.36751140637421</v>
      </c>
      <c r="D59">
        <f>D58</f>
        <v>0.036735743942067273</v>
      </c>
      <c r="E59" t="s">
        <v>13</v>
      </c>
      <c r="F59" s="5">
        <v>43949</v>
      </c>
      <c r="G59" s="2">
        <f>H59*50</f>
        <v>1308582.5189246009</v>
      </c>
      <c r="H59">
        <f>H58+C59</f>
        <v>26171.650378492021</v>
      </c>
      <c r="P59" t="inlineStr">
        <is>
          <t>7 April: 1.09 becomes 1.11 for arbitrary growth reduction supposition expressed in Column D (Multiplier).</t>
        </is>
      </c>
      <c r="BA59" s="5">
        <v>43901</v>
      </c>
      <c r="BB59">
        <v>1281</v>
      </c>
      <c r="BC59">
        <f>(BB59/BB58)-1</f>
        <v>0.33576642335766427</v>
      </c>
    </row>
    <row r="60" spans="1:65" ht="19.5">
      <c r="C60">
        <f>H59*D60</f>
        <v>961.43504684559093</v>
      </c>
      <c r="D60">
        <f>D59</f>
        <v>0.036735743942067273</v>
      </c>
      <c r="E60" t="s">
        <v>14</v>
      </c>
      <c r="F60" s="5">
        <v>43950</v>
      </c>
      <c r="G60" s="2">
        <f>H60*50</f>
        <v>1356654.2712668807</v>
      </c>
      <c r="H60">
        <f>H59+C60</f>
        <v>27133.085425337613</v>
      </c>
      <c r="P60" t="inlineStr">
        <is>
          <t>7 April: Column G goes from 100x to 50x (arbitrary value chosen)</t>
        </is>
      </c>
      <c r="BA60" s="5">
        <v>43902</v>
      </c>
      <c r="BB60">
        <v>1663</v>
      </c>
      <c r="BC60">
        <f>(BB60/BB59)-1</f>
        <v>0.29820452771272454</v>
      </c>
    </row>
    <row r="61" spans="1:65" ht="19.5">
      <c r="C61">
        <f>H60*D61</f>
        <v>996.75407854344007</v>
      </c>
      <c r="D61">
        <f>D60</f>
        <v>0.036735743942067273</v>
      </c>
      <c r="E61" t="s">
        <v>15</v>
      </c>
      <c r="F61" s="5">
        <v>43951</v>
      </c>
      <c r="G61" s="2">
        <f>H61*50</f>
        <v>1406491.9751940526</v>
      </c>
      <c r="H61">
        <f>H60+C61</f>
        <v>28129.839503881052</v>
      </c>
      <c r="Q61" t="inlineStr">
        <is>
          <t>(the 100x scaling factor was also arbitrary)</t>
        </is>
      </c>
      <c r="BA61" s="5">
        <v>43903</v>
      </c>
      <c r="BB61">
        <v>2179</v>
      </c>
      <c r="BC61">
        <f>(BB61/BB60)-1</f>
        <v>0.31028262176788934</v>
      </c>
    </row>
    <row r="62" spans="1:65" ht="19.5">
      <c r="C62">
        <f>H61*D62</f>
        <v>1033.3705811460229</v>
      </c>
      <c r="D62">
        <f>D61</f>
        <v>0.036735743942067273</v>
      </c>
      <c r="E62" t="s">
        <v>16</v>
      </c>
      <c r="F62" s="5">
        <v>43952</v>
      </c>
      <c r="G62" s="2">
        <f>H62*50</f>
        <v>1458160.5042513539</v>
      </c>
      <c r="H62">
        <f>H61+C62</f>
        <v>29163.210085027076</v>
      </c>
      <c r="J62" s="1"/>
      <c r="P62" t="inlineStr">
        <is>
          <t>7 April: Litchfield County is doubling its Confirmed cases every 6.5 days or so.</t>
        </is>
      </c>
      <c r="BA62" s="5">
        <v>43904</v>
      </c>
      <c r="BB62">
        <v>2727</v>
      </c>
      <c r="BC62">
        <f>(BB62/BB61)-1</f>
        <v>0.25149150986691149</v>
      </c>
    </row>
    <row r="63" spans="1:65" ht="19.5">
      <c r="C63">
        <f>H62*D63</f>
        <v>1071.3322182122686</v>
      </c>
      <c r="D63">
        <f>D62</f>
        <v>0.036735743942067273</v>
      </c>
      <c r="E63" t="s">
        <v>17</v>
      </c>
      <c r="F63" s="5">
        <v>43953</v>
      </c>
      <c r="G63" s="2">
        <f>H63*50</f>
        <v>1511727.1151619672</v>
      </c>
      <c r="H63">
        <f>H62+C63</f>
        <v>30234.542303239345</v>
      </c>
      <c r="Q63" t="inlineStr">
        <is>
          <t>(own analysis; ignorant and simplistic, there, on Litchfield Cty doublings. ;)</t>
        </is>
      </c>
      <c r="BA63" s="5">
        <v>43905</v>
      </c>
      <c r="BB63">
        <v>3499</v>
      </c>
      <c r="BC63">
        <f>(BB63/BB62)-1</f>
        <v>0.28309497616428314</v>
      </c>
    </row>
    <row r="64" spans="1:65" ht="19.5">
      <c r="C64">
        <f>H63*D64</f>
        <v>1110.6884042574015</v>
      </c>
      <c r="D64">
        <f>D63</f>
        <v>0.036735743942067273</v>
      </c>
      <c r="E64" t="s">
        <v>11</v>
      </c>
      <c r="F64" s="5">
        <v>43954</v>
      </c>
      <c r="G64" s="2">
        <f>H64*50</f>
        <v>1567261.5353748372</v>
      </c>
      <c r="H64">
        <f>H63+C64</f>
        <v>31345.230707496747</v>
      </c>
      <c r="P64" t="inlineStr">
        <is>
          <t>9 April: USA Confirmed (far columns, right) now expressed in 3 digits (up from 2 digits, formerly).</t>
        </is>
      </c>
      <c r="BA64" s="5">
        <v>43906</v>
      </c>
      <c r="BB64">
        <v>4632</v>
      </c>
      <c r="BC64">
        <f>(BB64/BB63)-1</f>
        <v>0.32380680194341238</v>
      </c>
    </row>
    <row r="65" spans="1:65" ht="19.5">
      <c r="C65">
        <f>H64*D65</f>
        <v>1151.4903690756246</v>
      </c>
      <c r="D65">
        <f>D64</f>
        <v>0.036735743942067273</v>
      </c>
      <c r="E65" t="s">
        <v>12</v>
      </c>
      <c r="F65" s="5">
        <v>43955</v>
      </c>
      <c r="G65" s="2">
        <f>H65*50</f>
        <v>1624836.0538286185</v>
      </c>
      <c r="H65">
        <f>H64+C65</f>
        <v>32496.721076572372</v>
      </c>
      <c r="Q65" t="inlineStr">
        <is>
          <t>This reflects that they've reached consistently below 10 percent, and so</t>
        </is>
      </c>
      <c r="BA65" s="5">
        <v>43907</v>
      </c>
      <c r="BB65">
        <v>6421</v>
      </c>
      <c r="BC65">
        <f>(BB65/BB64)-1</f>
        <v>0.38622625215889461</v>
      </c>
    </row>
    <row r="66" spans="1:65" ht="19.5">
      <c r="C66">
        <f>H65*D66</f>
        <v>1193.7912244257434</v>
      </c>
      <c r="D66">
        <f>D65</f>
        <v>0.036735743942067273</v>
      </c>
      <c r="E66" t="s">
        <v>13</v>
      </c>
      <c r="F66" s="5">
        <v>43956</v>
      </c>
      <c r="G66" s="2">
        <f>H66*50</f>
        <v>1684525.6150499058</v>
      </c>
      <c r="H66">
        <f>H65+C66</f>
        <v>33690.512300998118</v>
      </c>
      <c r="Q66" t="inlineStr">
        <is>
          <t>require another digit of precision (the decimal point has moved</t>
        </is>
      </c>
      <c r="BA66" s="5">
        <v>43908</v>
      </c>
      <c r="BB66">
        <v>7783</v>
      </c>
      <c r="BC66">
        <f>(BB66/BB65)-1</f>
        <v>0.21211649275813738</v>
      </c>
    </row>
    <row r="67" spans="1:65" ht="19.5">
      <c r="C67">
        <f>H66*D67</f>
        <v>1237.6460331665346</v>
      </c>
      <c r="D67">
        <f>D66</f>
        <v>0.036735743942067273</v>
      </c>
      <c r="E67" t="s">
        <v>14</v>
      </c>
      <c r="F67" s="5">
        <v>43957</v>
      </c>
      <c r="G67" s="2">
        <f>H67*50</f>
        <v>1746407.9167082328</v>
      </c>
      <c r="H67">
        <f>H66+C67</f>
        <v>34928.158334164655</v>
      </c>
      <c r="J67" s="1"/>
      <c r="Q67" t="inlineStr">
        <is>
          <t>over one place)</t>
        </is>
      </c>
      <c r="BA67" s="5">
        <v>43909</v>
      </c>
      <c r="BB67">
        <v>13677</v>
      </c>
      <c r="BC67">
        <f>(BB67/BB66)-1</f>
        <v>0.75729153282795836</v>
      </c>
    </row>
    <row r="68" spans="1:65" ht="19.5">
      <c r="C68">
        <f>H67*D68</f>
        <v>1283.1118809318557</v>
      </c>
      <c r="D68">
        <f>D67</f>
        <v>0.036735743942067273</v>
      </c>
      <c r="E68" t="s">
        <v>15</v>
      </c>
      <c r="F68" s="5">
        <v>43958</v>
      </c>
      <c r="G68" s="2">
        <f>H68*50</f>
        <v>1810563.5107548255</v>
      </c>
      <c r="H68">
        <f>H67+C68</f>
        <v>36211.270215096512</v>
      </c>
      <c r="P68" t="inlineStr">
        <is>
          <t>9 April: Have not kept up with the state epidemiologist's estimate</t>
        </is>
      </c>
      <c r="BA68" s="5">
        <v>43910</v>
      </c>
      <c r="BB68">
        <v>19100</v>
      </c>
      <c r="BC68">
        <f>(BB68/BB67)-1</f>
        <v>0.39650508152372588</v>
      </c>
    </row>
    <row r="69" spans="1:65" ht="19.5">
      <c r="C69">
        <f>H68*D69</f>
        <v>1330.2479504387927</v>
      </c>
      <c r="D69">
        <f>D68</f>
        <v>0.036735743942067273</v>
      </c>
      <c r="E69" t="s">
        <v>16</v>
      </c>
      <c r="F69" s="5">
        <v>43959</v>
      </c>
      <c r="G69" s="2">
        <f>H69*50</f>
        <v>1877075.9082767654</v>
      </c>
      <c r="H69">
        <f>H68+C69</f>
        <v>37541.518165535308</v>
      </c>
      <c r="Q69" t="inlineStr">
        <is>
          <t>of the multiplier factor (Confirmed and tested vs estimated true count of cases</t>
        </is>
      </c>
      <c r="BA69" s="5">
        <v>43911</v>
      </c>
      <c r="BB69">
        <v>25489</v>
      </c>
      <c r="BC69">
        <f>(BB69/BB68)-1</f>
        <v>0.33450261780104706</v>
      </c>
    </row>
    <row r="70" spans="1:65" ht="19.5">
      <c r="C70">
        <f>H69*D70</f>
        <v>1379.1155985255721</v>
      </c>
      <c r="D70">
        <f>D69</f>
        <v>0.036735743942067273</v>
      </c>
      <c r="E70" t="s">
        <v>17</v>
      </c>
      <c r="F70" s="5">
        <v>43960</v>
      </c>
      <c r="G70" s="2">
        <f>H70*50</f>
        <v>1946031.6882030442</v>
      </c>
      <c r="H70">
        <f>H69+C70</f>
        <v>38920.633764060884</v>
      </c>
      <c r="Q70" t="inlineStr">
        <is>
          <t>in the state of Connecticut) and (therefore) still using a '50x' multiplier,</t>
        </is>
      </c>
      <c r="BA70" s="5">
        <v>43912</v>
      </c>
      <c r="BB70">
        <v>33276</v>
      </c>
      <c r="BC70">
        <f>(BB70/BB69)-1</f>
        <v>0.30550433520342102</v>
      </c>
    </row>
    <row r="71" spans="1:65" ht="19.5">
      <c r="C71">
        <f>H70*D71</f>
        <v>1429.7784360195185</v>
      </c>
      <c r="D71">
        <f>D70</f>
        <v>0.036735743942067273</v>
      </c>
      <c r="E71" t="s">
        <v>11</v>
      </c>
      <c r="F71" s="5">
        <v>43961</v>
      </c>
      <c r="G71" s="2">
        <f>H71*50</f>
        <v>2017520.6100040204</v>
      </c>
      <c r="H71">
        <f>H70+C71</f>
        <v>40350.412200080405</v>
      </c>
      <c r="Q71" t="inlineStr">
        <is>
          <t>with no particular justification for this figure.</t>
        </is>
      </c>
      <c r="BA71" s="5">
        <v>43913</v>
      </c>
      <c r="BB71">
        <v>43847</v>
      </c>
      <c r="BC71">
        <f>(BB71/BB70)-1</f>
        <v>0.31767640341387193</v>
      </c>
    </row>
    <row r="72" spans="1:65" ht="19.5">
      <c r="C72">
        <f>H71*D72</f>
        <v>1482.3024105390211</v>
      </c>
      <c r="D72">
        <f>D71</f>
        <v>0.036735743942067273</v>
      </c>
      <c r="E72" t="s">
        <v>12</v>
      </c>
      <c r="F72" s="5">
        <v>43962</v>
      </c>
      <c r="G72" s="2">
        <f>H72*50</f>
        <v>2091635.7305309714</v>
      </c>
      <c r="H72">
        <f>H71+C72</f>
        <v>41832.714610619427</v>
      </c>
      <c r="BA72" s="5">
        <v>43914</v>
      </c>
      <c r="BB72">
        <v>53740</v>
      </c>
      <c r="BC72">
        <f>(BB72/BB71)-1</f>
        <v>0.22562547038565928</v>
      </c>
    </row>
    <row r="73" spans="1:65" ht="19.5">
      <c r="C73">
        <f>H72*D73</f>
        <v>1536.7558923372917</v>
      </c>
      <c r="D73">
        <f>D72</f>
        <v>0.036735743942067273</v>
      </c>
      <c r="E73" t="s">
        <v>13</v>
      </c>
      <c r="F73" s="5">
        <v>43963</v>
      </c>
      <c r="G73" s="2">
        <f>H73*50</f>
        <v>2168473.5251478362</v>
      </c>
      <c r="H73">
        <f>H72+C73</f>
        <v>43369.470502956719</v>
      </c>
      <c r="BA73" s="5">
        <v>43915</v>
      </c>
      <c r="BB73">
        <v>65778</v>
      </c>
      <c r="BC73">
        <f>(BB73/BB72)-1</f>
        <v>0.22400446594715295</v>
      </c>
    </row>
    <row r="74" spans="1:65" ht="19.5">
      <c r="C74">
        <f>H73*D74</f>
        <v>1593.2097632996577</v>
      </c>
      <c r="D74">
        <f>D73</f>
        <v>0.036735743942067273</v>
      </c>
      <c r="E74" t="s">
        <v>14</v>
      </c>
      <c r="F74" s="5">
        <v>43964</v>
      </c>
      <c r="G74" s="2"/>
      <c r="H74">
        <f>H73+C74</f>
        <v>44962.680266256379</v>
      </c>
      <c r="BA74" s="5">
        <v>43916</v>
      </c>
      <c r="BB74">
        <v>83836</v>
      </c>
      <c r="BC74">
        <f>(BB74/BB73)-1</f>
        <v>0.27452947794095284</v>
      </c>
    </row>
    <row r="75" spans="1:65" ht="19.5">
      <c r="C75">
        <f>H74*D75</f>
        <v>1651.7375092102354</v>
      </c>
      <c r="D75">
        <f>D74</f>
        <v>0.036735743942067273</v>
      </c>
      <c r="E75" t="s">
        <v>15</v>
      </c>
      <c r="F75" s="5">
        <v>43965</v>
      </c>
      <c r="G75" s="2"/>
      <c r="H75">
        <f>H74+C75</f>
        <v>46614.417775466616</v>
      </c>
      <c r="BA75" s="5">
        <v>43917</v>
      </c>
      <c r="BB75">
        <v>101657</v>
      </c>
      <c r="BC75">
        <f>(BB75/BB74)-1</f>
        <v>0.21256977909251407</v>
      </c>
    </row>
    <row r="76" spans="1:65" ht="19.5">
      <c r="C76">
        <f>H75*D76</f>
        <v>1712.4153154080907</v>
      </c>
      <c r="D76">
        <f>D75</f>
        <v>0.036735743942067273</v>
      </c>
      <c r="E76" t="s">
        <v>16</v>
      </c>
      <c r="F76" s="5">
        <v>43966</v>
      </c>
      <c r="G76" s="2"/>
      <c r="H76">
        <f>H75+C76</f>
        <v>48326.833090874708</v>
      </c>
      <c r="BA76" s="5">
        <v>43918</v>
      </c>
      <c r="BB76">
        <v>121478</v>
      </c>
      <c r="BC76">
        <f>(BB76/BB75)-1</f>
        <v>0.19497919474310677</v>
      </c>
    </row>
    <row r="77" spans="1:65" ht="19.5">
      <c r="C77">
        <f>H76*D77</f>
        <v>1775.3221659573967</v>
      </c>
      <c r="D77">
        <f>D76</f>
        <v>0.036735743942067273</v>
      </c>
      <c r="E77" t="s">
        <v>17</v>
      </c>
      <c r="F77" s="5">
        <v>43966</v>
      </c>
      <c r="G77" s="2"/>
      <c r="H77">
        <f>H76+C77</f>
        <v>50102.155256832106</v>
      </c>
      <c r="BA77" s="5">
        <v>43919</v>
      </c>
      <c r="BB77">
        <v>140886</v>
      </c>
      <c r="BC77">
        <f>(BB77/BB76)-1</f>
        <v>0.15976555425673777</v>
      </c>
    </row>
    <row r="78" spans="1:65" ht="19.5">
      <c r="C78">
        <f>H77*D78</f>
        <v>1840.539946460684</v>
      </c>
      <c r="D78">
        <f>D77</f>
        <v>0.036735743942067273</v>
      </c>
      <c r="E78" t="s">
        <v>11</v>
      </c>
      <c r="F78" s="5">
        <v>43968</v>
      </c>
      <c r="G78" s="2"/>
      <c r="H78">
        <f>H77+C78</f>
        <v>51942.695203292787</v>
      </c>
      <c r="BA78" s="5">
        <v>43920</v>
      </c>
      <c r="BB78">
        <v>161807</v>
      </c>
      <c r="BC78">
        <f>(BB78/BB77)-1</f>
        <v>0.14849594707777913</v>
      </c>
    </row>
    <row r="79" spans="1:65" ht="19.5">
      <c r="C79">
        <f>H78*D79</f>
        <v>1908.1535506490097</v>
      </c>
      <c r="D79">
        <f>D78</f>
        <v>0.036735743942067273</v>
      </c>
      <c r="E79" t="s">
        <v>12</v>
      </c>
      <c r="F79" s="5">
        <v>43969</v>
      </c>
      <c r="G79" s="2"/>
      <c r="H79">
        <f>H78+C79</f>
        <v>53850.848753941798</v>
      </c>
      <c r="BA79" s="5">
        <v>43921</v>
      </c>
      <c r="BB79">
        <v>188172</v>
      </c>
      <c r="BC79">
        <f>(BB79/BB78)-1</f>
        <v>0.16294103468947574</v>
      </c>
    </row>
    <row r="80" spans="1:65" ht="19.5">
      <c r="C80">
        <f>H79*D80</f>
        <v>1978.2509908877983</v>
      </c>
      <c r="D80">
        <f>D79</f>
        <v>0.036735743942067273</v>
      </c>
      <c r="E80" t="s">
        <v>13</v>
      </c>
      <c r="F80" s="5">
        <v>43970</v>
      </c>
      <c r="G80" s="2"/>
      <c r="H80">
        <f>H79+C80</f>
        <v>55829.099744829597</v>
      </c>
      <c r="BA80" s="5">
        <v>43922</v>
      </c>
      <c r="BB80">
        <v>213372</v>
      </c>
      <c r="BC80">
        <f>(BB80/BB79)-1</f>
        <v>0.13392003061029278</v>
      </c>
    </row>
    <row r="81" spans="1:65" ht="19.5">
      <c r="C81">
        <f>H80*D81</f>
        <v>2050.9235127421935</v>
      </c>
      <c r="D81">
        <f>D80</f>
        <v>0.036735743942067273</v>
      </c>
      <c r="E81" t="s">
        <v>14</v>
      </c>
      <c r="F81" s="5">
        <v>43971</v>
      </c>
      <c r="G81" s="2"/>
      <c r="H81">
        <f>H80+C81</f>
        <v>57880.023257571789</v>
      </c>
      <c r="BA81" s="5">
        <v>43923</v>
      </c>
      <c r="BB81">
        <v>243453</v>
      </c>
      <c r="BC81">
        <f>(BB81/BB80)-1</f>
        <v>0.1409791350317755</v>
      </c>
    </row>
    <row r="82" spans="1:65" ht="19.5">
      <c r="C82">
        <f>H81*D82</f>
        <v>2126.2657137510555</v>
      </c>
      <c r="D82">
        <f>D81</f>
        <v>0.036735743942067273</v>
      </c>
      <c r="E82" t="s">
        <v>15</v>
      </c>
      <c r="F82" s="5">
        <v>43972</v>
      </c>
      <c r="G82" s="2"/>
      <c r="H82">
        <f>H81+C82</f>
        <v>60006.288971322843</v>
      </c>
      <c r="AW82" s="2"/>
      <c r="BA82" s="5">
        <v>43924</v>
      </c>
      <c r="BB82">
        <v>275586</v>
      </c>
      <c r="BC82">
        <f>(BB82/BB81)-1</f>
        <v>0.13198851523702726</v>
      </c>
    </row>
    <row r="83" spans="1:65" ht="19.5">
      <c r="C83">
        <f>H82*D83</f>
        <v>2204.3756665642113</v>
      </c>
      <c r="D83">
        <f>D82</f>
        <v>0.036735743942067273</v>
      </c>
      <c r="E83" t="s">
        <v>16</v>
      </c>
      <c r="F83" s="5">
        <v>43973</v>
      </c>
      <c r="G83" s="2"/>
      <c r="H83">
        <f>H82+C83</f>
        <v>62210.664637887057</v>
      </c>
      <c r="AW83" s="2"/>
      <c r="BA83" s="5">
        <v>43925</v>
      </c>
      <c r="BB83">
        <v>308850</v>
      </c>
      <c r="BC83">
        <f>(BB83/BB82)-1</f>
        <v>0.12070279332041545</v>
      </c>
    </row>
    <row r="84" spans="1:65" ht="19.5">
      <c r="C84">
        <f>H83*D84</f>
        <v>2285.355046603238</v>
      </c>
      <c r="D84">
        <f>D83</f>
        <v>0.036735743942067273</v>
      </c>
      <c r="E84" t="s">
        <v>17</v>
      </c>
      <c r="F84" s="5">
        <v>43974</v>
      </c>
      <c r="G84" s="2"/>
      <c r="H84">
        <f>H83+C84</f>
        <v>64496.019684490297</v>
      </c>
      <c r="AW84" s="2"/>
      <c r="BA84" s="5">
        <v>43926</v>
      </c>
      <c r="BB84">
        <v>337072</v>
      </c>
      <c r="BC84" s="7">
        <f>(BB84/BB83)-1</f>
        <v>0.091377691435972075</v>
      </c>
      <c r="BE84" t="inlineStr">
        <is>
          <t>Under ten percent - add one more digit of precision for context</t>
        </is>
      </c>
    </row>
    <row r="85" spans="1:65" ht="19.5">
      <c r="C85">
        <f>H84*D85</f>
        <v>2369.3092644119661</v>
      </c>
      <c r="D85">
        <f>D84</f>
        <v>0.036735743942067273</v>
      </c>
      <c r="E85" t="s">
        <v>11</v>
      </c>
      <c r="F85" s="5">
        <v>43975</v>
      </c>
      <c r="G85" s="2"/>
      <c r="H85">
        <f>H84+C85</f>
        <v>66865.328948902257</v>
      </c>
      <c r="AW85" s="2"/>
      <c r="BA85" s="5">
        <v>43927</v>
      </c>
      <c r="BB85">
        <v>366667</v>
      </c>
      <c r="BC85" s="7">
        <f>(BB85/BB84)-1</f>
        <v>0.087800232591256577</v>
      </c>
    </row>
    <row r="86" spans="1:65" ht="19.5">
      <c r="C86">
        <f>H85*D86</f>
        <v>2456.3476028689715</v>
      </c>
      <c r="D86">
        <f>D85</f>
        <v>0.036735743942067273</v>
      </c>
      <c r="E86" t="s">
        <v>12</v>
      </c>
      <c r="F86" s="5">
        <v>43976</v>
      </c>
      <c r="G86" s="2"/>
      <c r="H86">
        <f>H85+C86</f>
        <v>69321.676551771234</v>
      </c>
      <c r="AW86" s="2"/>
      <c r="AZ86" t="inlineStr">
        <is>
          <t>May be current:</t>
        </is>
      </c>
      <c r="BA86" s="5">
        <v>43928</v>
      </c>
      <c r="BB86">
        <v>396223</v>
      </c>
      <c r="BC86" s="7">
        <f>(BB86/BB85)-1</f>
        <v>0.080607199448000433</v>
      </c>
      <c r="BE86" t="inlineStr">
        <is>
          <t>preliminary or provisional</t>
        </is>
      </c>
    </row>
    <row r="87" spans="1:65" ht="19.5">
      <c r="C87">
        <f>H86*D87</f>
        <v>2546.5833594406772</v>
      </c>
      <c r="D87">
        <f>D86</f>
        <v>0.036735743942067273</v>
      </c>
      <c r="E87" t="s">
        <v>13</v>
      </c>
      <c r="F87" s="5">
        <v>43977</v>
      </c>
      <c r="G87" s="2"/>
      <c r="H87">
        <f>H86+C87</f>
        <v>71868.259911211906</v>
      </c>
      <c r="AZ87" t="inlineStr">
        <is>
          <t>TENTATIVE</t>
        </is>
      </c>
      <c r="BA87" s="5">
        <v>43929</v>
      </c>
      <c r="BB87">
        <v>429052</v>
      </c>
      <c r="BC87" s="1"/>
      <c r="BE87" t="inlineStr">
        <is>
          <t>(early return on this LINE 85)</t>
        </is>
      </c>
    </row>
    <row r="88" spans="1:65" ht="19.5">
      <c r="C88">
        <f>H87*D88</f>
        <v>2640.1339936602189</v>
      </c>
      <c r="D88">
        <f>D87</f>
        <v>0.036735743942067273</v>
      </c>
      <c r="E88" t="s">
        <v>14</v>
      </c>
      <c r="F88" s="5">
        <v>43978</v>
      </c>
      <c r="G88" s="2"/>
      <c r="H88">
        <f>H87+C88</f>
        <v>74508.393904872122</v>
      </c>
      <c r="AW88" s="2"/>
      <c r="BB88" s="1"/>
    </row>
    <row r="89" spans="1:65" ht="19.5">
      <c r="C89">
        <f>H88*D89</f>
        <v>2737.1212800240683</v>
      </c>
      <c r="D89">
        <f>D88</f>
        <v>0.036735743942067273</v>
      </c>
      <c r="E89" t="s">
        <v>15</v>
      </c>
      <c r="F89" s="5">
        <v>43979</v>
      </c>
      <c r="G89" s="2"/>
      <c r="H89">
        <f>H88+C89</f>
        <v>77245.515184896183</v>
      </c>
      <c r="AW89" s="2"/>
      <c r="BB89" s="1"/>
      <c r="BE89" t="inlineStr">
        <is>
          <t>The 396,223 number is</t>
        </is>
      </c>
    </row>
    <row r="90" spans="1:65" ht="19.5">
      <c r="C90">
        <f>H89*D90</f>
        <v>2837.6714665054155</v>
      </c>
      <c r="D90">
        <f>D89</f>
        <v>0.036735743942067273</v>
      </c>
      <c r="E90" t="s">
        <v>16</v>
      </c>
      <c r="F90" s="5">
        <v>43980</v>
      </c>
      <c r="G90" s="2"/>
      <c r="H90">
        <f>H89+C90</f>
        <v>80083.1866514016</v>
      </c>
      <c r="BE90" t="inlineStr">
        <is>
          <t>unique in this series, in that</t>
        </is>
      </c>
    </row>
    <row r="91" spans="1:65" ht="19.5">
      <c r="C91">
        <f>H90*D91</f>
        <v>2941.9154388906691</v>
      </c>
      <c r="D91">
        <f>D90</f>
        <v>0.036735743942067273</v>
      </c>
      <c r="E91" t="s">
        <v>17</v>
      </c>
      <c r="F91" s="5">
        <v>43981</v>
      </c>
      <c r="G91" s="2"/>
      <c r="H91">
        <f>H90+C91</f>
        <v>83025.102090292276</v>
      </c>
      <c r="BB91" s="1"/>
      <c r="BE91" t="inlineStr">
        <is>
          <t>it is the very last number</t>
        </is>
      </c>
    </row>
    <row r="92" spans="1:65" ht="19.5">
      <c r="C92">
        <f>H91*D92</f>
        <v>3049.9888911529715</v>
      </c>
      <c r="D92">
        <f>D91</f>
        <v>0.036735743942067273</v>
      </c>
      <c r="E92" t="s">
        <v>11</v>
      </c>
      <c r="F92" s="5">
        <v>43982</v>
      </c>
      <c r="G92" s="2"/>
      <c r="H92">
        <f>H91+C92</f>
        <v>86075.090981445246</v>
      </c>
    </row>
    <row r="93" spans="1:65" ht="19.5">
      <c r="C93">
        <f>H92*D93</f>
        <v>3162.0325020845166</v>
      </c>
      <c r="D93">
        <f>D92</f>
        <v>0.036735743942067273</v>
      </c>
      <c r="E93" t="s">
        <v>12</v>
      </c>
      <c r="F93" s="5">
        <v>43983</v>
      </c>
      <c r="G93" s="2"/>
      <c r="H93">
        <f>H92+C93</f>
        <v>89237.123483529766</v>
      </c>
      <c r="BB93" s="1"/>
    </row>
    <row r="94" spans="1:65" ht="19.5">
      <c r="C94">
        <f>H93*D94</f>
        <v>3278.1921184175876</v>
      </c>
      <c r="D94">
        <f>D93</f>
        <v>0.036735743942067273</v>
      </c>
      <c r="E94" t="s">
        <v>13</v>
      </c>
      <c r="F94" s="5">
        <v>43984</v>
      </c>
      <c r="G94" s="2"/>
      <c r="H94">
        <f>H93+C94</f>
        <v>92515.315601947354</v>
      </c>
      <c r="BE94" t="inlineStr">
        <is>
          <t>It is (therefore) not locked in</t>
        </is>
      </c>
    </row>
    <row r="95" spans="1:65" ht="19.5">
      <c r="C95">
        <f>H94*D95</f>
        <v>3398.6189446726794</v>
      </c>
      <c r="D95">
        <f>D94</f>
        <v>0.036735743942067273</v>
      </c>
      <c r="E95" t="s">
        <v>14</v>
      </c>
      <c r="F95" s="5">
        <v>43985</v>
      </c>
      <c r="G95" s="2"/>
      <c r="H95">
        <f>H94+C95</f>
        <v>95913.934546620032</v>
      </c>
      <c r="BE95" t="inlineStr">
        <is>
          <t>value, by the next number in</t>
        </is>
      </c>
    </row>
    <row r="96" spans="1:65" ht="19.5">
      <c r="C96">
        <f>H95*D96</f>
        <v>3523.4697399808338</v>
      </c>
      <c r="D96">
        <f>D95</f>
        <v>0.036735743942067273</v>
      </c>
      <c r="E96" t="s">
        <v>15</v>
      </c>
      <c r="F96" s="5">
        <v>43986</v>
      </c>
      <c r="G96" s="2"/>
      <c r="H96">
        <f>H95+C96</f>
        <v>99437.404286600868</v>
      </c>
      <c r="BE96" t="inlineStr">
        <is>
          <t>sequence (as it would be</t>
        </is>
      </c>
    </row>
    <row r="97" spans="1:65" ht="19.5">
      <c r="C97">
        <f>H96*D97</f>
        <v>3652.9070221363922</v>
      </c>
      <c r="D97">
        <f>D96</f>
        <v>0.036735743942067273</v>
      </c>
      <c r="E97" t="s">
        <v>16</v>
      </c>
      <c r="F97" s="5">
        <v>43987</v>
      </c>
      <c r="G97" s="2"/>
      <c r="H97">
        <f>H96+C97</f>
        <v>103090.31130873726</v>
      </c>
      <c r="BE97" t="inlineStr">
        <is>
          <t>expected to be, once the next</t>
        </is>
      </c>
    </row>
    <row r="98" spans="1:65" ht="19.5">
      <c r="C98">
        <f>H97*D98</f>
        <v>3787.0992791457743</v>
      </c>
      <c r="D98">
        <f>D97</f>
        <v>0.036735743942067273</v>
      </c>
      <c r="E98" t="s">
        <v>17</v>
      </c>
      <c r="F98" s="5">
        <v>43988</v>
      </c>
      <c r="G98" s="2"/>
      <c r="H98">
        <f>H97+C98</f>
        <v>106877.41058788303</v>
      </c>
      <c r="BE98" t="inlineStr">
        <is>
          <t>number in sequence has been</t>
        </is>
      </c>
    </row>
    <row r="99" spans="1:65" ht="19.5">
      <c r="C99">
        <f>H98*D99</f>
        <v>3926.2211885476604</v>
      </c>
      <c r="D99">
        <f>D98</f>
        <v>0.036735743942067273</v>
      </c>
      <c r="E99" t="s">
        <v>11</v>
      </c>
      <c r="F99" s="5">
        <v>43989</v>
      </c>
      <c r="G99" s="2"/>
      <c r="H99">
        <f>H98+C99</f>
        <v>110803.63177643069</v>
      </c>
      <c r="BE99" t="inlineStr">
        <is>
          <t>given).</t>
        </is>
      </c>
    </row>
    <row r="100" spans="1:65" ht="19.5">
      <c r="C100">
        <f>H99*D100</f>
        <v>4070.4538447900663</v>
      </c>
      <c r="D100">
        <f>D99</f>
        <v>0.036735743942067273</v>
      </c>
      <c r="E100" t="s">
        <v>12</v>
      </c>
      <c r="F100" s="5">
        <v>43990</v>
      </c>
      <c r="G100" s="2"/>
      <c r="H100">
        <f>H99+C100</f>
        <v>114874.08562122076</v>
      </c>
    </row>
    <row r="101" spans="1:65" ht="19.5">
      <c r="C101">
        <f>H100*D101</f>
        <v>4219.9849949602776</v>
      </c>
      <c r="D101">
        <f>D100</f>
        <v>0.036735743942067273</v>
      </c>
      <c r="E101" t="s">
        <v>13</v>
      </c>
      <c r="F101" s="5">
        <v>43991</v>
      </c>
      <c r="G101" s="2"/>
      <c r="H101">
        <f>H100+C101</f>
        <v>119094.07061618104</v>
      </c>
      <c r="BE101" t="inlineStr">
        <is>
          <t>In other words, it is not subject</t>
        </is>
      </c>
    </row>
    <row r="102" spans="1:65" ht="19.5">
      <c r="C102">
        <f>H101*D102</f>
        <v>4375.0092831745042</v>
      </c>
      <c r="D102">
        <f>D101</f>
        <v>0.036735743942067273</v>
      </c>
      <c r="E102" t="s">
        <v>14</v>
      </c>
      <c r="F102" s="5">
        <v>43992</v>
      </c>
      <c r="G102" s="2"/>
      <c r="H102">
        <f>H101+C102</f>
        <v>123469.07989935554</v>
      </c>
      <c r="BE102" t="inlineStr">
        <is>
          <t>to further revision, once the next</t>
        </is>
      </c>
    </row>
    <row r="103" spans="1:65" ht="19.5">
      <c r="C103">
        <f>H102*D103</f>
        <v>4535.72850394537</v>
      </c>
      <c r="D103">
        <f>D102</f>
        <v>0.036735743942067273</v>
      </c>
      <c r="E103" t="s">
        <v>15</v>
      </c>
      <c r="F103" s="5">
        <v>43993</v>
      </c>
      <c r="G103" s="2"/>
      <c r="H103">
        <f>H102+C103</f>
        <v>128004.80840330091</v>
      </c>
      <c r="BE103" t="inlineStr">
        <is>
          <t>day's figure has been posted.</t>
        </is>
      </c>
    </row>
    <row r="104" spans="1:65" ht="19.5">
      <c r="C104">
        <f>H103*D104</f>
        <v>4702.3518648570434</v>
      </c>
      <c r="D104">
        <f>D103</f>
        <v>0.036735743942067273</v>
      </c>
      <c r="E104" t="s">
        <v>16</v>
      </c>
      <c r="F104" s="5">
        <v>43994</v>
      </c>
      <c r="G104" s="2"/>
      <c r="H104">
        <f>H103+C104</f>
        <v>132707.16026815795</v>
      </c>
    </row>
    <row r="105" spans="1:65" ht="19.5">
      <c r="C105">
        <f>H104*D105</f>
        <v>4875.0962588899338</v>
      </c>
      <c r="D105">
        <f>D104</f>
        <v>0.036735743942067273</v>
      </c>
      <c r="E105" t="s">
        <v>17</v>
      </c>
      <c r="F105" s="5">
        <v>43995</v>
      </c>
      <c r="G105" s="2"/>
      <c r="H105">
        <f>H104+C105</f>
        <v>137582.2565270479</v>
      </c>
      <c r="BE105" t="inlineStr">
        <is>
          <t>In other words, the very last number</t>
        </is>
      </c>
    </row>
    <row r="106" spans="1:65" ht="19.5">
      <c r="C106">
        <f>H105*D106</f>
        <v>5054.1865467494454</v>
      </c>
      <c r="D106">
        <f>D105</f>
        <v>0.036735743942067273</v>
      </c>
      <c r="E106" t="s">
        <v>11</v>
      </c>
      <c r="F106" s="5">
        <v>43996</v>
      </c>
      <c r="G106" s="2"/>
      <c r="H106">
        <f>H105+C106</f>
        <v>142636.44307379733</v>
      </c>
      <c r="BE106" t="inlineStr">
        <is>
          <t>in this sequence is perpetually taken</t>
        </is>
      </c>
    </row>
    <row r="107" spans="1:65" ht="19.5">
      <c r="C107">
        <f>H106*D107</f>
        <v>5239.8558495662737</v>
      </c>
      <c r="D107">
        <f>D106</f>
        <v>0.036735743942067273</v>
      </c>
      <c r="E107" t="s">
        <v>12</v>
      </c>
      <c r="F107" s="5">
        <v>43997</v>
      </c>
      <c r="G107" s="2"/>
      <c r="H107">
        <f>H106+C107</f>
        <v>147876.29892336362</v>
      </c>
      <c r="BE107" t="inlineStr">
        <is>
          <t>as other than final for that day's</t>
        </is>
      </c>
    </row>
    <row r="108" spans="1:65" ht="19.5">
      <c r="C108">
        <f>H107*D108</f>
        <v>5432.3458523492845</v>
      </c>
      <c r="D108">
        <f>D107</f>
        <v>0.036735743942067273</v>
      </c>
      <c r="E108" t="s">
        <v>13</v>
      </c>
      <c r="F108" s="5">
        <v>43998</v>
      </c>
      <c r="G108" s="2"/>
      <c r="H108">
        <f>H107+C108</f>
        <v>153308.64477571289</v>
      </c>
      <c r="BE108" t="inlineStr">
        <is>
          <t>reportage.</t>
        </is>
      </c>
    </row>
    <row r="109" spans="1:65" ht="19.5">
      <c r="C109">
        <f>H108*D109</f>
        <v>5631.9071185859384</v>
      </c>
      <c r="D109">
        <f>D108</f>
        <v>0.036735743942067273</v>
      </c>
      <c r="E109" t="s">
        <v>14</v>
      </c>
      <c r="F109" s="5">
        <v>43999</v>
      </c>
      <c r="G109" s="2"/>
      <c r="H109">
        <f>H108+C109</f>
        <v>158940.55189429884</v>
      </c>
    </row>
    <row r="110" spans="1:65" ht="19.5">
      <c r="C110">
        <f>H109*D110</f>
        <v>5838.7994163998173</v>
      </c>
      <c r="D110">
        <f>D109</f>
        <v>0.036735743942067273</v>
      </c>
      <c r="E110" t="s">
        <v>15</v>
      </c>
      <c r="F110" s="5">
        <v>44000</v>
      </c>
      <c r="G110" s="2"/>
      <c r="H110">
        <f>H109+C110</f>
        <v>164779.35131069866</v>
      </c>
    </row>
    <row r="111" spans="1:65" ht="19.5">
      <c r="C111">
        <f>H110*D111</f>
        <v>6053.2920566897737</v>
      </c>
      <c r="D111">
        <f>D110</f>
        <v>0.036735743942067273</v>
      </c>
      <c r="E111" t="s">
        <v>16</v>
      </c>
      <c r="F111" s="5">
        <v>44001</v>
      </c>
      <c r="G111" s="2"/>
      <c r="H111">
        <f>H110+C111</f>
        <v>170832.64336738843</v>
      </c>
    </row>
    <row r="112" spans="1:65" ht="19.5">
      <c r="C112">
        <f>H111*D112</f>
        <v>6275.6642436908787</v>
      </c>
      <c r="D112">
        <f>D111</f>
        <v>0.036735743942067273</v>
      </c>
      <c r="E112" t="s">
        <v>17</v>
      </c>
      <c r="F112" s="5">
        <v>44002</v>
      </c>
      <c r="G112" s="2"/>
      <c r="H112">
        <f>H111+C112</f>
        <v>177108.3076110793</v>
      </c>
    </row>
    <row r="113" spans="1:65" ht="19.5">
      <c r="C113">
        <f>H112*D113</f>
        <v>6506.2054384134935</v>
      </c>
      <c r="D113">
        <f>D112</f>
        <v>0.036735743942067273</v>
      </c>
      <c r="E113" t="s">
        <v>11</v>
      </c>
      <c r="F113" s="5">
        <v>44003</v>
      </c>
      <c r="G113" s="2"/>
      <c r="H113">
        <f>H112+C113</f>
        <v>183614.51304949279</v>
      </c>
    </row>
    <row r="114" spans="1:65" ht="19.5">
      <c r="C114">
        <f>H113*D114</f>
        <v>6745.2157354335368</v>
      </c>
      <c r="D114">
        <f>D113</f>
        <v>0.036735743942067273</v>
      </c>
      <c r="E114" t="s">
        <v>12</v>
      </c>
      <c r="F114" s="5">
        <v>44004</v>
      </c>
      <c r="G114" s="2"/>
      <c r="H114">
        <f>H113+C114</f>
        <v>190359.72878492632</v>
      </c>
    </row>
    <row r="115" spans="1:65" ht="19.5">
      <c r="C115">
        <f>H114*D115</f>
        <v>6993.006253524426</v>
      </c>
      <c r="D115">
        <f>D114</f>
        <v>0.036735743942067273</v>
      </c>
      <c r="E115" t="s">
        <v>13</v>
      </c>
      <c r="F115" s="5">
        <v>44005</v>
      </c>
      <c r="G115" s="2"/>
      <c r="H115">
        <f>H114+C115</f>
        <v>197352.73503845074</v>
      </c>
    </row>
    <row r="116" spans="1:65" ht="19.5">
      <c r="C116">
        <f>H115*D116</f>
        <v>7249.8995406391741</v>
      </c>
      <c r="D116">
        <f>D115</f>
        <v>0.036735743942067273</v>
      </c>
      <c r="E116" t="s">
        <v>14</v>
      </c>
      <c r="F116" s="5">
        <v>44006</v>
      </c>
      <c r="G116" s="2"/>
      <c r="H116">
        <f>H115+C116</f>
        <v>204602.63457908991</v>
      </c>
    </row>
    <row r="117" spans="1:65" ht="19.5">
      <c r="C117">
        <f>H116*D117</f>
        <v>7516.2299937698062</v>
      </c>
      <c r="D117">
        <f>D116</f>
        <v>0.036735743942067273</v>
      </c>
      <c r="E117" t="s">
        <v>15</v>
      </c>
      <c r="F117" s="5">
        <v>44007</v>
      </c>
      <c r="G117" s="2"/>
      <c r="H117">
        <f>H116+C117</f>
        <v>212118.86457285972</v>
      </c>
    </row>
    <row r="118" spans="1:65" ht="19.5">
      <c r="C118">
        <f>H117*D118</f>
        <v>7792.3442942306192</v>
      </c>
      <c r="D118">
        <f>D117</f>
        <v>0.036735743942067273</v>
      </c>
      <c r="E118" t="s">
        <v>16</v>
      </c>
      <c r="F118" s="5">
        <v>44008</v>
      </c>
      <c r="G118" s="2"/>
      <c r="H118">
        <f>H117+C118</f>
        <v>219911.20886709035</v>
      </c>
    </row>
    <row r="119" spans="1:65" ht="19.5">
      <c r="C119">
        <f>H118*D119</f>
        <v>8078.6018589319046</v>
      </c>
      <c r="D119">
        <f>D118</f>
        <v>0.036735743942067273</v>
      </c>
      <c r="E119" t="s">
        <v>17</v>
      </c>
      <c r="F119" s="5">
        <v>44009</v>
      </c>
      <c r="G119" s="2"/>
      <c r="H119">
        <f>H118+C119</f>
        <v>227989.81072602226</v>
      </c>
    </row>
    <row r="120" spans="1:65" ht="19.5">
      <c r="C120">
        <f>H119*D120</f>
        <v>8375.3753082315361</v>
      </c>
      <c r="D120">
        <f>D119</f>
        <v>0.036735743942067273</v>
      </c>
      <c r="E120" t="s">
        <v>11</v>
      </c>
      <c r="F120" s="5">
        <v>44010</v>
      </c>
      <c r="G120" s="2"/>
      <c r="H120">
        <f>H119+C120</f>
        <v>236365.1860342538</v>
      </c>
    </row>
    <row r="121" spans="1:65" ht="19.5">
      <c r="C121">
        <f>H120*D121</f>
        <v>8683.050950973442</v>
      </c>
      <c r="D121">
        <f>D120</f>
        <v>0.036735743942067273</v>
      </c>
      <c r="E121" t="s">
        <v>12</v>
      </c>
      <c r="F121" s="5">
        <v>44011</v>
      </c>
      <c r="G121" s="2"/>
      <c r="H121">
        <f>H120+C121</f>
        <v>245048.23698522724</v>
      </c>
    </row>
    <row r="122" spans="1:65" ht="19.5">
      <c r="C122">
        <f>H121*D122</f>
        <v>9002.0292873443268</v>
      </c>
      <c r="D122">
        <f>D121</f>
        <v>0.036735743942067273</v>
      </c>
      <c r="E122" t="s">
        <v>13</v>
      </c>
      <c r="F122" s="5">
        <v>44012</v>
      </c>
      <c r="G122" s="2"/>
      <c r="H122">
        <f>H121+C122</f>
        <v>254050.26627257158</v>
      </c>
    </row>
    <row r="123" spans="1:65" ht="19.5">
      <c r="C123">
        <f>H122*D123</f>
        <v>9332.725530203199</v>
      </c>
      <c r="D123">
        <f>D122</f>
        <v>0.036735743942067273</v>
      </c>
      <c r="E123" t="s">
        <v>14</v>
      </c>
      <c r="F123" s="5">
        <v>44013</v>
      </c>
      <c r="G123" s="2"/>
      <c r="H123">
        <f>H122+C123</f>
        <v>263382.99180277478</v>
      </c>
    </row>
    <row r="124" spans="1:65" ht="19.5">
      <c r="C124">
        <f>H123*D124</f>
        <v>9675.5701455623384</v>
      </c>
      <c r="D124">
        <f>D123</f>
        <v>0.036735743942067273</v>
      </c>
      <c r="E124" t="s">
        <v>15</v>
      </c>
      <c r="F124" s="5">
        <v>44014</v>
      </c>
      <c r="G124" s="2"/>
      <c r="H124">
        <f>H123+C124</f>
        <v>273058.56194833713</v>
      </c>
    </row>
    <row r="125" spans="1:65" ht="19.5">
      <c r="C125">
        <f>H124*D125</f>
        <v>10031.009412923228</v>
      </c>
      <c r="D125">
        <f>D124</f>
        <v>0.036735743942067273</v>
      </c>
      <c r="E125" t="s">
        <v>16</v>
      </c>
      <c r="F125" s="5">
        <v>44015</v>
      </c>
      <c r="G125" s="2"/>
      <c r="H125">
        <f>H124+C125</f>
        <v>283089.57136126037</v>
      </c>
    </row>
    <row r="126" spans="1:65" ht="19.5">
      <c r="C126">
        <f>H125*D126</f>
        <v>10399.506006196842</v>
      </c>
      <c r="D126">
        <f>D125</f>
        <v>0.036735743942067273</v>
      </c>
      <c r="E126" t="s">
        <v>17</v>
      </c>
      <c r="F126" s="5">
        <v>44016</v>
      </c>
      <c r="G126" s="2"/>
      <c r="H126">
        <f>H125+C126</f>
        <v>293489.07736745721</v>
      </c>
    </row>
    <row r="127" spans="1:65" ht="19.5">
      <c r="C127">
        <f>H126*D127</f>
        <v>10781.539595964479</v>
      </c>
      <c r="D127">
        <f>D126</f>
        <v>0.036735743942067273</v>
      </c>
      <c r="E127" t="s">
        <v>11</v>
      </c>
      <c r="F127" s="5">
        <v>44017</v>
      </c>
      <c r="G127" s="2"/>
      <c r="H127">
        <f>H126+C127</f>
        <v>304270.61696342169</v>
      </c>
    </row>
    <row r="128" spans="1:65" ht="19.5">
      <c r="C128">
        <f>H127*D128</f>
        <v>11177.60747386309</v>
      </c>
      <c r="D128">
        <f>D127</f>
        <v>0.036735743942067273</v>
      </c>
      <c r="E128" t="s">
        <v>12</v>
      </c>
      <c r="F128" s="5">
        <v>44018</v>
      </c>
      <c r="G128" s="2"/>
      <c r="H128">
        <f>H127+C128</f>
        <v>315448.22443728481</v>
      </c>
    </row>
    <row r="129" spans="1:65" ht="19.5">
      <c r="C129">
        <f>H128*D129</f>
        <v>11588.225199907863</v>
      </c>
      <c r="D129">
        <f>D128</f>
        <v>0.036735743942067273</v>
      </c>
      <c r="E129" t="s">
        <v>13</v>
      </c>
      <c r="F129" s="5">
        <v>44019</v>
      </c>
      <c r="G129" s="2"/>
      <c r="H129">
        <f>H128+C129</f>
        <v>327036.44963719265</v>
      </c>
    </row>
    <row r="130" spans="1:65" ht="19.5">
      <c r="C130">
        <f>H129*D130</f>
        <v>12013.927273594689</v>
      </c>
      <c r="D130">
        <f>D129</f>
        <v>0.036735743942067273</v>
      </c>
      <c r="E130" t="s">
        <v>14</v>
      </c>
      <c r="F130" s="5">
        <v>44020</v>
      </c>
      <c r="G130" s="2"/>
      <c r="H130">
        <f>H129+C130</f>
        <v>339050.37691078737</v>
      </c>
    </row>
    <row r="131" spans="1:65" ht="19.5">
      <c r="C131">
        <f>H130*D131</f>
        <v>12455.267829656083</v>
      </c>
      <c r="D131">
        <f>D130</f>
        <v>0.036735743942067273</v>
      </c>
      <c r="E131" t="s">
        <v>15</v>
      </c>
      <c r="F131" s="5">
        <v>44021</v>
      </c>
      <c r="G131" s="2"/>
      <c r="H131">
        <f>H130+C131</f>
        <v>351505.64474044344</v>
      </c>
    </row>
    <row r="132" spans="1:65" ht="19.5">
      <c r="C132">
        <f>H131*D132</f>
        <v>12912.821359376196</v>
      </c>
      <c r="D132">
        <f>D131</f>
        <v>0.036735743942067273</v>
      </c>
      <c r="E132" t="s">
        <v>16</v>
      </c>
      <c r="F132" s="5">
        <v>44022</v>
      </c>
      <c r="H132">
        <f>H131+C132</f>
        <v>364418.46609981963</v>
      </c>
    </row>
    <row r="133" spans="1:65" ht="19.5">
      <c r="C133">
        <f>H132*D133</f>
        <v>13387.183458403897</v>
      </c>
      <c r="D133">
        <f>D132</f>
        <v>0.036735743942067273</v>
      </c>
      <c r="E133" t="s">
        <v>17</v>
      </c>
      <c r="F133" s="5">
        <v>44023</v>
      </c>
      <c r="H133">
        <f>H132+C133</f>
        <v>377805.64955822355</v>
      </c>
    </row>
    <row r="134" spans="1:65" ht="19.5">
      <c r="C134">
        <f>H133*D134</f>
        <v>13878.971602037302</v>
      </c>
      <c r="D134">
        <f>D133</f>
        <v>0.036735743942067273</v>
      </c>
      <c r="E134" t="s">
        <v>11</v>
      </c>
      <c r="F134" s="5">
        <v>44024</v>
      </c>
      <c r="H134">
        <f>H133+C134</f>
        <v>391684.62116026087</v>
      </c>
    </row>
    <row r="135" spans="1:65" ht="19.5">
      <c r="C135">
        <f>H134*D135</f>
        <v>14388.825948988968</v>
      </c>
      <c r="D135">
        <f>D134</f>
        <v>0.036735743942067273</v>
      </c>
      <c r="E135" t="s">
        <v>12</v>
      </c>
      <c r="F135" s="5">
        <v>44025</v>
      </c>
      <c r="H135">
        <f>H134+C135</f>
        <v>406073.44710924983</v>
      </c>
    </row>
    <row r="136" spans="1:65" ht="19.5">
      <c r="C136">
        <f>H135*D136</f>
        <v>14917.410174678</v>
      </c>
      <c r="D136">
        <f>D135</f>
        <v>0.036735743942067273</v>
      </c>
      <c r="E136" t="s">
        <v>13</v>
      </c>
      <c r="F136" s="5">
        <v>44026</v>
      </c>
      <c r="H136">
        <f>H135+C136</f>
        <v>420990.85728392785</v>
      </c>
    </row>
    <row r="137" spans="1:65" ht="19.5">
      <c r="C137">
        <f>H136*D137</f>
        <v>15465.41233513376</v>
      </c>
      <c r="D137">
        <f>D136</f>
        <v>0.036735743942067273</v>
      </c>
      <c r="E137" t="s">
        <v>14</v>
      </c>
      <c r="F137" s="5">
        <v>44027</v>
      </c>
      <c r="H137">
        <f>H136+C137</f>
        <v>436456.26961906161</v>
      </c>
    </row>
    <row r="138" spans="1:65" ht="19.5">
      <c r="C138">
        <f>H137*D138</f>
        <v>16033.545762635722</v>
      </c>
      <c r="D138">
        <f>D137</f>
        <v>0.036735743942067273</v>
      </c>
      <c r="E138" t="s">
        <v>15</v>
      </c>
      <c r="F138" s="5">
        <v>44028</v>
      </c>
      <c r="H138">
        <f>H137+C138</f>
        <v>452489.81538169732</v>
      </c>
    </row>
    <row r="139" spans="1:65" ht="19.5">
      <c r="C139">
        <f>H138*D139</f>
        <v>16622.549994255325</v>
      </c>
      <c r="D139">
        <f>D138</f>
        <v>0.036735743942067273</v>
      </c>
      <c r="E139" t="s">
        <v>16</v>
      </c>
      <c r="F139" s="5">
        <v>44029</v>
      </c>
      <c r="H139">
        <f>H138+C139</f>
        <v>469112.36537595262</v>
      </c>
    </row>
    <row r="140" spans="1:65" ht="19.5">
      <c r="C140">
        <f>H139*D140</f>
        <v>17233.191734508502</v>
      </c>
      <c r="D140">
        <f>D139</f>
        <v>0.036735743942067273</v>
      </c>
      <c r="E140" t="s">
        <v>17</v>
      </c>
      <c r="F140" s="5">
        <v>44030</v>
      </c>
      <c r="H140">
        <f>H139+C140</f>
        <v>486345.55711046112</v>
      </c>
    </row>
    <row r="141" spans="1:65" ht="19.5">
      <c r="C141">
        <f>H140*D141</f>
        <v>17866.265853371955</v>
      </c>
      <c r="D141">
        <f>D140</f>
        <v>0.036735743942067273</v>
      </c>
      <c r="E141" t="s">
        <v>11</v>
      </c>
      <c r="F141" s="5">
        <v>44031</v>
      </c>
      <c r="H141">
        <f>H140+C141</f>
        <v>504211.82296383305</v>
      </c>
    </row>
    <row r="142" spans="1:65" ht="19.5">
      <c r="C142">
        <f>H141*D142</f>
        <v>18522.596420962327</v>
      </c>
      <c r="D142">
        <f>D141</f>
        <v>0.036735743942067273</v>
      </c>
      <c r="E142" t="s">
        <v>12</v>
      </c>
      <c r="F142" s="5">
        <v>44032</v>
      </c>
      <c r="H142">
        <f>H141+C142</f>
        <v>522734.41938479536</v>
      </c>
    </row>
    <row r="143" spans="1:65" ht="19.5">
      <c r="C143">
        <f>H142*D143</f>
        <v>19203.037780225048</v>
      </c>
      <c r="D143">
        <f>D142</f>
        <v>0.036735743942067273</v>
      </c>
      <c r="E143" t="s">
        <v>13</v>
      </c>
      <c r="F143" s="5">
        <v>44033</v>
      </c>
      <c r="H143">
        <f>H142+C143</f>
        <v>541937.4571650204</v>
      </c>
    </row>
    <row r="144" spans="1:65" ht="19.5">
      <c r="C144">
        <f>H143*D144</f>
        <v>19908.475659029242</v>
      </c>
      <c r="D144">
        <f>D143</f>
        <v>0.036735743942067273</v>
      </c>
      <c r="E144" t="s">
        <v>14</v>
      </c>
      <c r="F144" s="5">
        <v>44034</v>
      </c>
      <c r="H144">
        <f>H143+C144</f>
        <v>561845.93282404961</v>
      </c>
    </row>
    <row r="145" spans="1:65" ht="19.5">
      <c r="C145">
        <f>H144*D145</f>
        <v>20639.828323116217</v>
      </c>
      <c r="D145">
        <f>D144</f>
        <v>0.036735743942067273</v>
      </c>
      <c r="E145" t="s">
        <v>15</v>
      </c>
      <c r="F145" s="5">
        <v>44035</v>
      </c>
      <c r="H145">
        <f>H144+C145</f>
        <v>582485.76114716579</v>
      </c>
    </row>
    <row r="146" spans="1:65" ht="19.5">
      <c r="C146">
        <f>H145*D146</f>
        <v>21398.047771402438</v>
      </c>
      <c r="D146">
        <f>D145</f>
        <v>0.036735743942067273</v>
      </c>
      <c r="E146" t="s">
        <v>16</v>
      </c>
      <c r="F146" s="5">
        <v>44036</v>
      </c>
      <c r="H146">
        <f>H145+C146</f>
        <v>603883.80891856819</v>
      </c>
    </row>
    <row r="147" spans="1:65" ht="19.5">
      <c r="C147">
        <f>H146*D147</f>
        <v>22184.120975192804</v>
      </c>
      <c r="D147">
        <f>D146</f>
        <v>0.036735743942067273</v>
      </c>
      <c r="E147" t="s">
        <v>17</v>
      </c>
      <c r="F147" s="5">
        <v>44037</v>
      </c>
      <c r="H147">
        <f>H146+C147</f>
        <v>626067.92989376094</v>
      </c>
    </row>
    <row r="148" spans="1:65" ht="19.5">
      <c r="C148">
        <f>H147*D148</f>
        <v>22999.071162917327</v>
      </c>
      <c r="D148">
        <f>D147</f>
        <v>0.036735743942067273</v>
      </c>
      <c r="E148" t="s">
        <v>11</v>
      </c>
      <c r="F148" s="5">
        <v>44038</v>
      </c>
      <c r="H148">
        <f>H147+C148</f>
        <v>649067.00105667824</v>
      </c>
    </row>
    <row r="149" spans="1:65" ht="19.5">
      <c r="C149">
        <f>H148*D149</f>
        <v>23843.959152063639</v>
      </c>
      <c r="D149">
        <f>D148</f>
        <v>0.036735743942067273</v>
      </c>
      <c r="E149" t="s">
        <v>12</v>
      </c>
      <c r="F149" s="5">
        <v>44039</v>
      </c>
      <c r="H149">
        <f>H148+C149</f>
        <v>672910.96020874183</v>
      </c>
    </row>
    <row r="150" spans="1:65" ht="19.5">
      <c r="C150">
        <f>H149*D150</f>
        <v>24719.884730038961</v>
      </c>
      <c r="D150">
        <f>D149</f>
        <v>0.036735743942067273</v>
      </c>
      <c r="E150" t="s">
        <v>13</v>
      </c>
      <c r="F150" s="5">
        <v>44040</v>
      </c>
      <c r="H150">
        <f>H149+C150</f>
        <v>697630.84493878076</v>
      </c>
    </row>
    <row r="151" spans="1:65" ht="19.5">
      <c r="C151">
        <f>H150*D151</f>
        <v>25627.988085759087</v>
      </c>
      <c r="D151">
        <f>D150</f>
        <v>0.036735743942067273</v>
      </c>
      <c r="E151" t="s">
        <v>14</v>
      </c>
      <c r="F151" s="5">
        <v>44041</v>
      </c>
      <c r="H151">
        <f>H150+C151</f>
        <v>723258.83302453987</v>
      </c>
    </row>
    <row r="152" spans="1:65" ht="19.5">
      <c r="C152">
        <f>H151*D152</f>
        <v>26569.451293827886</v>
      </c>
      <c r="D152">
        <f>D151</f>
        <v>0.036735743942067273</v>
      </c>
      <c r="E152" t="s">
        <v>15</v>
      </c>
      <c r="F152" s="5">
        <v>44042</v>
      </c>
      <c r="H152">
        <f>H151+C152</f>
        <v>749828.28431836772</v>
      </c>
    </row>
    <row r="153" spans="1:65" ht="19.5">
      <c r="C153">
        <f>H152*D153</f>
        <v>27545.499853239173</v>
      </c>
      <c r="D153">
        <f>D152</f>
        <v>0.036735743942067273</v>
      </c>
      <c r="E153" t="s">
        <v>16</v>
      </c>
      <c r="F153" s="5">
        <v>44043</v>
      </c>
      <c r="H153">
        <f>H152+C153</f>
        <v>777373.78417160688</v>
      </c>
    </row>
    <row r="154" spans="1:65" ht="19.5">
      <c r="C154">
        <f>H153*D154</f>
        <v>28557.40428260402</v>
      </c>
      <c r="D154">
        <f>D153</f>
        <v>0.036735743942067273</v>
      </c>
      <c r="E154" t="s">
        <v>17</v>
      </c>
      <c r="F154" s="5">
        <v>44044</v>
      </c>
      <c r="H154">
        <f>H153+C154</f>
        <v>805931.18845421087</v>
      </c>
    </row>
    <row r="155" spans="1:65" ht="19.5">
      <c r="C155">
        <f>H154*D155</f>
        <v>29606.481773979856</v>
      </c>
      <c r="D155">
        <f>D154</f>
        <v>0.036735743942067273</v>
      </c>
      <c r="E155" t="s">
        <v>11</v>
      </c>
      <c r="F155" s="5">
        <v>44045</v>
      </c>
      <c r="H155">
        <f>H154+C155</f>
        <v>835537.67022819072</v>
      </c>
    </row>
    <row r="156" spans="1:65" ht="19.5">
      <c r="C156">
        <f>H155*D156</f>
        <v>30694.097907454259</v>
      </c>
      <c r="D156">
        <f>D155</f>
        <v>0.036735743942067273</v>
      </c>
      <c r="E156" t="s">
        <v>12</v>
      </c>
      <c r="F156" s="5">
        <v>44046</v>
      </c>
      <c r="H156">
        <f>H155+C156</f>
        <v>866231.76813564496</v>
      </c>
    </row>
    <row r="157" spans="1:65" ht="19.5">
      <c r="C157">
        <f>H156*D157</f>
        <v>31821.668428715242</v>
      </c>
      <c r="D157">
        <f>D156</f>
        <v>0.036735743942067273</v>
      </c>
      <c r="E157" t="s">
        <v>13</v>
      </c>
      <c r="F157" s="5">
        <v>44047</v>
      </c>
      <c r="H157">
        <f>H156+C157</f>
        <v>898053.43656436016</v>
      </c>
    </row>
    <row r="158" spans="1:65" ht="19.5">
      <c r="C158">
        <f>H157*D158</f>
        <v>32990.661091921887</v>
      </c>
      <c r="D158">
        <f>D157</f>
        <v>0.036735743942067273</v>
      </c>
      <c r="E158" t="s">
        <v>14</v>
      </c>
      <c r="F158" s="5">
        <v>44048</v>
      </c>
      <c r="H158">
        <f>H157+C158</f>
        <v>931044.09765628201</v>
      </c>
    </row>
    <row r="159" spans="1:65" ht="19.5">
      <c r="C159">
        <f>H158*D159</f>
        <v>34202.597570274251</v>
      </c>
      <c r="D159">
        <f>D158</f>
        <v>0.036735743942067273</v>
      </c>
      <c r="E159" t="s">
        <v>15</v>
      </c>
      <c r="F159" s="5">
        <v>44049</v>
      </c>
      <c r="H159">
        <f>H158+C159</f>
        <v>965246.69522655627</v>
      </c>
    </row>
    <row r="160" spans="1:65" ht="19.5">
      <c r="C160">
        <f>H159*D160</f>
        <v>35459.05543676942</v>
      </c>
      <c r="D160">
        <f>D159</f>
        <v>0.036735743942067273</v>
      </c>
      <c r="E160" t="s">
        <v>16</v>
      </c>
      <c r="F160" s="5">
        <v>44050</v>
      </c>
      <c r="H160">
        <f>H159+C160</f>
        <v>1000705.7506633257</v>
      </c>
    </row>
    <row r="161" spans="1:65" ht="19.5">
      <c r="C161">
        <f>H160*D161</f>
        <v>36761.670217722145</v>
      </c>
      <c r="D161">
        <f>D160</f>
        <v>0.036735743942067273</v>
      </c>
      <c r="E161" t="s">
        <v>17</v>
      </c>
      <c r="F161" s="5">
        <v>44051</v>
      </c>
      <c r="H161">
        <f>H160+C161</f>
        <v>1037467.4208810478</v>
      </c>
    </row>
    <row r="162" spans="1:65" ht="19.5">
      <c r="C162">
        <f>H161*D162</f>
        <v>38112.137521723111</v>
      </c>
      <c r="D162">
        <f>D161</f>
        <v>0.036735743942067273</v>
      </c>
      <c r="E162" t="s">
        <v>11</v>
      </c>
      <c r="F162" s="5">
        <v>44052</v>
      </c>
      <c r="H162">
        <f>H161+C162</f>
        <v>1075579.5584027709</v>
      </c>
    </row>
    <row r="163" spans="1:65" ht="19.5">
      <c r="C163">
        <f>H162*D163</f>
        <v>39512.215246805987</v>
      </c>
      <c r="D163">
        <f>D162</f>
        <v>0.036735743942067273</v>
      </c>
      <c r="E163" t="s">
        <v>12</v>
      </c>
      <c r="F163" s="5">
        <v>44053</v>
      </c>
      <c r="H163">
        <f>H162+C163</f>
        <v>1115091.7736495768</v>
      </c>
    </row>
    <row r="164" spans="1:65" ht="19.5">
      <c r="C164">
        <f>H163*D164</f>
        <v>40963.725868696492</v>
      </c>
      <c r="D164">
        <f>D163</f>
        <v>0.036735743942067273</v>
      </c>
      <c r="E164" t="s">
        <v>13</v>
      </c>
      <c r="F164" s="5">
        <v>44054</v>
      </c>
      <c r="H164">
        <f>H163+C164</f>
        <v>1156055.4995182734</v>
      </c>
    </row>
    <row r="165" spans="1:65" ht="19.5">
      <c r="C165">
        <f>H164*D165</f>
        <v>42468.55881312197</v>
      </c>
      <c r="D165">
        <f>D164</f>
        <v>0.036735743942067273</v>
      </c>
      <c r="E165" t="s">
        <v>14</v>
      </c>
      <c r="F165" s="5">
        <v>44055</v>
      </c>
      <c r="H165">
        <f>H164+C165</f>
        <v>1198524.0583313953</v>
      </c>
    </row>
    <row r="166" spans="1:65" ht="19.5">
      <c r="C166">
        <f>H165*D166</f>
        <v>44028.672915269439</v>
      </c>
      <c r="D166">
        <f>D165</f>
        <v>0.036735743942067273</v>
      </c>
      <c r="E166" t="s">
        <v>15</v>
      </c>
      <c r="F166" s="5">
        <v>44056</v>
      </c>
      <c r="H166">
        <f>H165+C166</f>
        <v>1242552.7312466647</v>
      </c>
    </row>
    <row r="167" spans="1:65" ht="19.5">
      <c r="C167">
        <f>H166*D167</f>
        <v>45646.098969593804</v>
      </c>
      <c r="D167">
        <f>D166</f>
        <v>0.036735743942067273</v>
      </c>
      <c r="E167" t="s">
        <v>16</v>
      </c>
      <c r="F167" s="5">
        <v>44057</v>
      </c>
      <c r="H167">
        <f>H166+C167</f>
        <v>1288198.8302162585</v>
      </c>
    </row>
    <row r="168" spans="1:65" ht="19.5">
      <c r="C168">
        <f>H167*D168</f>
        <v>47322.942373295067</v>
      </c>
      <c r="D168">
        <f>D167</f>
        <v>0.036735743942067273</v>
      </c>
      <c r="E168" t="s">
        <v>17</v>
      </c>
      <c r="F168" s="5">
        <v>44058</v>
      </c>
      <c r="H168">
        <f>H167+C168</f>
        <v>1335521.7725895536</v>
      </c>
    </row>
    <row r="169" spans="1:65" ht="19.5">
      <c r="C169">
        <f>H168*D169</f>
        <v>49061.385866905643</v>
      </c>
      <c r="D169">
        <f>D168</f>
        <v>0.036735743942067273</v>
      </c>
      <c r="E169" t="s">
        <v>11</v>
      </c>
      <c r="F169" s="5">
        <v>44059</v>
      </c>
      <c r="H169">
        <f>H168+C169</f>
        <v>1384583.1584564592</v>
      </c>
    </row>
    <row r="170" spans="1:65" ht="19.5">
      <c r="C170">
        <f>H169*D170</f>
        <v>50863.692375555242</v>
      </c>
      <c r="D170">
        <f>D169</f>
        <v>0.036735743942067273</v>
      </c>
      <c r="E170" t="s">
        <v>12</v>
      </c>
      <c r="F170" s="5">
        <v>44060</v>
      </c>
      <c r="H170">
        <f>H169+C170</f>
        <v>1435446.8508320143</v>
      </c>
    </row>
    <row r="171" spans="1:65" ht="19.5">
      <c r="C171">
        <f>H170*D171</f>
        <v>52732.207954611717</v>
      </c>
      <c r="D171">
        <f>D170</f>
        <v>0.036735743942067273</v>
      </c>
      <c r="E171" t="s">
        <v>13</v>
      </c>
      <c r="F171" s="5">
        <v>44061</v>
      </c>
      <c r="H171">
        <f>H170+C171</f>
        <v>1488179.058786626</v>
      </c>
    </row>
    <row r="172" spans="1:65" ht="19.5">
      <c r="C172">
        <f>H171*D172</f>
        <v>54669.364843532174</v>
      </c>
      <c r="D172">
        <f>D171</f>
        <v>0.036735743942067273</v>
      </c>
      <c r="E172" t="s">
        <v>14</v>
      </c>
      <c r="F172" s="5">
        <v>44062</v>
      </c>
      <c r="H172">
        <f>H171+C172</f>
        <v>1542848.4236301582</v>
      </c>
    </row>
    <row r="173" spans="1:65" ht="19.5">
      <c r="C173">
        <f>H172*D173</f>
        <v>56677.684631899625</v>
      </c>
      <c r="D173">
        <f>D172</f>
        <v>0.036735743942067273</v>
      </c>
      <c r="E173" t="s">
        <v>15</v>
      </c>
      <c r="F173" s="5">
        <v>44063</v>
      </c>
      <c r="H173">
        <f>H172+C173</f>
        <v>1599526.1082620579</v>
      </c>
    </row>
    <row r="174" spans="1:65" ht="19.5">
      <c r="C174">
        <f>H173*D174</f>
        <v>58759.781541766337</v>
      </c>
      <c r="D174">
        <f>D173</f>
        <v>0.036735743942067273</v>
      </c>
      <c r="E174" t="s">
        <v>16</v>
      </c>
      <c r="F174" s="5">
        <v>44064</v>
      </c>
      <c r="H174">
        <f>H173+C174</f>
        <v>1658285.8898038242</v>
      </c>
    </row>
    <row r="175" spans="1:65" ht="19.5">
      <c r="C175">
        <f>H174*D175</f>
        <v>60918.365830576477</v>
      </c>
      <c r="D175">
        <f>D174</f>
        <v>0.036735743942067273</v>
      </c>
      <c r="E175" t="s">
        <v>17</v>
      </c>
      <c r="F175" s="5">
        <v>44065</v>
      </c>
      <c r="H175">
        <f>H174+C175</f>
        <v>1719204.2556344008</v>
      </c>
    </row>
    <row r="176" spans="1:65" ht="19.5">
      <c r="C176">
        <f>H175*D176</f>
        <v>63156.247319097711</v>
      </c>
      <c r="D176">
        <f>D175</f>
        <v>0.036735743942067273</v>
      </c>
      <c r="E176" t="s">
        <v>11</v>
      </c>
      <c r="F176" s="5">
        <v>44066</v>
      </c>
      <c r="H176">
        <f>H175+C176</f>
        <v>1782360.5029534984</v>
      </c>
    </row>
    <row r="177" spans="1:65" ht="19.5">
      <c r="C177">
        <f>H176*D177</f>
        <v>65476.339048953952</v>
      </c>
      <c r="D177">
        <f>D176</f>
        <v>0.036735743942067273</v>
      </c>
      <c r="E177" t="s">
        <v>12</v>
      </c>
      <c r="F177" s="5">
        <v>44067</v>
      </c>
      <c r="H177">
        <f>H176+C177</f>
        <v>1847836.8420024524</v>
      </c>
    </row>
    <row r="178" spans="1:65" ht="19.5">
      <c r="C178">
        <f>H177*D178</f>
        <v>67881.661074520307</v>
      </c>
      <c r="D178">
        <f>D177</f>
        <v>0.036735743942067273</v>
      </c>
      <c r="E178" t="s">
        <v>13</v>
      </c>
      <c r="F178" s="5">
        <v>44068</v>
      </c>
      <c r="H178">
        <f>H177+C178</f>
        <v>1915718.5030769727</v>
      </c>
    </row>
    <row r="179" spans="1:65" ht="19.5">
      <c r="C179">
        <f>H178*D179</f>
        <v>70375.34439411608</v>
      </c>
      <c r="D179">
        <f>D178</f>
        <v>0.036735743942067273</v>
      </c>
      <c r="E179" t="s">
        <v>14</v>
      </c>
      <c r="F179" s="5">
        <v>44069</v>
      </c>
      <c r="H179">
        <f>H178+C179</f>
        <v>1986093.8474710886</v>
      </c>
    </row>
    <row r="180" spans="1:65" ht="19.5">
      <c r="C180">
        <f>H179*D180</f>
        <v>72960.635025613126</v>
      </c>
      <c r="D180">
        <f>D179</f>
        <v>0.036735743942067273</v>
      </c>
      <c r="E180" t="s">
        <v>15</v>
      </c>
      <c r="F180" s="5">
        <v>44070</v>
      </c>
      <c r="H180">
        <f>H179+C180</f>
        <v>2059054.4824967016</v>
      </c>
    </row>
    <row r="181" spans="1:65" ht="19.5">
      <c r="C181">
        <f>H180*D181</f>
        <v>75640.898231764673</v>
      </c>
      <c r="D181">
        <f>D180</f>
        <v>0.036735743942067273</v>
      </c>
      <c r="E181" t="s">
        <v>16</v>
      </c>
      <c r="F181" s="5">
        <v>44071</v>
      </c>
      <c r="H181">
        <f>H180+C181</f>
        <v>2134695.3807284664</v>
      </c>
    </row>
    <row r="182" spans="1:65" ht="19.5">
      <c r="C182">
        <f>H181*D182</f>
        <v>78419.622900754752</v>
      </c>
      <c r="D182">
        <f>D181</f>
        <v>0.036735743942067273</v>
      </c>
      <c r="E182" t="s">
        <v>17</v>
      </c>
      <c r="F182" s="5">
        <v>44072</v>
      </c>
      <c r="H182">
        <f>H181+C182</f>
        <v>2213115.0036292211</v>
      </c>
    </row>
    <row r="183" spans="1:65" ht="19.5">
      <c r="C183">
        <f>H182*D183</f>
        <v>81300.426087670348</v>
      </c>
      <c r="D183">
        <f>D182</f>
        <v>0.036735743942067273</v>
      </c>
      <c r="E183" t="s">
        <v>11</v>
      </c>
      <c r="F183" s="5">
        <v>44073</v>
      </c>
      <c r="H183">
        <f>H182+C183</f>
        <v>2294415.4297168916</v>
      </c>
    </row>
    <row r="184" spans="1:65" ht="19.5">
      <c r="C184">
        <f>H183*D184</f>
        <v>84287.057722807978</v>
      </c>
      <c r="D184">
        <f>D183</f>
        <v>0.036735743942067273</v>
      </c>
      <c r="E184" t="s">
        <v>12</v>
      </c>
      <c r="F184" s="5">
        <v>44074</v>
      </c>
      <c r="H184">
        <f>H183+C184</f>
        <v>2378702.4874396995</v>
      </c>
    </row>
    <row r="185" spans="1:65" ht="19.5">
      <c r="C185">
        <f>H184*D185</f>
        <v>87383.40549294329</v>
      </c>
      <c r="D185">
        <f>D184</f>
        <v>0.036735743942067273</v>
      </c>
      <c r="E185" t="s">
        <v>13</v>
      </c>
      <c r="F185" s="5">
        <v>44075</v>
      </c>
      <c r="H185">
        <f>H184+C185</f>
        <v>2466085.8929326427</v>
      </c>
    </row>
    <row r="186" spans="1:65" ht="19.5">
      <c r="C186">
        <f>H185*D186</f>
        <v>90593.499901917894</v>
      </c>
      <c r="D186">
        <f>D185</f>
        <v>0.036735743942067273</v>
      </c>
      <c r="E186" t="s">
        <v>14</v>
      </c>
      <c r="F186" s="5">
        <v>44076</v>
      </c>
      <c r="H186">
        <f>H185+C186</f>
        <v>2556679.3928345605</v>
      </c>
    </row>
    <row r="187" spans="1:65" ht="19.5">
      <c r="C187">
        <f>H186*D187</f>
        <v>93921.519517130437</v>
      </c>
      <c r="D187">
        <f>D186</f>
        <v>0.036735743942067273</v>
      </c>
      <c r="E187" t="s">
        <v>15</v>
      </c>
      <c r="F187" s="5">
        <v>44077</v>
      </c>
      <c r="H187">
        <f>H186+C187</f>
        <v>2650600.9123516907</v>
      </c>
    </row>
    <row r="188" spans="1:65" ht="19.5">
      <c r="C188">
        <f>H187*D188</f>
        <v>97371.796408761613</v>
      </c>
      <c r="D188">
        <f>D187</f>
        <v>0.036735743942067273</v>
      </c>
      <c r="E188" t="s">
        <v>16</v>
      </c>
      <c r="F188" s="5">
        <v>44078</v>
      </c>
      <c r="H188">
        <f>H187+C188</f>
        <v>2747972.7087604525</v>
      </c>
    </row>
    <row r="189" spans="1:65" ht="19.5">
      <c r="C189">
        <f>H188*D189</f>
        <v>100948.82178881299</v>
      </c>
      <c r="D189">
        <f>D188</f>
        <v>0.036735743942067273</v>
      </c>
      <c r="E189" t="s">
        <v>17</v>
      </c>
      <c r="F189" s="5">
        <v>44079</v>
      </c>
      <c r="H189">
        <f>H188+C189</f>
        <v>2848921.5305492654</v>
      </c>
    </row>
    <row r="190" spans="1:65" ht="19.5">
      <c r="C190">
        <f>H189*D190</f>
        <v>104657.2518573002</v>
      </c>
      <c r="D190">
        <f>D189</f>
        <v>0.036735743942067273</v>
      </c>
      <c r="E190" t="s">
        <v>11</v>
      </c>
      <c r="F190" s="5">
        <v>44080</v>
      </c>
      <c r="H190">
        <f>H189+C190</f>
        <v>2953578.7824065657</v>
      </c>
    </row>
    <row r="191" spans="1:65" ht="19.5">
      <c r="C191">
        <f>H190*D191</f>
        <v>108501.91386321043</v>
      </c>
      <c r="D191">
        <f>D190</f>
        <v>0.036735743942067273</v>
      </c>
      <c r="E191" t="s">
        <v>12</v>
      </c>
      <c r="F191" s="5">
        <v>44081</v>
      </c>
      <c r="H191">
        <f>H190+C191</f>
        <v>3062080.6962697762</v>
      </c>
    </row>
    <row r="192" spans="1:65" ht="19.5">
      <c r="C192">
        <f>H191*D192</f>
        <v>112487.81238811357</v>
      </c>
      <c r="D192">
        <f>D191</f>
        <v>0.036735743942067273</v>
      </c>
      <c r="E192" t="s">
        <v>13</v>
      </c>
      <c r="F192" s="5">
        <v>44082</v>
      </c>
      <c r="H192">
        <f>H191+C192</f>
        <v>3174568.5086578899</v>
      </c>
    </row>
    <row r="193" spans="1:65" ht="19.5">
      <c r="C193">
        <f>H192*D193</f>
        <v>116620.13586060662</v>
      </c>
      <c r="D193">
        <f>D192</f>
        <v>0.036735743942067273</v>
      </c>
      <c r="E193" t="s">
        <v>14</v>
      </c>
      <c r="F193" s="5">
        <v>44083</v>
      </c>
      <c r="H193">
        <f>H192+C193</f>
        <v>3291188.6445184965</v>
      </c>
    </row>
    <row r="194" spans="1:65" ht="19.5">
      <c r="C194">
        <f>H193*D194</f>
        <v>120904.26331007095</v>
      </c>
      <c r="D194">
        <f>D193</f>
        <v>0.036735743942067273</v>
      </c>
      <c r="E194" t="s">
        <v>15</v>
      </c>
      <c r="F194" s="5">
        <v>44084</v>
      </c>
      <c r="H194">
        <f>H193+C194</f>
        <v>3412092.9078285675</v>
      </c>
    </row>
    <row r="195" spans="1:65" ht="19.5">
      <c r="C195">
        <f>H194*D195</f>
        <v>125345.771368534</v>
      </c>
      <c r="D195">
        <f>D194</f>
        <v>0.036735743942067273</v>
      </c>
      <c r="E195" t="s">
        <v>16</v>
      </c>
      <c r="F195" s="5">
        <v>44085</v>
      </c>
      <c r="H195">
        <f>H194+C195</f>
        <v>3537438.6791971014</v>
      </c>
    </row>
    <row r="196" spans="1:65" ht="19.5">
      <c r="C196">
        <f>H195*D196</f>
        <v>129950.44152974937</v>
      </c>
      <c r="D196">
        <f>D195</f>
        <v>0.036735743942067273</v>
      </c>
      <c r="E196" t="s">
        <v>17</v>
      </c>
      <c r="F196" s="5">
        <v>44086</v>
      </c>
      <c r="H196">
        <f>H195+C196</f>
        <v>3667389.1207268508</v>
      </c>
    </row>
    <row r="197" spans="1:65" ht="19.5">
      <c r="C197">
        <f>H196*D197</f>
        <v>134724.26767494483</v>
      </c>
      <c r="D197">
        <f>D196</f>
        <v>0.036735743942067273</v>
      </c>
      <c r="E197" t="s">
        <v>11</v>
      </c>
      <c r="F197" s="5">
        <v>44087</v>
      </c>
      <c r="H197">
        <f>H196+C197</f>
        <v>3802113.3884017956</v>
      </c>
    </row>
    <row r="198" spans="1:65" ht="19.5">
      <c r="C198">
        <f>H197*D198</f>
        <v>139673.46387503413</v>
      </c>
      <c r="D198">
        <f>D197</f>
        <v>0.036735743942067273</v>
      </c>
      <c r="E198" t="s">
        <v>12</v>
      </c>
      <c r="F198" s="5">
        <v>44088</v>
      </c>
      <c r="H198">
        <f>H197+C198</f>
        <v>3941786.85227683</v>
      </c>
    </row>
    <row r="199" spans="1:65" ht="19.5">
      <c r="C199">
        <f>H198*D199</f>
        <v>144804.47247944897</v>
      </c>
      <c r="D199">
        <f>D198</f>
        <v>0.036735743942067273</v>
      </c>
      <c r="E199" t="s">
        <v>13</v>
      </c>
      <c r="F199" s="5">
        <v>44089</v>
      </c>
      <c r="H199">
        <f>H198+C199</f>
        <v>4086591.3247562791</v>
      </c>
    </row>
    <row r="200" spans="1:65" ht="19.5">
      <c r="C200">
        <f>H199*D200</f>
        <v>150123.97250212016</v>
      </c>
      <c r="D200">
        <f>D199</f>
        <v>0.036735743942067273</v>
      </c>
      <c r="E200" t="s">
        <v>14</v>
      </c>
      <c r="F200" s="5">
        <v>44090</v>
      </c>
      <c r="H200">
        <f>H199+C200</f>
        <v>4236715.2972583994</v>
      </c>
    </row>
    <row r="201" spans="1:65" ht="19.5">
      <c r="C201">
        <f>H200*D201</f>
        <v>155638.888315524</v>
      </c>
      <c r="D201">
        <f>D200</f>
        <v>0.036735743942067273</v>
      </c>
      <c r="E201" t="s">
        <v>15</v>
      </c>
      <c r="F201" s="5">
        <v>44091</v>
      </c>
      <c r="H201">
        <f>H200+C201</f>
        <v>4392354.1855739234</v>
      </c>
    </row>
    <row r="202" spans="1:65" ht="19.5">
      <c r="C202">
        <f>H201*D202</f>
        <v>161356.3986641111</v>
      </c>
      <c r="D202">
        <f>D201</f>
        <v>0.036735743942067273</v>
      </c>
      <c r="E202" t="s">
        <v>16</v>
      </c>
      <c r="F202" s="5">
        <v>44092</v>
      </c>
      <c r="H202">
        <f>H201+C202</f>
        <v>4553710.5842380347</v>
      </c>
    </row>
    <row r="203" spans="1:65" ht="19.5">
      <c r="C203">
        <f>H202*D203</f>
        <v>167283.94600885001</v>
      </c>
      <c r="D203">
        <f>D202</f>
        <v>0.036735743942067273</v>
      </c>
      <c r="E203" t="s">
        <v>17</v>
      </c>
      <c r="F203" s="5">
        <v>44093</v>
      </c>
      <c r="H203">
        <f>H202+C203</f>
        <v>4720994.5302468846</v>
      </c>
    </row>
    <row r="204" spans="1:65" ht="19.5">
      <c r="C204">
        <f>H203*D204</f>
        <v>173429.24621504973</v>
      </c>
      <c r="D204">
        <f>D203</f>
        <v>0.036735743942067273</v>
      </c>
      <c r="E204" t="s">
        <v>11</v>
      </c>
      <c r="F204" s="5">
        <v>44094</v>
      </c>
      <c r="H204">
        <f>H203+C204</f>
        <v>4894423.7764619347</v>
      </c>
    </row>
    <row r="205" spans="1:65" ht="19.5">
      <c r="C205">
        <f>H204*D205</f>
        <v>179800.29859607155</v>
      </c>
      <c r="D205">
        <f>D204</f>
        <v>0.036735743942067273</v>
      </c>
      <c r="E205" t="s">
        <v>12</v>
      </c>
      <c r="F205" s="5">
        <v>44095</v>
      </c>
      <c r="H205">
        <f>H204+C205</f>
        <v>5074224.0750580058</v>
      </c>
    </row>
    <row r="206" spans="1:65" ht="19.5">
      <c r="C206">
        <f>H205*D206</f>
        <v>186405.39632600403</v>
      </c>
      <c r="D206">
        <f>D205</f>
        <v>0.036735743942067273</v>
      </c>
      <c r="E206" t="s">
        <v>13</v>
      </c>
      <c r="F206" s="5">
        <v>44096</v>
      </c>
      <c r="H206">
        <f>H205+C206</f>
        <v>5260629.4713840093</v>
      </c>
    </row>
    <row r="207" spans="1:65" ht="19.5">
      <c r="C207">
        <f>H206*D207</f>
        <v>193253.13723485568</v>
      </c>
      <c r="D207">
        <f>D206</f>
        <v>0.036735743942067273</v>
      </c>
      <c r="E207" t="s">
        <v>14</v>
      </c>
      <c r="F207" s="5">
        <v>44097</v>
      </c>
      <c r="H207">
        <f>H206+C207</f>
        <v>5453882.6086188648</v>
      </c>
    </row>
    <row r="208" spans="1:65" ht="19.5">
      <c r="C208">
        <f>H207*D208</f>
        <v>200352.43500031653</v>
      </c>
      <c r="D208">
        <f>D207</f>
        <v>0.036735743942067273</v>
      </c>
      <c r="E208" t="s">
        <v>15</v>
      </c>
      <c r="F208" s="5">
        <v>44098</v>
      </c>
      <c r="H208">
        <f>H207+C208</f>
        <v>5654235.043619181</v>
      </c>
    </row>
    <row r="209" spans="1:65" ht="19.5">
      <c r="C209">
        <f>H208*D209</f>
        <v>207712.53075065781</v>
      </c>
      <c r="D209">
        <f>D208</f>
        <v>0.036735743942067273</v>
      </c>
      <c r="E209" t="s">
        <v>16</v>
      </c>
      <c r="F209" s="5">
        <v>44099</v>
      </c>
      <c r="H209">
        <f>H208+C209</f>
        <v>5861947.5743698385</v>
      </c>
    </row>
    <row r="210" spans="1:65" ht="19.5">
      <c r="C210">
        <f>H209*D210</f>
        <v>215343.00509387275</v>
      </c>
      <c r="D210">
        <f>D209</f>
        <v>0.036735743942067273</v>
      </c>
      <c r="E210" t="s">
        <v>17</v>
      </c>
      <c r="F210" s="5">
        <v>44100</v>
      </c>
      <c r="H210">
        <f>H209+C210</f>
        <v>6077290.579463711</v>
      </c>
    </row>
    <row r="211" spans="1:65" ht="19.5">
      <c r="C211">
        <f>H210*D211</f>
        <v>223253.79058871654</v>
      </c>
      <c r="D211">
        <f>D210</f>
        <v>0.036735743942067273</v>
      </c>
      <c r="E211" t="s">
        <v>11</v>
      </c>
      <c r="F211" s="5">
        <v>44101</v>
      </c>
      <c r="H211">
        <f>H210+C211</f>
        <v>6300544.370052428</v>
      </c>
    </row>
    <row r="212" spans="1:65" ht="19.5">
      <c r="C212">
        <f>H211*D212</f>
        <v>231455.18467387953</v>
      </c>
      <c r="D212">
        <f>D211</f>
        <v>0.036735743942067273</v>
      </c>
      <c r="E212" t="s">
        <v>12</v>
      </c>
      <c r="F212" s="5">
        <v>44102</v>
      </c>
      <c r="H212">
        <f>H211+C212</f>
        <v>6531999.5547263073</v>
      </c>
    </row>
    <row r="213" spans="1:65" ht="19.5">
      <c r="C213">
        <f>H212*D213</f>
        <v>239957.86307212306</v>
      </c>
      <c r="D213">
        <f>D212</f>
        <v>0.036735743942067273</v>
      </c>
      <c r="E213" t="s">
        <v>13</v>
      </c>
      <c r="F213" s="5">
        <v>44103</v>
      </c>
      <c r="H213">
        <f>H212+C213</f>
        <v>6771957.4177984307</v>
      </c>
    </row>
    <row r="214" spans="1:65" ht="19.5">
      <c r="C214">
        <f>H213*D214</f>
        <v>248772.89368682622</v>
      </c>
      <c r="D214">
        <f>D213</f>
        <v>0.036735743942067273</v>
      </c>
      <c r="E214" t="s">
        <v>14</v>
      </c>
      <c r="F214" s="5">
        <v>44104</v>
      </c>
      <c r="H214">
        <f>H213+C214</f>
        <v>7020730.311485257</v>
      </c>
    </row>
    <row r="215" spans="1:65" ht="19.5">
      <c r="C215">
        <f>H214*D215</f>
        <v>257911.7510090326</v>
      </c>
      <c r="D215">
        <f>D214</f>
        <v>0.036735743942067273</v>
      </c>
      <c r="E215" t="s">
        <v>15</v>
      </c>
      <c r="F215" s="5">
        <v>44105</v>
      </c>
      <c r="H215">
        <f>H214+C215</f>
        <v>7278642.0624942891</v>
      </c>
    </row>
    <row r="216" spans="1:65" ht="19.5">
      <c r="C216">
        <f>H215*D216</f>
        <v>267386.33105375065</v>
      </c>
      <c r="D216">
        <f>D215</f>
        <v>0.036735743942067273</v>
      </c>
      <c r="E216" t="s">
        <v>16</v>
      </c>
      <c r="F216" s="5">
        <v>44106</v>
      </c>
      <c r="H216">
        <f>H215+C216</f>
        <v>7546028.3935480397</v>
      </c>
    </row>
    <row r="217" spans="1:65" ht="19.5">
      <c r="C217">
        <f>H216*D217</f>
        <v>277208.96684495005</v>
      </c>
      <c r="D217">
        <f>D216</f>
        <v>0.036735743942067273</v>
      </c>
      <c r="E217" t="s">
        <v>17</v>
      </c>
      <c r="F217" s="5">
        <v>44107</v>
      </c>
      <c r="H217">
        <f>H216+C217</f>
        <v>7823237.3603929896</v>
      </c>
    </row>
    <row r="218" spans="1:65" ht="19.5">
      <c r="C218">
        <f>H217*D218</f>
        <v>287392.4444694111</v>
      </c>
      <c r="D218">
        <f>D217</f>
        <v>0.036735743942067273</v>
      </c>
      <c r="E218" t="s">
        <v>11</v>
      </c>
      <c r="F218" s="5">
        <v>44108</v>
      </c>
      <c r="H218">
        <f>H217+C218</f>
        <v>8110629.8048624005</v>
      </c>
    </row>
    <row r="219" spans="1:65" ht="19.5">
      <c r="C219">
        <f>H218*D219</f>
        <v>297950.0197203242</v>
      </c>
      <c r="D219">
        <f>D218</f>
        <v>0.036735743942067273</v>
      </c>
      <c r="E219" t="s">
        <v>12</v>
      </c>
      <c r="F219" s="5">
        <v>44109</v>
      </c>
      <c r="H219">
        <f>H218+C219</f>
        <v>8408579.8245827239</v>
      </c>
    </row>
    <row r="220" spans="1:65" ht="19.5">
      <c r="C220">
        <f>H219*D220</f>
        <v>308895.4353523039</v>
      </c>
      <c r="D220">
        <f>D219</f>
        <v>0.036735743942067273</v>
      </c>
      <c r="E220" t="s">
        <v>13</v>
      </c>
      <c r="F220" s="5">
        <v>44110</v>
      </c>
      <c r="H220">
        <f>H219+C220</f>
        <v>8717475.259935027</v>
      </c>
    </row>
    <row r="221" spans="1:65" ht="19.5">
      <c r="C221">
        <f>H220*D221</f>
        <v>320242.93897027947</v>
      </c>
      <c r="D221">
        <f>D220</f>
        <v>0.036735743942067273</v>
      </c>
      <c r="E221" t="s">
        <v>14</v>
      </c>
      <c r="F221" s="5">
        <v>44111</v>
      </c>
      <c r="H221">
        <f>H220+C221</f>
        <v>9037718.1989053059</v>
      </c>
    </row>
    <row r="222" spans="1:65" ht="19.5">
      <c r="C222">
        <f>H221*D222</f>
        <v>332007.30157554673</v>
      </c>
      <c r="D222">
        <f>D221</f>
        <v>0.036735743942067273</v>
      </c>
      <c r="E222" t="s">
        <v>15</v>
      </c>
      <c r="F222" s="5">
        <v>44112</v>
      </c>
      <c r="H222">
        <f>H221+C222</f>
        <v>9369725.500480853</v>
      </c>
    </row>
    <row r="223" spans="1:65" ht="19.5">
      <c r="C223">
        <f>H222*D223</f>
        <v>344203.83679312275</v>
      </c>
      <c r="D223">
        <f>D222</f>
        <v>0.036735743942067273</v>
      </c>
      <c r="E223" t="s">
        <v>16</v>
      </c>
      <c r="F223" s="5">
        <v>44113</v>
      </c>
      <c r="H223">
        <f>H222+C223</f>
        <v>9713929.3372739758</v>
      </c>
    </row>
    <row r="224" spans="1:65" ht="19.5">
      <c r="C224">
        <f>H223*D224</f>
        <v>356848.42080543202</v>
      </c>
      <c r="D224">
        <f>D223</f>
        <v>0.036735743942067273</v>
      </c>
      <c r="E224" t="s">
        <v>17</v>
      </c>
      <c r="F224" s="5">
        <v>44114</v>
      </c>
      <c r="H224">
        <f>H223+C224</f>
        <v>10070777.758079408</v>
      </c>
    </row>
    <row r="225" spans="1:65" ht="19.5">
      <c r="C225">
        <f>H224*D225</f>
        <v>369957.51301827142</v>
      </c>
      <c r="D225">
        <f>D224</f>
        <v>0.036735743942067273</v>
      </c>
      <c r="E225" t="s">
        <v>11</v>
      </c>
      <c r="F225" s="5">
        <v>44115</v>
      </c>
      <c r="H225">
        <f>H224+C225</f>
        <v>10440735.271097679</v>
      </c>
    </row>
    <row r="226" spans="1:65" ht="19.5">
      <c r="C226">
        <f>H225*D226</f>
        <v>383548.17748595466</v>
      </c>
      <c r="D226">
        <f>D225</f>
        <v>0.036735743942067273</v>
      </c>
      <c r="E226" t="s">
        <v>12</v>
      </c>
      <c r="F226" s="5">
        <v>44116</v>
      </c>
      <c r="H226">
        <f>H225+C226</f>
        <v>10824283.448583633</v>
      </c>
    </row>
    <row r="227" spans="1:65" ht="19.5">
      <c r="C227">
        <f>H226*D227</f>
        <v>397638.10512352525</v>
      </c>
      <c r="D227">
        <f>D226</f>
        <v>0.036735743942067273</v>
      </c>
      <c r="E227" t="s">
        <v>13</v>
      </c>
      <c r="F227" s="5">
        <v>44117</v>
      </c>
      <c r="H227">
        <f>H226+C227</f>
        <v>11221921.553707158</v>
      </c>
    </row>
    <row r="228" spans="1:65" ht="19.5">
      <c r="C228">
        <f>H227*D228</f>
        <v>412245.63673495187</v>
      </c>
      <c r="D228">
        <f>D227</f>
        <v>0.036735743942067273</v>
      </c>
      <c r="E228" t="s">
        <v>14</v>
      </c>
      <c r="F228" s="5">
        <v>44118</v>
      </c>
      <c r="H228">
        <f>H227+C228</f>
        <v>11634167.190442109</v>
      </c>
    </row>
    <row r="229" spans="1:65" ht="19.5">
      <c r="C229">
        <f>H228*D229</f>
        <v>427389.78688728152</v>
      </c>
      <c r="D229">
        <f>D228</f>
        <v>0.036735743942067273</v>
      </c>
      <c r="E229" t="s">
        <v>15</v>
      </c>
      <c r="F229" s="5">
        <v>44119</v>
      </c>
      <c r="H229">
        <f>H228+C229</f>
        <v>12061556.97732939</v>
      </c>
    </row>
    <row r="230" spans="1:65" ht="19.5">
      <c r="C230">
        <f>H229*D230</f>
        <v>443090.26866182737</v>
      </c>
      <c r="D230">
        <f>D229</f>
        <v>0.036735743942067273</v>
      </c>
      <c r="E230" t="s">
        <v>16</v>
      </c>
      <c r="F230" s="5">
        <v>44120</v>
      </c>
      <c r="H230">
        <f>H229+C230</f>
        <v>12504647.245991217</v>
      </c>
    </row>
    <row r="231" spans="1:65" ht="19.5">
      <c r="C231">
        <f>H230*D231</f>
        <v>459367.51931461005</v>
      </c>
      <c r="D231">
        <f>D230</f>
        <v>0.036735743942067273</v>
      </c>
      <c r="E231" t="s">
        <v>17</v>
      </c>
      <c r="F231" s="5">
        <v>44121</v>
      </c>
      <c r="H231">
        <f>H230+C231</f>
        <v>12964014.765305826</v>
      </c>
    </row>
    <row r="232" spans="1:65" ht="19.5">
      <c r="C232">
        <f>H231*D232</f>
        <v>476242.72687945422</v>
      </c>
      <c r="D232">
        <f>D231</f>
        <v>0.036735743942067273</v>
      </c>
      <c r="E232" t="s">
        <v>11</v>
      </c>
      <c r="F232" s="5">
        <v>44122</v>
      </c>
      <c r="H232">
        <f>H231+C232</f>
        <v>13440257.49218528</v>
      </c>
    </row>
    <row r="233" spans="1:65" ht="19.5">
      <c r="C233">
        <f>H232*D233</f>
        <v>493737.85774836969</v>
      </c>
      <c r="D233">
        <f>D232</f>
        <v>0.036735743942067273</v>
      </c>
      <c r="E233" t="s">
        <v>12</v>
      </c>
      <c r="F233" s="5">
        <v>44123</v>
      </c>
      <c r="H233">
        <f>H232+C233</f>
        <v>13933995.34993365</v>
      </c>
    </row>
    <row r="234" spans="1:65" ht="19.5">
      <c r="C234">
        <f>H233*D234</f>
        <v>511875.68526511866</v>
      </c>
      <c r="D234">
        <f>D233</f>
        <v>0.036735743942067273</v>
      </c>
      <c r="E234" t="s">
        <v>13</v>
      </c>
      <c r="F234" s="5">
        <v>44124</v>
      </c>
      <c r="H234">
        <f>H233+C234</f>
        <v>14445871.035198769</v>
      </c>
    </row>
    <row r="235" spans="1:65" ht="19.5">
      <c r="C235">
        <f>H234*D235</f>
        <v>530679.81936918828</v>
      </c>
      <c r="D235">
        <f>D234</f>
        <v>0.036735743942067273</v>
      </c>
      <c r="E235" t="s">
        <v>14</v>
      </c>
      <c r="F235" s="5">
        <v>44125</v>
      </c>
      <c r="H235">
        <f>H234+C235</f>
        <v>14976550.854567956</v>
      </c>
    </row>
    <row r="236" spans="1:65" ht="19.5">
      <c r="C236">
        <f>H235*D236</f>
        <v>550174.73732875718</v>
      </c>
      <c r="D236">
        <f>D235</f>
        <v>0.036735743942067273</v>
      </c>
      <c r="E236" t="s">
        <v>15</v>
      </c>
      <c r="F236" s="5">
        <v>44126</v>
      </c>
      <c r="H236">
        <f>H235+C236</f>
        <v>15526725.591896713</v>
      </c>
    </row>
    <row r="237" spans="1:65" ht="19.5">
      <c r="C237">
        <f>H236*D237</f>
        <v>570385.81560266053</v>
      </c>
      <c r="D237">
        <f>D236</f>
        <v>0.036735743942067273</v>
      </c>
      <c r="E237" t="s">
        <v>16</v>
      </c>
      <c r="F237" s="5">
        <v>44127</v>
      </c>
      <c r="H237">
        <f>H236+C237</f>
        <v>16097111.407499373</v>
      </c>
    </row>
    <row r="238" spans="1:65" ht="19.5">
      <c r="C238">
        <f>H237*D238</f>
        <v>591339.3628728271</v>
      </c>
      <c r="D238">
        <f>D237</f>
        <v>0.036735743942067273</v>
      </c>
      <c r="E238" t="s">
        <v>17</v>
      </c>
      <c r="F238" s="5">
        <v>44128</v>
      </c>
      <c r="H238">
        <f>H237+C238</f>
        <v>16688450.770372201</v>
      </c>
    </row>
    <row r="239" spans="1:65" ht="19.5">
      <c r="C239">
        <f>H238*D239</f>
        <v>613062.65429018845</v>
      </c>
      <c r="D239">
        <f>D238</f>
        <v>0.036735743942067273</v>
      </c>
      <c r="E239" t="s">
        <v>11</v>
      </c>
      <c r="F239" s="5">
        <v>44129</v>
      </c>
      <c r="H239">
        <f>H238+C239</f>
        <v>17301513.424662389</v>
      </c>
    </row>
    <row r="240" spans="1:65" ht="19.5">
      <c r="C240">
        <f>H239*D240</f>
        <v>635583.96697863692</v>
      </c>
      <c r="D240">
        <f>D239</f>
        <v>0.036735743942067273</v>
      </c>
      <c r="E240" t="s">
        <v>12</v>
      </c>
      <c r="F240" s="5">
        <v>44130</v>
      </c>
      <c r="H240">
        <f>H239+C240</f>
        <v>17937097.391641025</v>
      </c>
    </row>
    <row r="241" spans="1:65" ht="19.5">
      <c r="C241">
        <f>H240*D241</f>
        <v>658932.61684324744</v>
      </c>
      <c r="D241">
        <f>D240</f>
        <v>0.036735743942067273</v>
      </c>
      <c r="E241" t="s">
        <v>13</v>
      </c>
      <c r="F241" s="5">
        <v>44131</v>
      </c>
      <c r="H241">
        <f>H240+C241</f>
        <v>18596030.00848427</v>
      </c>
    </row>
    <row r="242" spans="1:65" ht="19.5">
      <c r="C242">
        <f>H241*D242</f>
        <v>683138.9967306772</v>
      </c>
      <c r="D242">
        <f>D241</f>
        <v>0.036735743942067273</v>
      </c>
      <c r="E242" t="s">
        <v>14</v>
      </c>
      <c r="F242" s="5">
        <v>44132</v>
      </c>
      <c r="H242">
        <f>H241+C242</f>
        <v>19279169.005214948</v>
      </c>
    </row>
    <row r="243" spans="1:65" ht="19.5">
      <c r="C243">
        <f>H242*D243</f>
        <v>708234.61599141615</v>
      </c>
      <c r="D243">
        <f>D242</f>
        <v>0.036735743942067273</v>
      </c>
      <c r="E243" t="s">
        <v>15</v>
      </c>
      <c r="F243" s="5">
        <v>44133</v>
      </c>
      <c r="H243">
        <f>H242+C243</f>
        <v>19987403.621206366</v>
      </c>
    </row>
    <row r="244" spans="1:65" ht="19.5">
      <c r="C244">
        <f>H243*D244</f>
        <v>734252.14149538521</v>
      </c>
      <c r="D244">
        <f>D243</f>
        <v>0.036735743942067273</v>
      </c>
      <c r="E244" t="s">
        <v>16</v>
      </c>
      <c r="F244" s="5">
        <v>44134</v>
      </c>
      <c r="H244">
        <f>H243+C244</f>
        <v>20721655.76270175</v>
      </c>
    </row>
    <row r="245" spans="1:65" ht="19.5">
      <c r="C245">
        <f>H244*D245</f>
        <v>761225.44015427423</v>
      </c>
      <c r="D245">
        <f>D244</f>
        <v>0.036735743942067273</v>
      </c>
      <c r="E245" t="s">
        <v>17</v>
      </c>
      <c r="F245" s="5">
        <v>44135</v>
      </c>
      <c r="H245">
        <f>H244+C245</f>
        <v>21482881.202856023</v>
      </c>
    </row>
    <row r="246" spans="1:65" ht="19.5">
      <c r="C246">
        <f>H245*D246</f>
        <v>789189.62300596898</v>
      </c>
      <c r="D246">
        <f>D245</f>
        <v>0.036735743942067273</v>
      </c>
      <c r="E246" t="s">
        <v>11</v>
      </c>
      <c r="F246" s="5">
        <v>44136</v>
      </c>
      <c r="H246">
        <f>H245+C246</f>
        <v>22272070.82586199</v>
      </c>
    </row>
    <row r="247" spans="1:65" ht="19.5">
      <c r="C247">
        <f>H246*D247</f>
        <v>818181.09091845283</v>
      </c>
      <c r="D247">
        <f>D246</f>
        <v>0.036735743942067273</v>
      </c>
      <c r="E247" t="s">
        <v>12</v>
      </c>
      <c r="F247" s="5">
        <v>44137</v>
      </c>
      <c r="H247">
        <f>H246+C247</f>
        <v>23090251.916780442</v>
      </c>
    </row>
    <row r="248" spans="1:65" ht="19.5">
      <c r="C248">
        <f>H247*D248</f>
        <v>848237.58197267435</v>
      </c>
      <c r="D248">
        <f>D247</f>
        <v>0.036735743942067273</v>
      </c>
      <c r="E248" t="s">
        <v>13</v>
      </c>
      <c r="F248" s="5">
        <v>44138</v>
      </c>
      <c r="H248">
        <f>H247+C248</f>
        <v>23938489.498753116</v>
      </c>
    </row>
    <row r="249" spans="1:65" ht="19.5">
      <c r="C249">
        <f>H248*D249</f>
        <v>879398.22058606078</v>
      </c>
      <c r="D249">
        <f>D248</f>
        <v>0.036735743942067273</v>
      </c>
      <c r="E249" t="s">
        <v>14</v>
      </c>
      <c r="F249" s="5">
        <v>44139</v>
      </c>
      <c r="H249">
        <f>H248+C249</f>
        <v>24817887.719339177</v>
      </c>
    </row>
    <row r="250" spans="1:65" ht="19.5">
      <c r="C250">
        <f>H249*D250</f>
        <v>911703.56844061997</v>
      </c>
      <c r="D250">
        <f>D249</f>
        <v>0.036735743942067273</v>
      </c>
      <c r="E250" t="s">
        <v>15</v>
      </c>
      <c r="F250" s="5">
        <v>44140</v>
      </c>
      <c r="H250">
        <f>H249+C250</f>
        <v>25729591.287779797</v>
      </c>
    </row>
    <row r="251" spans="1:65" ht="19.5">
      <c r="C251">
        <f>H250*D251</f>
        <v>945195.67728192359</v>
      </c>
      <c r="D251">
        <f>D250</f>
        <v>0.036735743942067273</v>
      </c>
      <c r="E251" t="s">
        <v>16</v>
      </c>
      <c r="F251" s="5">
        <v>44141</v>
      </c>
      <c r="H251">
        <f>H250+C251</f>
        <v>26674786.96506172</v>
      </c>
    </row>
    <row r="252" spans="1:65" ht="19.5">
      <c r="C252">
        <f>H251*D252</f>
        <v>979918.14365770109</v>
      </c>
      <c r="D252">
        <f>D251</f>
        <v>0.036735743942067273</v>
      </c>
      <c r="E252" t="s">
        <v>17</v>
      </c>
      <c r="F252" s="5">
        <v>44142</v>
      </c>
      <c r="H252">
        <f>H251+C252</f>
        <v>27654705.108719423</v>
      </c>
    </row>
    <row r="253" spans="1:65" ht="19.5">
      <c r="C253">
        <f>H252*D253</f>
        <v>1015916.1656672964</v>
      </c>
      <c r="D253">
        <f>D252</f>
        <v>0.036735743942067273</v>
      </c>
      <c r="E253" t="s">
        <v>11</v>
      </c>
      <c r="F253" s="5">
        <v>44143</v>
      </c>
      <c r="H253">
        <f>H252+C253</f>
        <v>28670621.274386719</v>
      </c>
    </row>
    <row r="254" spans="1:65" ht="19.5">
      <c r="C254">
        <f>H253*D254</f>
        <v>1053236.6017958571</v>
      </c>
      <c r="D254">
        <f>D253</f>
        <v>0.036735743942067273</v>
      </c>
      <c r="E254" t="s">
        <v>12</v>
      </c>
      <c r="F254" s="5">
        <v>44144</v>
      </c>
      <c r="H254">
        <f>H253+C254</f>
        <v>29723857.876182575</v>
      </c>
    </row>
    <row r="255" spans="1:65" ht="19.5">
      <c r="C255">
        <f>H254*D255</f>
        <v>1091928.0319098425</v>
      </c>
      <c r="D255">
        <f>D254</f>
        <v>0.036735743942067273</v>
      </c>
      <c r="E255" t="s">
        <v>13</v>
      </c>
      <c r="F255" s="5">
        <v>44145</v>
      </c>
      <c r="H255">
        <f>H254+C255</f>
        <v>30815785.908092417</v>
      </c>
    </row>
    <row r="256" spans="1:65" ht="19.5">
      <c r="C256">
        <f>H255*D256</f>
        <v>1132040.8204932481</v>
      </c>
      <c r="D256">
        <f>D255</f>
        <v>0.036735743942067273</v>
      </c>
      <c r="E256" t="s">
        <v>14</v>
      </c>
      <c r="F256" s="5">
        <v>44146</v>
      </c>
      <c r="H256">
        <f>H255+C256</f>
        <v>31947826.728585664</v>
      </c>
    </row>
    <row r="257" spans="1:65" ht="19.5">
      <c r="C257">
        <f>H256*D257</f>
        <v>1173627.1822068556</v>
      </c>
      <c r="D257">
        <f>D256</f>
        <v>0.036735743942067273</v>
      </c>
      <c r="E257" t="s">
        <v>15</v>
      </c>
      <c r="F257" s="5">
        <v>44147</v>
      </c>
      <c r="H257">
        <f>H256+C257</f>
        <v>33121453.910792518</v>
      </c>
    </row>
    <row r="258" spans="1:65" ht="19.5">
      <c r="C258">
        <f>H257*D258</f>
        <v>1216741.2498558566</v>
      </c>
      <c r="D258">
        <f>D257</f>
        <v>0.036735743942067273</v>
      </c>
      <c r="E258" t="s">
        <v>16</v>
      </c>
      <c r="F258" s="5">
        <v>44148</v>
      </c>
      <c r="H258">
        <f>H257+C258</f>
        <v>34338195.160648376</v>
      </c>
    </row>
    <row r="259" spans="1:65" ht="19.5">
      <c r="C259">
        <f>H258*D259</f>
        <v>1261439.1448543123</v>
      </c>
      <c r="D259">
        <f>D258</f>
        <v>0.036735743942067273</v>
      </c>
      <c r="E259" t="s">
        <v>17</v>
      </c>
      <c r="F259" s="5">
        <v>44149</v>
      </c>
      <c r="H259">
        <f>H258+C259</f>
        <v>35599634.30550269</v>
      </c>
    </row>
    <row r="260" spans="1:65" ht="19.5">
      <c r="C260">
        <f>H259*D260</f>
        <v>1307779.0502781807</v>
      </c>
      <c r="D260">
        <f>D259</f>
        <v>0.036735743942067273</v>
      </c>
      <c r="E260" t="s">
        <v>11</v>
      </c>
      <c r="F260" s="5">
        <v>44150</v>
      </c>
      <c r="H260">
        <f>H259+C260</f>
        <v>36907413.35578087</v>
      </c>
    </row>
    <row r="261" spans="1:65" ht="19.5">
      <c r="C261">
        <f>H260*D261</f>
        <v>1355821.2866019998</v>
      </c>
      <c r="D261">
        <f>D260</f>
        <v>0.036735743942067273</v>
      </c>
      <c r="E261" t="s">
        <v>12</v>
      </c>
      <c r="F261" s="5">
        <v>44151</v>
      </c>
      <c r="H261">
        <f>H260+C261</f>
        <v>38263234.642382868</v>
      </c>
    </row>
    <row r="262" spans="1:65" ht="19.5">
      <c r="C262">
        <f>H261*D262</f>
        <v>1405628.3902178151</v>
      </c>
      <c r="D262">
        <f>D261</f>
        <v>0.036735743942067273</v>
      </c>
      <c r="E262" t="s">
        <v>13</v>
      </c>
      <c r="F262" s="5">
        <v>44152</v>
      </c>
      <c r="H262">
        <f>H261+C262</f>
        <v>39668863.032600686</v>
      </c>
    </row>
    <row r="263" spans="1:65" ht="19.5">
      <c r="C263">
        <f>H262*D263</f>
        <v>1457265.1948385569</v>
      </c>
      <c r="D263">
        <f>D262</f>
        <v>0.036735743942067273</v>
      </c>
      <c r="E263" t="s">
        <v>14</v>
      </c>
      <c r="F263" s="5">
        <v>44153</v>
      </c>
      <c r="H263">
        <f>H262+C263</f>
        <v>41126128.22743924</v>
      </c>
    </row>
    <row r="264" spans="1:65" ht="19.5">
      <c r="C264">
        <f>H263*D264</f>
        <v>1510798.9158918329</v>
      </c>
      <c r="D264">
        <f>D263</f>
        <v>0.036735743942067273</v>
      </c>
      <c r="E264" t="s">
        <v>15</v>
      </c>
      <c r="F264" s="5">
        <v>44154</v>
      </c>
      <c r="H264">
        <f>H263+C264</f>
        <v>42636927.143331073</v>
      </c>
    </row>
    <row r="265" spans="1:65" ht="19.5">
      <c r="C265">
        <f>H264*D265</f>
        <v>1566299.2380139881</v>
      </c>
      <c r="D265">
        <f>D264</f>
        <v>0.036735743942067273</v>
      </c>
      <c r="E265" t="s">
        <v>16</v>
      </c>
      <c r="F265" s="5">
        <v>44155</v>
      </c>
      <c r="H265">
        <f>H264+C265</f>
        <v>44203226.381345063</v>
      </c>
    </row>
    <row r="266" spans="1:65" ht="19.5">
      <c r="C266">
        <f>H265*D266</f>
        <v>1623838.4057583252</v>
      </c>
      <c r="D266">
        <f>D265</f>
        <v>0.036735743942067273</v>
      </c>
      <c r="E266" t="s">
        <v>17</v>
      </c>
      <c r="F266" s="5">
        <v>44156</v>
      </c>
      <c r="H266">
        <f>H265+C266</f>
        <v>45827064.787103392</v>
      </c>
    </row>
    <row r="267" spans="1:65" ht="19.5">
      <c r="C267">
        <f>H266*D267</f>
        <v>1683491.3176355578</v>
      </c>
      <c r="D267">
        <f>D266</f>
        <v>0.036735743942067273</v>
      </c>
      <c r="E267" t="s">
        <v>11</v>
      </c>
      <c r="F267" s="5">
        <v>44157</v>
      </c>
      <c r="H267">
        <f>H266+C267</f>
        <v>47510556.104738951</v>
      </c>
    </row>
    <row r="268" spans="1:65" ht="19.5">
      <c r="C268">
        <f>H267*D268</f>
        <v>1745335.6236089112</v>
      </c>
      <c r="D268">
        <f>D267</f>
        <v>0.036735743942067273</v>
      </c>
      <c r="E268" t="s">
        <v>12</v>
      </c>
      <c r="F268" s="5">
        <v>44158</v>
      </c>
      <c r="H268">
        <f>H267+C268</f>
        <v>49255891.72834786</v>
      </c>
    </row>
    <row r="269" spans="1:65" ht="19.5">
      <c r="C269">
        <f>H268*D269</f>
        <v>1809451.8261707765</v>
      </c>
      <c r="D269">
        <f>D268</f>
        <v>0.036735743942067273</v>
      </c>
      <c r="E269" t="s">
        <v>13</v>
      </c>
      <c r="F269" s="5">
        <v>44159</v>
      </c>
      <c r="H269">
        <f>H268+C269</f>
        <v>51065343.55451864</v>
      </c>
    </row>
    <row r="270" spans="1:65" ht="19.5">
      <c r="C270">
        <f>H269*D270</f>
        <v>1875923.3851324923</v>
      </c>
      <c r="D270">
        <f>D269</f>
        <v>0.036735743942067273</v>
      </c>
      <c r="E270" t="s">
        <v>14</v>
      </c>
      <c r="F270" s="5">
        <v>44160</v>
      </c>
      <c r="H270">
        <f>H269+C270</f>
        <v>52941266.939651132</v>
      </c>
    </row>
    <row r="271" spans="1:65" ht="19.5">
      <c r="C271">
        <f>H270*D271</f>
        <v>1944836.8262636554</v>
      </c>
      <c r="D271">
        <f>D270</f>
        <v>0.036735743942067273</v>
      </c>
      <c r="E271" t="s">
        <v>15</v>
      </c>
      <c r="F271" s="5">
        <v>44161</v>
      </c>
      <c r="H271">
        <f>H270+C271</f>
        <v>54886103.76591479</v>
      </c>
    </row>
    <row r="272" spans="1:65" ht="19.5">
      <c r="C272">
        <f>H271*D272</f>
        <v>2016281.8539223799</v>
      </c>
      <c r="D272">
        <f>D271</f>
        <v>0.036735743942067273</v>
      </c>
      <c r="E272" t="s">
        <v>16</v>
      </c>
      <c r="F272" s="5">
        <v>44162</v>
      </c>
      <c r="H272">
        <f>H271+C272</f>
        <v>56902385.619837172</v>
      </c>
    </row>
    <row r="273" spans="1:65" ht="19.5">
      <c r="C273">
        <f>H272*D273</f>
        <v>2090351.4678231094</v>
      </c>
      <c r="D273">
        <f>D272</f>
        <v>0.036735743942067273</v>
      </c>
      <c r="E273" t="s">
        <v>17</v>
      </c>
      <c r="F273" s="5">
        <v>44163</v>
      </c>
      <c r="H273">
        <f>H272+C273</f>
        <v>58992737.087660283</v>
      </c>
    </row>
    <row r="274" spans="1:65" ht="19.5">
      <c r="C274">
        <f>H273*D274</f>
        <v>2167142.0840939838</v>
      </c>
      <c r="D274">
        <f>D273</f>
        <v>0.036735743942067273</v>
      </c>
      <c r="E274" t="s">
        <v>11</v>
      </c>
      <c r="F274" s="5">
        <v>44164</v>
      </c>
      <c r="H274">
        <f>H273+C274</f>
        <v>61159879.171754263</v>
      </c>
    </row>
    <row r="275" spans="1:65" ht="19.5">
      <c r="C275">
        <f>H274*D275</f>
        <v>2246753.6607813379</v>
      </c>
      <c r="D275">
        <f>D274</f>
        <v>0.036735743942067273</v>
      </c>
      <c r="E275" t="s">
        <v>12</v>
      </c>
      <c r="F275" s="5">
        <v>44165</v>
      </c>
      <c r="H275">
        <f>H274+C275</f>
        <v>63406632.832535602</v>
      </c>
    </row>
    <row r="276" spans="1:65" ht="19.5">
      <c r="C276">
        <f>H275*D276</f>
        <v>2329289.8279647036</v>
      </c>
      <c r="D276">
        <f>D275</f>
        <v>0.036735743942067273</v>
      </c>
      <c r="E276" t="s">
        <v>13</v>
      </c>
      <c r="F276" s="5">
        <v>44166</v>
      </c>
      <c r="H276">
        <f>H275+C276</f>
        <v>65735922.660500303</v>
      </c>
    </row>
    <row r="277" spans="1:65" ht="19.5">
      <c r="E277" t="s">
        <v>14</v>
      </c>
      <c r="F277" s="5">
        <v>44167</v>
      </c>
    </row>
    <row r="278" spans="1:65" ht="19.5">
      <c r="E278" t="s">
        <v>15</v>
      </c>
      <c r="F278" s="5">
        <v>44168</v>
      </c>
    </row>
    <row r="279" spans="1:65" ht="19.5">
      <c r="E279" t="s">
        <v>16</v>
      </c>
      <c r="F279" s="5">
        <v>44169</v>
      </c>
    </row>
    <row r="280" spans="1:65" ht="19.5">
      <c r="E280" t="s">
        <v>17</v>
      </c>
      <c r="F280" s="5">
        <v>44170</v>
      </c>
    </row>
    <row r="281" spans="1:65" ht="19.5">
      <c r="E281" t="s">
        <v>11</v>
      </c>
      <c r="F281" s="5">
        <v>44171</v>
      </c>
    </row>
    <row r="282" spans="1:65" ht="19.5">
      <c r="E282" t="s">
        <v>12</v>
      </c>
      <c r="F282" s="5">
        <v>44172</v>
      </c>
    </row>
    <row r="283" spans="1:65" ht="19.5">
      <c r="E283" t="s">
        <v>13</v>
      </c>
      <c r="F283" s="5">
        <v>44173</v>
      </c>
    </row>
    <row r="284" spans="1:65" ht="19.5">
      <c r="E284" t="s">
        <v>14</v>
      </c>
      <c r="F284" s="5">
        <v>44174</v>
      </c>
    </row>
    <row r="285" spans="1:65" ht="19.5">
      <c r="E285" t="s">
        <v>15</v>
      </c>
      <c r="F285" s="5">
        <v>44175</v>
      </c>
    </row>
    <row r="286" spans="1:65" ht="19.5">
      <c r="E286" t="s">
        <v>16</v>
      </c>
      <c r="F286" s="5">
        <v>44176</v>
      </c>
    </row>
    <row r="287" spans="1:65" ht="19.5">
      <c r="E287" t="s">
        <v>17</v>
      </c>
      <c r="F287" s="5">
        <v>44177</v>
      </c>
    </row>
    <row r="288" spans="1:65" ht="19.5">
      <c r="E288" t="s">
        <v>11</v>
      </c>
      <c r="F288" s="5">
        <v>44178</v>
      </c>
    </row>
    <row r="289" spans="1:65" ht="19.5">
      <c r="E289" t="s">
        <v>12</v>
      </c>
      <c r="F289" s="5">
        <v>44179</v>
      </c>
    </row>
    <row r="290" spans="1:65" ht="19.5">
      <c r="E290" t="s">
        <v>13</v>
      </c>
      <c r="F290" s="5">
        <v>44180</v>
      </c>
    </row>
    <row r="291" spans="1:65" ht="19.5">
      <c r="E291" t="s">
        <v>14</v>
      </c>
      <c r="F291" s="5">
        <v>44181</v>
      </c>
    </row>
    <row r="292" spans="1:65" ht="19.5">
      <c r="E292" t="s">
        <v>15</v>
      </c>
      <c r="F292" s="5">
        <v>44182</v>
      </c>
    </row>
    <row r="293" spans="1:65" ht="19.5">
      <c r="E293" t="s">
        <v>16</v>
      </c>
      <c r="F293" s="5">
        <v>44183</v>
      </c>
    </row>
    <row r="294" spans="1:65" ht="19.5">
      <c r="E294" t="s">
        <v>17</v>
      </c>
      <c r="F294" s="5">
        <v>44184</v>
      </c>
    </row>
    <row r="295" spans="1:65" ht="19.5">
      <c r="E295" t="s">
        <v>11</v>
      </c>
      <c r="F295" s="5">
        <v>44185</v>
      </c>
    </row>
    <row r="296" spans="1:65" ht="19.5">
      <c r="E296" t="s">
        <v>12</v>
      </c>
      <c r="F296" s="5">
        <v>44186</v>
      </c>
    </row>
    <row r="297" spans="1:65" ht="19.5">
      <c r="E297" t="s">
        <v>13</v>
      </c>
      <c r="F297" s="5">
        <v>44187</v>
      </c>
    </row>
    <row r="298" spans="1:65" ht="19.5">
      <c r="E298" t="s">
        <v>14</v>
      </c>
      <c r="F298" s="5">
        <v>44188</v>
      </c>
    </row>
    <row r="299" spans="1:65" ht="19.5">
      <c r="E299" t="s">
        <v>15</v>
      </c>
      <c r="F299" s="5">
        <v>44189</v>
      </c>
    </row>
    <row r="300" spans="1:65" ht="19.5">
      <c r="E300" t="s">
        <v>16</v>
      </c>
      <c r="F300" s="5">
        <v>44190</v>
      </c>
    </row>
    <row r="301" spans="1:65" ht="19.5">
      <c r="E301" t="s">
        <v>17</v>
      </c>
      <c r="F301" s="5">
        <v>44191</v>
      </c>
    </row>
    <row r="302" spans="1:65" ht="19.5">
      <c r="E302" t="s">
        <v>11</v>
      </c>
      <c r="F302" s="5">
        <v>44192</v>
      </c>
    </row>
    <row r="303" spans="1:65" ht="19.5">
      <c r="E303" t="s">
        <v>12</v>
      </c>
      <c r="F303" s="5">
        <v>44193</v>
      </c>
    </row>
    <row r="304" spans="1:65" ht="19.5">
      <c r="E304" t="s">
        <v>13</v>
      </c>
      <c r="F304" s="5">
        <v>44194</v>
      </c>
    </row>
    <row r="305" spans="1:65" ht="19.5">
      <c r="E305" t="s">
        <v>14</v>
      </c>
      <c r="F305" s="5">
        <v>44195</v>
      </c>
    </row>
    <row r="306" spans="1:65" ht="19.5">
      <c r="E306" t="s">
        <v>15</v>
      </c>
      <c r="F306" s="5">
        <v>44196</v>
      </c>
    </row>
    <row r="307" spans="1:65" ht="19.5">
      <c r="E307" t="s">
        <v>16</v>
      </c>
      <c r="F307" s="5">
        <v>44197</v>
      </c>
      <c r="H307" s="1" t="inlineStr">
        <is>
          <t>For the year 2021:</t>
        </is>
      </c>
    </row>
    <row r="308" spans="1:65" ht="19.5">
      <c r="E308" t="s">
        <v>17</v>
      </c>
      <c r="F308" s="5">
        <v>44198</v>
      </c>
      <c r="H308" s="1"/>
    </row>
    <row r="309" spans="1:65" ht="19.5">
      <c r="E309" t="s">
        <v>11</v>
      </c>
      <c r="F309" s="5">
        <v>44199</v>
      </c>
      <c r="H309" s="1" t="inlineStr">
        <is>
          <t>Use SUNDAY 1/3, 2/28, 3/7, 4/4, 5/9, 6/6, 7/11, 8/8, 9/5, 10/10, 11/7 and 12/12</t>
        </is>
      </c>
    </row>
    <row r="310" spans="1:65" ht="19.5">
      <c r="E310" t="s">
        <v>12</v>
      </c>
      <c r="F310" s="5">
        <v>44200</v>
      </c>
    </row>
    <row r="311" spans="1:65" ht="19.5">
      <c r="E311" t="s">
        <v>13</v>
      </c>
      <c r="F311" s="5">
        <v>44201</v>
      </c>
    </row>
    <row r="312" spans="1:65" ht="19.5">
      <c r="E312" t="s">
        <v>14</v>
      </c>
      <c r="F312" s="5">
        <v>44202</v>
      </c>
    </row>
    <row r="313" spans="1:65" ht="19.5">
      <c r="E313" t="s">
        <v>15</v>
      </c>
      <c r="F313" t="inlineStr">
        <is>
          <t>7 jan 2021 - WEEK ONE</t>
        </is>
      </c>
      <c r="H313" t="inlineStr">
        <is>
          <t>ISO Week ONE always contains the first Thursday of that year.</t>
        </is>
      </c>
    </row>
    <row r="314" spans="1:65" ht="19.5">
      <c r="E314" t="s">
        <v>16</v>
      </c>
      <c r="F314" s="5">
        <v>44204</v>
      </c>
    </row>
    <row r="315" spans="1:65" ht="19.5">
      <c r="E315" t="s">
        <v>17</v>
      </c>
      <c r="F315" s="5">
        <v>44205</v>
      </c>
    </row>
    <row r="316" spans="1:65" ht="19.5">
      <c r="E316" t="s">
        <v>11</v>
      </c>
      <c r="F316" s="5">
        <v>44206</v>
      </c>
    </row>
    <row r="317" spans="1:65" ht="19.5">
      <c r="E317" t="s">
        <v>12</v>
      </c>
      <c r="F317" s="5">
        <v>44207</v>
      </c>
    </row>
    <row r="318" spans="1:65" ht="19.5">
      <c r="E318" t="s">
        <v>13</v>
      </c>
      <c r="F318" s="5">
        <v>44208</v>
      </c>
    </row>
    <row r="319" spans="1:65" ht="19.5">
      <c r="E319" t="s">
        <v>14</v>
      </c>
      <c r="F319" s="5">
        <v>44209</v>
      </c>
    </row>
    <row r="320" spans="1:65" ht="19.5">
      <c r="E320" t="s">
        <v>15</v>
      </c>
      <c r="F320" s="5">
        <v>44210</v>
      </c>
    </row>
    <row r="321" spans="1:65" ht="19.5">
      <c r="E321" t="s">
        <v>16</v>
      </c>
      <c r="F321">
        <v>15</v>
      </c>
    </row>
    <row r="322" spans="1:65" ht="19.5">
      <c r="E322" t="s">
        <v>17</v>
      </c>
      <c r="F322">
        <v>16</v>
      </c>
    </row>
    <row r="323" spans="1:65" ht="19.5">
      <c r="E323" t="s">
        <v>11</v>
      </c>
      <c r="F323">
        <v>17</v>
      </c>
    </row>
    <row r="324" spans="1:65" ht="19.5">
      <c r="E324" t="s">
        <v>12</v>
      </c>
      <c r="F324">
        <v>18</v>
      </c>
    </row>
    <row r="325" spans="1:65" ht="19.5">
      <c r="E325" t="s">
        <v>13</v>
      </c>
      <c r="F325">
        <v>19</v>
      </c>
    </row>
    <row r="326" spans="1:65" ht="19.5">
      <c r="E326" t="s">
        <v>14</v>
      </c>
      <c r="F326">
        <v>20</v>
      </c>
    </row>
    <row r="327" spans="1:65" ht="19.5">
      <c r="E327" t="s">
        <v>15</v>
      </c>
      <c r="F327" s="5">
        <v>44217</v>
      </c>
    </row>
    <row r="328" spans="1:65" ht="19.5">
      <c r="E328" t="s">
        <v>16</v>
      </c>
      <c r="F328">
        <v>22</v>
      </c>
    </row>
    <row r="329" spans="1:65" ht="19.5">
      <c r="E329" t="s">
        <v>17</v>
      </c>
      <c r="F329">
        <v>23</v>
      </c>
    </row>
    <row r="330" spans="1:65" ht="19.5">
      <c r="E330" t="s">
        <v>11</v>
      </c>
      <c r="F330">
        <v>24</v>
      </c>
    </row>
    <row r="331" spans="1:65" ht="19.5">
      <c r="E331" t="s">
        <v>12</v>
      </c>
      <c r="F331">
        <v>25</v>
      </c>
    </row>
    <row r="332" spans="1:65" ht="19.5">
      <c r="E332" t="s">
        <v>13</v>
      </c>
      <c r="F332">
        <v>26</v>
      </c>
    </row>
    <row r="333" spans="1:65" ht="19.5">
      <c r="E333" t="s">
        <v>14</v>
      </c>
      <c r="F333">
        <v>27</v>
      </c>
    </row>
    <row r="334" spans="1:65" ht="19.5">
      <c r="E334" t="s">
        <v>15</v>
      </c>
      <c r="F334" s="5">
        <v>44224</v>
      </c>
    </row>
    <row r="335" spans="1:65" ht="19.5">
      <c r="E335" t="s">
        <v>16</v>
      </c>
      <c r="F335" s="5">
        <v>44225</v>
      </c>
    </row>
    <row r="336" spans="1:65" ht="19.5">
      <c r="E336" t="s">
        <v>17</v>
      </c>
      <c r="F336" s="5">
        <v>44226</v>
      </c>
    </row>
    <row r="337" spans="1:65" ht="19.5">
      <c r="E337" t="s">
        <v>11</v>
      </c>
      <c r="F337" s="5">
        <v>44227</v>
      </c>
    </row>
    <row r="338" spans="1:65" ht="19.5">
      <c r="E338" t="s">
        <v>12</v>
      </c>
      <c r="F338" s="5">
        <v>44228</v>
      </c>
    </row>
    <row r="339" spans="1:65" ht="19.5">
      <c r="E339" t="s">
        <v>13</v>
      </c>
      <c r="F339" s="5">
        <v>44229</v>
      </c>
    </row>
    <row r="340" spans="1:65" ht="19.5">
      <c r="E340" t="s">
        <v>14</v>
      </c>
      <c r="F340" s="5">
        <v>44230</v>
      </c>
    </row>
    <row r="341" spans="1:65" ht="19.5">
      <c r="E341" t="s">
        <v>15</v>
      </c>
      <c r="F341" s="5">
        <v>44231</v>
      </c>
    </row>
    <row r="342" spans="1:65" ht="19.5">
      <c r="E342" t="s">
        <v>16</v>
      </c>
      <c r="F342" s="5">
        <v>44232</v>
      </c>
    </row>
    <row r="343" spans="1:65" ht="19.5">
      <c r="E343" t="s">
        <v>17</v>
      </c>
      <c r="F343" s="5">
        <v>44233</v>
      </c>
    </row>
    <row r="344" spans="1:65" ht="19.5">
      <c r="E344" t="s">
        <v>11</v>
      </c>
      <c r="F344" s="5">
        <v>44234</v>
      </c>
    </row>
    <row r="345" spans="1:65" ht="19.5">
      <c r="E345" t="s">
        <v>12</v>
      </c>
      <c r="F345" s="5">
        <v>44235</v>
      </c>
    </row>
    <row r="346" spans="1:65" ht="19.5">
      <c r="E346" t="s">
        <v>13</v>
      </c>
      <c r="F346">
        <v>9</v>
      </c>
    </row>
    <row r="347" spans="1:65" ht="19.5">
      <c r="E347" t="s">
        <v>14</v>
      </c>
      <c r="F347">
        <v>10</v>
      </c>
    </row>
    <row r="348" spans="1:65" ht="19.5">
      <c r="E348" t="s">
        <v>15</v>
      </c>
      <c r="F348">
        <v>11</v>
      </c>
    </row>
    <row r="349" spans="1:65" ht="19.5">
      <c r="E349" t="s">
        <v>16</v>
      </c>
      <c r="F349">
        <v>12</v>
      </c>
    </row>
    <row r="350" spans="1:65" ht="19.5">
      <c r="E350" t="s">
        <v>17</v>
      </c>
      <c r="F350">
        <v>13</v>
      </c>
    </row>
    <row r="351" spans="1:65" ht="19.5">
      <c r="E351" t="s">
        <v>11</v>
      </c>
      <c r="F351" s="5">
        <v>44241</v>
      </c>
    </row>
    <row r="352" spans="1:65" ht="19.5">
      <c r="E352" t="s">
        <v>12</v>
      </c>
      <c r="F352">
        <v>15</v>
      </c>
    </row>
    <row r="353" spans="1:65" ht="19.5">
      <c r="E353" t="s">
        <v>13</v>
      </c>
      <c r="F353">
        <v>16</v>
      </c>
    </row>
    <row r="354" spans="1:65" ht="19.5">
      <c r="E354" t="s">
        <v>14</v>
      </c>
      <c r="F354">
        <v>17</v>
      </c>
    </row>
    <row r="355" spans="1:65" ht="19.5">
      <c r="E355" t="s">
        <v>15</v>
      </c>
      <c r="F355">
        <v>18</v>
      </c>
    </row>
    <row r="356" spans="1:65" ht="19.5">
      <c r="E356" t="s">
        <v>16</v>
      </c>
      <c r="F356">
        <v>19</v>
      </c>
    </row>
    <row r="357" spans="1:65" ht="19.5">
      <c r="E357" t="s">
        <v>17</v>
      </c>
      <c r="F357">
        <v>20</v>
      </c>
    </row>
    <row r="358" spans="1:65" ht="19.5">
      <c r="E358" t="s">
        <v>11</v>
      </c>
      <c r="F358" s="5">
        <v>44248</v>
      </c>
    </row>
    <row r="359" spans="1:65" ht="19.5">
      <c r="E359" t="s">
        <v>12</v>
      </c>
      <c r="F359">
        <v>22</v>
      </c>
    </row>
    <row r="360" spans="1:65" ht="19.5">
      <c r="E360" t="s">
        <v>13</v>
      </c>
      <c r="F360">
        <v>23</v>
      </c>
    </row>
    <row r="361" spans="1:65" ht="19.5">
      <c r="E361" t="s">
        <v>14</v>
      </c>
      <c r="F361">
        <v>24</v>
      </c>
    </row>
    <row r="362" spans="1:65" ht="19.5">
      <c r="E362" t="s">
        <v>15</v>
      </c>
      <c r="F362">
        <v>25</v>
      </c>
    </row>
    <row r="363" spans="1:65" ht="19.5">
      <c r="E363" t="s">
        <v>16</v>
      </c>
      <c r="F363" s="5">
        <v>44253</v>
      </c>
    </row>
    <row r="364" spans="1:65" ht="19.5">
      <c r="E364" t="s">
        <v>17</v>
      </c>
      <c r="F364" s="5">
        <v>44254</v>
      </c>
    </row>
    <row r="365" spans="1:65" ht="19.5">
      <c r="E365" t="s">
        <v>11</v>
      </c>
      <c r="F365" s="5">
        <v>44255</v>
      </c>
    </row>
    <row r="366" spans="1:65" ht="19.5">
      <c r="E366" t="s">
        <v>12</v>
      </c>
      <c r="F366" s="5">
        <v>44256</v>
      </c>
    </row>
    <row r="367" spans="1:65" ht="19.5">
      <c r="E367" t="s">
        <v>13</v>
      </c>
      <c r="F367" s="5">
        <v>44257</v>
      </c>
    </row>
    <row r="368" spans="1:65" ht="19.5">
      <c r="E368" t="s">
        <v>14</v>
      </c>
      <c r="F368" s="5">
        <v>44258</v>
      </c>
    </row>
    <row r="369" spans="1:65" ht="19.5">
      <c r="E369" t="s">
        <v>15</v>
      </c>
      <c r="F369" s="5">
        <v>44259</v>
      </c>
    </row>
    <row r="370" spans="1:65" ht="19.5">
      <c r="E370" t="s">
        <v>16</v>
      </c>
      <c r="F370" s="5">
        <v>44260</v>
      </c>
    </row>
    <row r="371" spans="1:65" ht="19.5">
      <c r="E371" t="s">
        <v>17</v>
      </c>
      <c r="F371" s="5">
        <v>44261</v>
      </c>
    </row>
    <row r="372" spans="1:65" ht="19.5">
      <c r="E372" t="s">
        <v>11</v>
      </c>
      <c r="F372" s="5">
        <v>44262</v>
      </c>
    </row>
    <row r="373" spans="1:65" ht="19.5">
      <c r="E373" t="s">
        <v>12</v>
      </c>
      <c r="F373" s="5">
        <v>44263</v>
      </c>
    </row>
    <row r="374" spans="1:65" ht="19.5">
      <c r="E374" t="s">
        <v>13</v>
      </c>
      <c r="F374">
        <v>9</v>
      </c>
    </row>
    <row r="375" spans="1:65" ht="19.5">
      <c r="E375" t="s">
        <v>14</v>
      </c>
      <c r="F375">
        <v>10</v>
      </c>
    </row>
    <row r="376" spans="1:65" ht="19.5">
      <c r="E376" t="s">
        <v>15</v>
      </c>
      <c r="F376">
        <v>11</v>
      </c>
    </row>
    <row r="377" spans="1:65" ht="19.5">
      <c r="E377" t="s">
        <v>16</v>
      </c>
      <c r="F377">
        <v>12</v>
      </c>
    </row>
    <row r="378" spans="1:65" ht="19.5">
      <c r="E378" t="s">
        <v>17</v>
      </c>
      <c r="F378">
        <v>13</v>
      </c>
    </row>
    <row r="379" spans="1:65" ht="19.5">
      <c r="E379" t="s">
        <v>11</v>
      </c>
      <c r="F379" s="5">
        <v>44269</v>
      </c>
    </row>
    <row r="380" spans="1:65" ht="19.5">
      <c r="E380" t="s">
        <v>12</v>
      </c>
      <c r="F380">
        <v>15</v>
      </c>
    </row>
    <row r="381" spans="1:65" ht="19.5">
      <c r="E381" t="s">
        <v>13</v>
      </c>
      <c r="F381">
        <v>16</v>
      </c>
    </row>
    <row r="382" spans="1:65" ht="19.5">
      <c r="E382" t="s">
        <v>14</v>
      </c>
      <c r="F382">
        <v>17</v>
      </c>
    </row>
    <row r="383" spans="1:65" ht="19.5">
      <c r="E383" t="s">
        <v>15</v>
      </c>
      <c r="F383">
        <v>18</v>
      </c>
    </row>
    <row r="384" spans="1:65" ht="19.5">
      <c r="E384" t="s">
        <v>16</v>
      </c>
      <c r="F384">
        <v>19</v>
      </c>
    </row>
    <row r="385" spans="1:65" ht="19.5">
      <c r="E385" t="s">
        <v>17</v>
      </c>
      <c r="F385">
        <v>20</v>
      </c>
    </row>
    <row r="386" spans="1:65" ht="19.5">
      <c r="E386" t="s">
        <v>11</v>
      </c>
      <c r="F386" s="5">
        <v>44276</v>
      </c>
    </row>
    <row r="387" spans="1:65" ht="19.5">
      <c r="E387" t="s">
        <v>12</v>
      </c>
      <c r="F387">
        <v>22</v>
      </c>
    </row>
    <row r="388" spans="1:65" ht="19.5">
      <c r="E388" t="s">
        <v>13</v>
      </c>
      <c r="F388">
        <v>23</v>
      </c>
    </row>
    <row r="389" spans="1:65" ht="19.5">
      <c r="E389" t="s">
        <v>14</v>
      </c>
      <c r="F389">
        <v>24</v>
      </c>
    </row>
    <row r="390" spans="1:65" ht="19.5">
      <c r="E390" t="s">
        <v>15</v>
      </c>
      <c r="F390">
        <v>25</v>
      </c>
    </row>
    <row r="391" spans="1:65" ht="19.5">
      <c r="E391" t="s">
        <v>16</v>
      </c>
      <c r="F391">
        <v>26</v>
      </c>
    </row>
    <row r="392" spans="1:65" ht="19.5">
      <c r="E392" t="s">
        <v>17</v>
      </c>
      <c r="F392" s="5">
        <v>44282</v>
      </c>
    </row>
    <row r="393" spans="1:65" ht="19.5">
      <c r="E393" t="s">
        <v>11</v>
      </c>
      <c r="F393" s="5">
        <v>44283</v>
      </c>
    </row>
    <row r="394" spans="1:65" ht="19.5">
      <c r="E394" t="s">
        <v>12</v>
      </c>
      <c r="F394" s="5">
        <v>44284</v>
      </c>
    </row>
    <row r="395" spans="1:65" ht="19.5">
      <c r="E395" t="s">
        <v>13</v>
      </c>
      <c r="F395" s="5">
        <v>44285</v>
      </c>
    </row>
    <row r="396" spans="1:65" ht="19.5">
      <c r="E396" t="s">
        <v>14</v>
      </c>
      <c r="F396" s="5">
        <v>44286</v>
      </c>
    </row>
    <row r="397" spans="1:65" ht="19.5">
      <c r="E397" t="s">
        <v>15</v>
      </c>
      <c r="F397" s="5">
        <v>44287</v>
      </c>
    </row>
    <row r="398" spans="1:65" ht="19.5">
      <c r="E398" t="s">
        <v>16</v>
      </c>
      <c r="F398" s="5">
        <v>44288</v>
      </c>
    </row>
    <row r="399" spans="1:65" ht="19.5">
      <c r="E399" t="s">
        <v>17</v>
      </c>
      <c r="F399" s="5">
        <v>44289</v>
      </c>
    </row>
    <row r="400" spans="1:65" ht="19.5">
      <c r="E400" t="s">
        <v>11</v>
      </c>
      <c r="F400" s="5">
        <v>44290</v>
      </c>
    </row>
    <row r="401" spans="1:65" ht="19.5">
      <c r="E401" t="s">
        <v>12</v>
      </c>
      <c r="F401">
        <v>5</v>
      </c>
    </row>
    <row r="402" spans="1:65" ht="19.5">
      <c r="E402" t="s">
        <v>13</v>
      </c>
      <c r="F402">
        <v>6</v>
      </c>
    </row>
    <row r="403" spans="1:65" ht="19.5">
      <c r="E403" t="s">
        <v>14</v>
      </c>
      <c r="F403" s="5">
        <v>44293</v>
      </c>
    </row>
    <row r="404" spans="1:65" ht="19.5">
      <c r="E404" t="s">
        <v>15</v>
      </c>
      <c r="F404" s="5">
        <v>44294</v>
      </c>
    </row>
    <row r="405" spans="1:65" ht="19.5">
      <c r="E405" t="s">
        <v>16</v>
      </c>
      <c r="F405">
        <v>9</v>
      </c>
    </row>
    <row r="406" spans="1:65" ht="19.5">
      <c r="E406" t="s">
        <v>17</v>
      </c>
      <c r="F406">
        <v>10</v>
      </c>
    </row>
    <row r="407" spans="1:65" ht="19.5">
      <c r="E407" t="s">
        <v>11</v>
      </c>
      <c r="F407" s="5">
        <v>44297</v>
      </c>
    </row>
    <row r="408" spans="1:65" ht="19.5">
      <c r="E408" t="s">
        <v>12</v>
      </c>
      <c r="F408">
        <v>12</v>
      </c>
    </row>
    <row r="409" spans="1:65" ht="19.5">
      <c r="E409" t="s">
        <v>13</v>
      </c>
      <c r="F409">
        <v>13</v>
      </c>
    </row>
    <row r="410" spans="1:65" ht="19.5">
      <c r="E410" t="s">
        <v>14</v>
      </c>
      <c r="F410" s="5">
        <v>44300</v>
      </c>
    </row>
    <row r="411" spans="1:65" ht="19.5">
      <c r="E411" t="s">
        <v>15</v>
      </c>
      <c r="F411">
        <v>15</v>
      </c>
    </row>
    <row r="412" spans="1:65" ht="19.5">
      <c r="E412" t="s">
        <v>16</v>
      </c>
      <c r="F412">
        <v>16</v>
      </c>
    </row>
    <row r="413" spans="1:65" ht="19.5">
      <c r="E413" t="s">
        <v>17</v>
      </c>
      <c r="F413">
        <v>17</v>
      </c>
    </row>
    <row r="414" spans="1:65" ht="19.5">
      <c r="E414" t="s">
        <v>11</v>
      </c>
      <c r="F414" s="5">
        <v>44304</v>
      </c>
    </row>
    <row r="415" spans="1:65" ht="19.5">
      <c r="E415" t="s">
        <v>12</v>
      </c>
      <c r="F415">
        <v>19</v>
      </c>
    </row>
    <row r="416" spans="1:65" ht="19.5">
      <c r="E416" t="s">
        <v>13</v>
      </c>
      <c r="F416">
        <v>20</v>
      </c>
    </row>
    <row r="417" spans="1:65" ht="19.5">
      <c r="E417" t="s">
        <v>14</v>
      </c>
      <c r="F417" s="5">
        <v>44307</v>
      </c>
    </row>
    <row r="418" spans="1:65" ht="19.5">
      <c r="E418" t="s">
        <v>15</v>
      </c>
      <c r="F418">
        <v>22</v>
      </c>
    </row>
    <row r="419" spans="1:65" ht="19.5">
      <c r="E419" t="s">
        <v>16</v>
      </c>
      <c r="F419">
        <v>23</v>
      </c>
    </row>
    <row r="420" spans="1:65" ht="19.5">
      <c r="E420" t="s">
        <v>17</v>
      </c>
      <c r="F420">
        <v>24</v>
      </c>
    </row>
    <row r="421" spans="1:65" ht="19.5">
      <c r="E421" t="s">
        <v>11</v>
      </c>
      <c r="F421" s="5">
        <v>44311</v>
      </c>
    </row>
    <row r="422" spans="1:65" ht="19.5">
      <c r="E422" t="s">
        <v>12</v>
      </c>
      <c r="F422">
        <v>26</v>
      </c>
    </row>
    <row r="423" spans="1:65" ht="19.5">
      <c r="E423" t="s">
        <v>13</v>
      </c>
      <c r="F423">
        <v>27</v>
      </c>
    </row>
    <row r="424" spans="1:65" ht="19.5">
      <c r="E424" t="s">
        <v>14</v>
      </c>
      <c r="F424" s="5">
        <v>44314</v>
      </c>
    </row>
    <row r="425" spans="1:65" ht="19.5">
      <c r="E425" t="s">
        <v>15</v>
      </c>
      <c r="F425" s="5">
        <v>44315</v>
      </c>
    </row>
    <row r="426" spans="1:65" ht="19.5">
      <c r="E426" t="s">
        <v>16</v>
      </c>
      <c r="F426" s="5">
        <v>44316</v>
      </c>
    </row>
    <row r="427" spans="1:65" ht="19.5">
      <c r="E427" t="s">
        <v>17</v>
      </c>
      <c r="F427" s="5">
        <v>44317</v>
      </c>
    </row>
    <row r="428" spans="1:65" ht="19.5">
      <c r="E428" t="s">
        <v>11</v>
      </c>
      <c r="F428" s="5">
        <v>44318</v>
      </c>
    </row>
    <row r="429" spans="1:65" ht="19.5">
      <c r="E429" t="s">
        <v>12</v>
      </c>
      <c r="F429" s="5">
        <v>44319</v>
      </c>
    </row>
    <row r="430" spans="1:65" ht="19.5">
      <c r="E430" t="s">
        <v>13</v>
      </c>
      <c r="F430" s="5">
        <v>44320</v>
      </c>
    </row>
    <row r="431" spans="1:65" ht="19.5">
      <c r="E431" t="s">
        <v>14</v>
      </c>
      <c r="F431" s="5">
        <v>44321</v>
      </c>
    </row>
    <row r="432" spans="1:65" ht="19.5">
      <c r="E432" t="s">
        <v>15</v>
      </c>
      <c r="F432" s="5">
        <v>44322</v>
      </c>
    </row>
    <row r="433" spans="1:65" ht="19.5">
      <c r="E433" t="s">
        <v>16</v>
      </c>
      <c r="F433" s="5">
        <v>44323</v>
      </c>
    </row>
    <row r="434" spans="1:65" ht="19.5">
      <c r="E434" t="s">
        <v>17</v>
      </c>
      <c r="F434">
        <v>8</v>
      </c>
    </row>
    <row r="435" spans="1:65" ht="19.5">
      <c r="E435" t="s">
        <v>11</v>
      </c>
      <c r="F435" s="5">
        <v>44325</v>
      </c>
    </row>
    <row r="436" spans="1:65" ht="19.5">
      <c r="E436" t="s">
        <v>12</v>
      </c>
      <c r="F436">
        <v>10</v>
      </c>
    </row>
    <row r="437" spans="1:65" ht="19.5">
      <c r="E437" t="s">
        <v>13</v>
      </c>
      <c r="F437">
        <v>11</v>
      </c>
    </row>
    <row r="438" spans="1:65" ht="19.5">
      <c r="E438" t="s">
        <v>14</v>
      </c>
      <c r="F438">
        <v>12</v>
      </c>
    </row>
    <row r="439" spans="1:65" ht="19.5">
      <c r="E439" t="s">
        <v>15</v>
      </c>
      <c r="F439">
        <v>13</v>
      </c>
    </row>
    <row r="440" spans="1:65" ht="19.5">
      <c r="E440" t="s">
        <v>16</v>
      </c>
      <c r="F440" s="5">
        <v>44330</v>
      </c>
    </row>
    <row r="441" spans="1:65" ht="19.5">
      <c r="E441" t="s">
        <v>17</v>
      </c>
      <c r="F441" s="5">
        <v>44331</v>
      </c>
    </row>
    <row r="442" spans="1:65" ht="19.5">
      <c r="E442" t="s">
        <v>11</v>
      </c>
      <c r="F442">
        <v>16</v>
      </c>
    </row>
    <row r="443" spans="1:65" ht="19.5">
      <c r="E443" t="s">
        <v>12</v>
      </c>
      <c r="F443">
        <v>17</v>
      </c>
    </row>
    <row r="444" spans="1:65" ht="19.5">
      <c r="E444" t="s">
        <v>13</v>
      </c>
      <c r="F444">
        <v>18</v>
      </c>
    </row>
    <row r="445" spans="1:65" ht="19.5">
      <c r="E445" t="s">
        <v>14</v>
      </c>
      <c r="F445">
        <v>19</v>
      </c>
    </row>
    <row r="446" spans="1:65" ht="19.5">
      <c r="E446" t="s">
        <v>15</v>
      </c>
      <c r="F446">
        <v>20</v>
      </c>
    </row>
    <row r="447" spans="1:65" ht="19.5">
      <c r="E447" t="s">
        <v>16</v>
      </c>
      <c r="F447">
        <v>21</v>
      </c>
    </row>
    <row r="448" spans="1:65" ht="19.5">
      <c r="E448" t="s">
        <v>17</v>
      </c>
      <c r="F448">
        <v>22</v>
      </c>
    </row>
    <row r="449" spans="1:65" ht="19.5">
      <c r="E449" t="s">
        <v>11</v>
      </c>
      <c r="F449">
        <v>23</v>
      </c>
    </row>
    <row r="450" spans="1:65" ht="19.5">
      <c r="E450" t="s">
        <v>12</v>
      </c>
      <c r="F450">
        <v>24</v>
      </c>
    </row>
    <row r="451" spans="1:65" ht="19.5">
      <c r="E451" t="s">
        <v>13</v>
      </c>
      <c r="F451">
        <v>25</v>
      </c>
    </row>
    <row r="452" spans="1:65" ht="19.5">
      <c r="E452" t="s">
        <v>14</v>
      </c>
      <c r="F452">
        <v>26</v>
      </c>
    </row>
    <row r="453" spans="1:65" ht="19.5">
      <c r="E453" t="s">
        <v>15</v>
      </c>
      <c r="F453">
        <v>27</v>
      </c>
    </row>
    <row r="454" spans="1:65" ht="19.5">
      <c r="E454" t="s">
        <v>16</v>
      </c>
      <c r="F454">
        <v>28</v>
      </c>
    </row>
    <row r="455" spans="1:65" ht="19.5">
      <c r="E455" t="s">
        <v>17</v>
      </c>
      <c r="F455">
        <v>29</v>
      </c>
    </row>
    <row r="456" spans="1:65" ht="19.5">
      <c r="E456" t="s">
        <v>11</v>
      </c>
      <c r="F456" s="5">
        <v>44346</v>
      </c>
    </row>
    <row r="457" spans="1:65" ht="19.5">
      <c r="E457" t="s">
        <v>12</v>
      </c>
      <c r="F457" s="5">
        <v>44347</v>
      </c>
    </row>
    <row r="458" spans="1:65" ht="19.5">
      <c r="E458" t="s">
        <v>13</v>
      </c>
      <c r="F458" s="5">
        <v>44348</v>
      </c>
    </row>
    <row r="459" spans="1:65" ht="19.5">
      <c r="E459" t="s">
        <v>14</v>
      </c>
      <c r="F459">
        <v>2</v>
      </c>
    </row>
    <row r="460" spans="1:65" ht="19.5">
      <c r="E460" t="s">
        <v>15</v>
      </c>
      <c r="F460">
        <v>3</v>
      </c>
    </row>
    <row r="461" spans="1:65" ht="19.5">
      <c r="E461" t="s">
        <v>16</v>
      </c>
      <c r="F461">
        <v>4</v>
      </c>
    </row>
    <row r="462" spans="1:65" ht="19.5">
      <c r="E462" t="s">
        <v>17</v>
      </c>
      <c r="F462">
        <v>5</v>
      </c>
    </row>
    <row r="463" spans="1:65" ht="19.5">
      <c r="E463" t="s">
        <v>11</v>
      </c>
      <c r="F463" s="5">
        <v>44353</v>
      </c>
    </row>
    <row r="464" spans="1:65" ht="19.5">
      <c r="E464" t="s">
        <v>12</v>
      </c>
      <c r="F464" s="5">
        <v>44354</v>
      </c>
    </row>
    <row r="465" spans="1:65" ht="19.5">
      <c r="E465" t="s">
        <v>13</v>
      </c>
      <c r="F465">
        <v>8</v>
      </c>
    </row>
    <row r="466" spans="1:65" ht="19.5">
      <c r="E466" t="s">
        <v>14</v>
      </c>
      <c r="F466">
        <v>9</v>
      </c>
    </row>
    <row r="467" spans="1:65" ht="19.5">
      <c r="E467" t="s">
        <v>15</v>
      </c>
      <c r="F467">
        <v>10</v>
      </c>
    </row>
    <row r="468" spans="1:65" ht="19.5">
      <c r="E468" t="s">
        <v>16</v>
      </c>
      <c r="F468">
        <v>11</v>
      </c>
    </row>
    <row r="469" spans="1:65" ht="19.5">
      <c r="E469" t="s">
        <v>17</v>
      </c>
      <c r="F469">
        <v>12</v>
      </c>
    </row>
    <row r="470" spans="1:65" ht="19.5">
      <c r="E470" t="s">
        <v>11</v>
      </c>
      <c r="F470">
        <v>13</v>
      </c>
    </row>
    <row r="471" spans="1:65" ht="19.5">
      <c r="E471" t="s">
        <v>12</v>
      </c>
      <c r="F471">
        <v>14</v>
      </c>
    </row>
    <row r="472" spans="1:65" ht="19.5">
      <c r="E472" t="s">
        <v>13</v>
      </c>
      <c r="F472" s="5">
        <v>44362</v>
      </c>
    </row>
    <row r="473" spans="1:65" ht="19.5">
      <c r="E473" t="s">
        <v>14</v>
      </c>
      <c r="F473">
        <v>16</v>
      </c>
    </row>
    <row r="474" spans="1:65" ht="19.5">
      <c r="E474" t="s">
        <v>15</v>
      </c>
      <c r="F474">
        <v>17</v>
      </c>
    </row>
    <row r="475" spans="1:65" ht="19.5">
      <c r="E475" t="s">
        <v>16</v>
      </c>
      <c r="F475">
        <v>18</v>
      </c>
    </row>
    <row r="476" spans="1:65" ht="19.5">
      <c r="E476" t="s">
        <v>17</v>
      </c>
      <c r="F476">
        <v>19</v>
      </c>
    </row>
    <row r="477" spans="1:65" ht="19.5">
      <c r="E477" t="s">
        <v>11</v>
      </c>
      <c r="F477">
        <v>20</v>
      </c>
    </row>
    <row r="478" spans="1:65" ht="19.5">
      <c r="E478" t="s">
        <v>12</v>
      </c>
      <c r="F478">
        <v>21</v>
      </c>
    </row>
    <row r="479" spans="1:65" ht="19.5">
      <c r="E479" t="s">
        <v>13</v>
      </c>
      <c r="F479">
        <v>22</v>
      </c>
    </row>
    <row r="480" spans="1:65" ht="19.5">
      <c r="E480" t="s">
        <v>14</v>
      </c>
      <c r="F480">
        <v>23</v>
      </c>
    </row>
    <row r="481" spans="1:65" ht="19.5">
      <c r="E481" t="s">
        <v>15</v>
      </c>
      <c r="F481">
        <v>24</v>
      </c>
    </row>
    <row r="482" spans="1:65" ht="19.5">
      <c r="E482" t="s">
        <v>16</v>
      </c>
      <c r="F482">
        <v>25</v>
      </c>
    </row>
    <row r="483" spans="1:65" ht="19.5">
      <c r="E483" t="s">
        <v>17</v>
      </c>
      <c r="F483">
        <v>26</v>
      </c>
    </row>
    <row r="484" spans="1:65" ht="19.5">
      <c r="E484" t="s">
        <v>11</v>
      </c>
      <c r="F484">
        <v>27</v>
      </c>
    </row>
    <row r="485" spans="1:65" ht="19.5">
      <c r="E485" t="s">
        <v>12</v>
      </c>
      <c r="F485">
        <v>28</v>
      </c>
    </row>
    <row r="486" spans="1:65" ht="19.5">
      <c r="E486" t="s">
        <v>13</v>
      </c>
      <c r="F486">
        <v>29</v>
      </c>
    </row>
    <row r="487" spans="1:65" ht="19.5">
      <c r="E487" t="s">
        <v>14</v>
      </c>
      <c r="F487" s="5">
        <v>44377</v>
      </c>
    </row>
    <row r="488" spans="1:65" ht="19.5">
      <c r="E488" t="s">
        <v>15</v>
      </c>
      <c r="F488" s="5">
        <v>44378</v>
      </c>
    </row>
    <row r="489" spans="1:65" ht="19.5">
      <c r="E489" t="s">
        <v>16</v>
      </c>
      <c r="F489">
        <v>2</v>
      </c>
    </row>
    <row r="490" spans="1:65" ht="19.5">
      <c r="E490" t="s">
        <v>17</v>
      </c>
      <c r="F490">
        <v>3</v>
      </c>
    </row>
    <row r="491" spans="1:65" ht="19.5">
      <c r="E491" t="s">
        <v>11</v>
      </c>
      <c r="F491">
        <v>4</v>
      </c>
    </row>
    <row r="492" spans="1:65" ht="19.5">
      <c r="E492" t="s">
        <v>12</v>
      </c>
      <c r="F492">
        <v>5</v>
      </c>
    </row>
    <row r="493" spans="1:65" ht="19.5">
      <c r="E493" t="s">
        <v>13</v>
      </c>
      <c r="F493">
        <v>6</v>
      </c>
    </row>
    <row r="494" spans="1:65" ht="19.5">
      <c r="E494" t="s">
        <v>14</v>
      </c>
      <c r="F494">
        <v>7</v>
      </c>
    </row>
    <row r="495" spans="1:65" ht="19.5">
      <c r="E495" t="s">
        <v>15</v>
      </c>
      <c r="F495">
        <v>8</v>
      </c>
    </row>
    <row r="496" spans="1:65" ht="19.5">
      <c r="E496" t="s">
        <v>16</v>
      </c>
      <c r="F496">
        <v>9</v>
      </c>
    </row>
    <row r="497" spans="1:65" ht="19.5">
      <c r="E497" t="s">
        <v>17</v>
      </c>
      <c r="F497">
        <v>10</v>
      </c>
    </row>
    <row r="498" spans="1:65" ht="19.5">
      <c r="E498" t="s">
        <v>11</v>
      </c>
      <c r="F498">
        <v>11</v>
      </c>
    </row>
    <row r="499" spans="1:65" ht="19.5">
      <c r="E499" t="s">
        <v>12</v>
      </c>
      <c r="F499">
        <v>12</v>
      </c>
    </row>
    <row r="500" spans="1:65" ht="19.5">
      <c r="E500" t="s">
        <v>13</v>
      </c>
      <c r="F500">
        <v>13</v>
      </c>
    </row>
    <row r="501" spans="1:65" ht="19.5">
      <c r="E501" t="s">
        <v>14</v>
      </c>
      <c r="F501">
        <v>14</v>
      </c>
    </row>
    <row r="502" spans="1:65" ht="19.5">
      <c r="E502" t="s">
        <v>15</v>
      </c>
      <c r="F502">
        <v>15</v>
      </c>
    </row>
    <row r="503" spans="1:65" ht="19.5">
      <c r="E503" t="s">
        <v>16</v>
      </c>
      <c r="F503">
        <v>16</v>
      </c>
    </row>
    <row r="504" spans="1:65" ht="19.5">
      <c r="E504" t="s">
        <v>17</v>
      </c>
      <c r="F504">
        <v>17</v>
      </c>
    </row>
    <row r="505" spans="1:65" ht="19.5">
      <c r="E505" t="s">
        <v>11</v>
      </c>
      <c r="F505">
        <v>18</v>
      </c>
    </row>
    <row r="506" spans="1:65" ht="19.5">
      <c r="E506" t="s">
        <v>12</v>
      </c>
      <c r="F506">
        <v>19</v>
      </c>
    </row>
    <row r="507" spans="1:65" ht="19.5">
      <c r="E507" t="s">
        <v>13</v>
      </c>
      <c r="F507">
        <v>20</v>
      </c>
    </row>
    <row r="508" spans="1:65" ht="19.5">
      <c r="E508" t="s">
        <v>14</v>
      </c>
      <c r="F508">
        <v>21</v>
      </c>
    </row>
    <row r="509" spans="1:65" ht="19.5">
      <c r="E509" t="s">
        <v>15</v>
      </c>
      <c r="F509">
        <v>22</v>
      </c>
    </row>
    <row r="510" spans="1:65" ht="19.5">
      <c r="E510" t="s">
        <v>16</v>
      </c>
      <c r="F510">
        <v>23</v>
      </c>
    </row>
    <row r="511" spans="1:65" ht="19.5">
      <c r="F511">
        <v>24</v>
      </c>
    </row>
    <row r="512" spans="1:65" ht="19.5">
      <c r="F512">
        <v>25</v>
      </c>
    </row>
    <row r="513" spans="1:65" ht="19.5">
      <c r="F513">
        <v>26</v>
      </c>
    </row>
    <row r="514" spans="1:65" ht="19.5">
      <c r="F514">
        <v>27</v>
      </c>
    </row>
    <row r="515" spans="1:65" ht="19.5">
      <c r="F515">
        <v>28</v>
      </c>
    </row>
    <row r="516" spans="1:65" ht="19.5">
      <c r="F516">
        <v>29</v>
      </c>
    </row>
    <row r="517" spans="1:65" ht="19.5">
      <c r="F517">
        <v>30</v>
      </c>
    </row>
    <row r="518" spans="1:65" ht="19.5">
      <c r="F518">
        <v>31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C1:S102"/>
  <sheetViews>
    <sheetView workbookViewId="0">
      <selection activeCell="S15" sqref="S15"/>
    </sheetView>
  </sheetViews>
  <sheetFormatPr defaultRowHeight="12.75"/>
  <cols>
    <col min="1" max="1" style="1" width="9.142307692307693"/>
    <col min="2" max="2" style="1" width="14.142007211538463" customWidth="1"/>
    <col min="3" max="3" style="2" width="21.560608974358978" customWidth="1"/>
    <col min="4" max="4" style="1" width="3.2855168269230774" customWidth="1"/>
    <col min="5" max="5" style="1" width="3.856911057692308" customWidth="1"/>
    <col min="6" max="6" style="1" width="22.70339743589744" customWidth="1"/>
    <col min="7" max="7" style="1" width="3.1426682692307697" customWidth="1"/>
    <col min="8" max="8" style="1" width="2.5712740384615387" customWidth="1"/>
    <col min="9" max="9" style="1" width="2.999819711538462" customWidth="1"/>
    <col min="10" max="10" style="1" width="2.1427283653846154" customWidth="1"/>
    <col min="11" max="11" style="1" width="2.999819711538462" customWidth="1"/>
    <col min="12" max="12" style="1" width="2.1427283653846154" customWidth="1"/>
    <col min="13" max="13" style="1" width="1.9998798076923079" customWidth="1"/>
    <col min="14" max="14" style="2" width="17.42752403846154" customWidth="1"/>
    <col min="15" max="15" style="1" width="9.142307692307693"/>
    <col min="16" max="16" style="1" width="19.846426282051283" customWidth="1"/>
    <col min="17" max="18" style="1" width="9.142307692307693"/>
    <col min="19" max="19" style="1" width="9.99939903846154" bestFit="1" customWidth="1"/>
    <col min="20" max="256" style="1" width="9.142307692307693"/>
  </cols>
  <sheetData>
    <row r="1" spans="3:19" ht="19.5">
      <c r="N1" t="inlineStr">
        <is>
          <t>Series: March 10th  Source: github:</t>
        </is>
      </c>
      <c r="R1" t="inlineStr">
        <is>
          <t>10th</t>
        </is>
      </c>
      <c r="S1">
        <v>173</v>
      </c>
    </row>
    <row r="2" spans="3:19" ht="19.5">
      <c r="R2" t="inlineStr">
        <is>
          <t>11th</t>
        </is>
      </c>
      <c r="S2">
        <v>220</v>
      </c>
    </row>
    <row r="3" spans="3:19" ht="19.5">
      <c r="N3" t="inlineStr">
        <is>
          <t>So, the collected Johns Hopkins data</t>
        </is>
      </c>
      <c r="R3" t="inlineStr">
        <is>
          <t>12th</t>
        </is>
      </c>
      <c r="S3">
        <v>328</v>
      </c>
    </row>
    <row r="4" spans="3:19" ht="19.5">
      <c r="N4" t="inlineStr">
        <is>
          <t>starts on 10 March for New York State.</t>
        </is>
      </c>
      <c r="R4" t="inlineStr">
        <is>
          <t>13th</t>
        </is>
      </c>
      <c r="S4">
        <v>421</v>
      </c>
    </row>
    <row r="5" spans="3:19" ht="19.5">
      <c r="R5" t="inlineStr">
        <is>
          <t>14th</t>
        </is>
      </c>
      <c r="S5">
        <v>525</v>
      </c>
    </row>
    <row r="6" spans="3:19" ht="19.5">
      <c r="N6" t="inlineStr">
        <is>
          <t>Was probably county-based prior, or</t>
        </is>
      </c>
      <c r="R6" t="inlineStr">
        <is>
          <t>15th</t>
        </is>
      </c>
      <c r="S6">
        <v>732</v>
      </c>
    </row>
    <row r="7" spans="3:19" customHeight="1" ht="29.25">
      <c r="N7" t="inlineStr">
        <is>
          <t>not even that.</t>
        </is>
      </c>
      <c r="R7" t="inlineStr">
        <is>
          <t>16th</t>
        </is>
      </c>
      <c r="S7">
        <v>967</v>
      </c>
    </row>
    <row r="8" spans="3:19" customHeight="1" ht="23.25">
      <c r="R8" t="inlineStr">
        <is>
          <t>17th</t>
        </is>
      </c>
      <c r="S8">
        <v>1706</v>
      </c>
    </row>
    <row r="9" spans="3:19" customHeight="1" ht="27">
      <c r="R9" t="inlineStr">
        <is>
          <t>18th</t>
        </is>
      </c>
      <c r="S9">
        <v>2495</v>
      </c>
    </row>
    <row r="10" spans="3:19" customHeight="1" ht="27.75">
      <c r="R10" t="inlineStr">
        <is>
          <t>19th</t>
        </is>
      </c>
      <c r="S10">
        <v>5365</v>
      </c>
    </row>
    <row r="11" spans="3:19" ht="19.5">
      <c r="R11" t="inlineStr">
        <is>
          <t>20th</t>
        </is>
      </c>
    </row>
    <row r="12" spans="3:19" ht="19.5">
      <c r="P12" t="s">
        <v>0</v>
      </c>
      <c r="R12" t="inlineStr">
        <is>
          <t>21st</t>
        </is>
      </c>
    </row>
    <row r="13" spans="3:19" ht="19.5">
      <c r="C13" t="s">
        <v>1</v>
      </c>
      <c r="N13" t="s">
        <v>2</v>
      </c>
      <c r="P13" t="s">
        <v>2</v>
      </c>
      <c r="R13" t="inlineStr">
        <is>
          <t>22nd</t>
        </is>
      </c>
    </row>
    <row r="14" spans="3:19" ht="19.5">
      <c r="C14" t="s">
        <v>4</v>
      </c>
      <c r="F14" t="s">
        <v>5</v>
      </c>
      <c r="N14" t="s">
        <v>6</v>
      </c>
      <c r="P14" t="s">
        <v>7</v>
      </c>
      <c r="R14" t="inlineStr">
        <is>
          <t>23rd</t>
        </is>
      </c>
      <c r="S14">
        <v>16916</v>
      </c>
    </row>
    <row r="15" spans="3:19" ht="19.5">
      <c r="N15">
        <v>954</v>
      </c>
      <c r="P15">
        <v>954</v>
      </c>
    </row>
    <row r="16" spans="3:19" ht="19.5">
      <c r="C16">
        <f>N15*F16</f>
        <v>746.00033399999995</v>
      </c>
      <c r="F16">
        <v>0.78197099999999997</v>
      </c>
      <c r="N16">
        <f>N15+C16</f>
        <v>1700.0003339999998</v>
      </c>
      <c r="P16">
        <v>1700</v>
      </c>
      <c r="R16" t="inlineStr">
        <is>
          <t>b: 17th</t>
        </is>
      </c>
    </row>
    <row r="17" spans="3:19" ht="19.5">
      <c r="C17">
        <f>N16*F17</f>
        <v>780.00095324721599</v>
      </c>
      <c r="F17">
        <v>0.45882400000000001</v>
      </c>
      <c r="N17">
        <f>N16+C17</f>
        <v>2480.0012872472157</v>
      </c>
      <c r="P17">
        <v>2480</v>
      </c>
    </row>
    <row r="18" spans="3:19" ht="19.5">
      <c r="C18">
        <f>N17*F18</f>
        <v>1672.0007478537057</v>
      </c>
      <c r="F18">
        <v>0.6741935</v>
      </c>
      <c r="N18">
        <f>N17+C18</f>
        <v>4152.0020351009216</v>
      </c>
      <c r="P18">
        <v>4152</v>
      </c>
      <c r="R18" t="inlineStr">
        <is>
          <t>b: 5365</t>
        </is>
      </c>
    </row>
    <row r="19" spans="3:19" ht="19.5">
      <c r="C19">
        <f>N18*F19</f>
        <v>1212.9658745343834</v>
      </c>
      <c r="F19">
        <v>0.29214000000000001</v>
      </c>
      <c r="N19">
        <f>N18+C19</f>
        <v>5364.9679096353047</v>
      </c>
    </row>
    <row r="20" spans="3:19" ht="19.5">
      <c r="C20">
        <f>N19*F20</f>
        <v>590.14647005988354</v>
      </c>
      <c r="F20">
        <v>0.11</v>
      </c>
      <c r="N20">
        <f>N19+C20</f>
        <v>5955.1143796951883</v>
      </c>
      <c r="P20">
        <v>5715</v>
      </c>
      <c r="Q20" t="inlineStr">
        <is>
          <t>1648z</t>
        </is>
      </c>
    </row>
    <row r="21" spans="3:19" ht="19.5">
      <c r="C21">
        <f>N20*F21</f>
        <v>655.06258176647077</v>
      </c>
      <c r="F21">
        <f>F20</f>
        <v>0.11</v>
      </c>
      <c r="N21">
        <f>N20+C21</f>
        <v>6610.1769614616587</v>
      </c>
    </row>
    <row r="22" spans="3:19" ht="19.5">
      <c r="C22">
        <f>N21*F22</f>
        <v>727.11946576078242</v>
      </c>
      <c r="F22">
        <f>F21</f>
        <v>0.11</v>
      </c>
      <c r="N22">
        <f>N21+C22</f>
        <v>7337.2964272224408</v>
      </c>
    </row>
    <row r="23" spans="3:19" ht="19.5">
      <c r="C23">
        <f>N22*F23</f>
        <v>807.10260699446849</v>
      </c>
      <c r="F23">
        <f>F22</f>
        <v>0.11</v>
      </c>
      <c r="N23">
        <f>N22+C23</f>
        <v>8144.3990342169091</v>
      </c>
    </row>
    <row r="24" spans="3:19" ht="19.5">
      <c r="C24">
        <f>N23*F24</f>
        <v>895.88389376385999</v>
      </c>
      <c r="F24">
        <f>F23</f>
        <v>0.11</v>
      </c>
      <c r="N24">
        <f>N23+C24</f>
        <v>9040.2829279807684</v>
      </c>
    </row>
    <row r="25" spans="3:19" ht="19.5">
      <c r="C25">
        <f>N24*F25</f>
        <v>994.43112207788454</v>
      </c>
      <c r="F25">
        <f>F24</f>
        <v>0.11</v>
      </c>
      <c r="N25">
        <f>N24+C25</f>
        <v>10034.714050058654</v>
      </c>
    </row>
    <row r="26" spans="3:19" ht="19.5">
      <c r="C26">
        <f>N25*F26</f>
        <v>1103.818545506452</v>
      </c>
      <c r="F26">
        <f>F25</f>
        <v>0.11</v>
      </c>
      <c r="N26">
        <f>N25+C26</f>
        <v>11138.532595565106</v>
      </c>
    </row>
    <row r="27" spans="3:19" ht="19.5">
      <c r="C27">
        <f>N26*F27</f>
        <v>1225.2385855121618</v>
      </c>
      <c r="F27">
        <f>F26</f>
        <v>0.11</v>
      </c>
      <c r="N27">
        <f>N26+C27</f>
        <v>12363.771181077267</v>
      </c>
    </row>
    <row r="28" spans="3:19" ht="19.5">
      <c r="C28">
        <f>N27*F28</f>
        <v>1360.0148299184993</v>
      </c>
      <c r="F28">
        <f>F27</f>
        <v>0.11</v>
      </c>
      <c r="N28">
        <f>N27+C28</f>
        <v>13723.786010995766</v>
      </c>
    </row>
    <row r="29" spans="3:19" ht="19.5">
      <c r="C29">
        <f>N28*F29</f>
        <v>1509.6164612095342</v>
      </c>
      <c r="F29">
        <f>F28</f>
        <v>0.11</v>
      </c>
      <c r="N29">
        <f>N28+C29</f>
        <v>15233.4024722053</v>
      </c>
    </row>
    <row r="30" spans="3:19" ht="19.5">
      <c r="C30">
        <f>N29*F30</f>
        <v>1675.6742719425831</v>
      </c>
      <c r="F30">
        <f>F29</f>
        <v>0.11</v>
      </c>
      <c r="N30">
        <f>N29+C30</f>
        <v>16909.076744147882</v>
      </c>
    </row>
    <row r="31" spans="3:19" ht="19.5">
      <c r="C31">
        <f>N30*F31</f>
        <v>1859.9984418562669</v>
      </c>
      <c r="F31">
        <f>F30</f>
        <v>0.11</v>
      </c>
      <c r="N31">
        <f>N30+C31</f>
        <v>18769.075186004149</v>
      </c>
    </row>
    <row r="32" spans="3:19" ht="19.5">
      <c r="C32">
        <f>N31*F32</f>
        <v>2064.5982704604562</v>
      </c>
      <c r="F32">
        <f>F31</f>
        <v>0.11</v>
      </c>
      <c r="N32">
        <f>N31+C32</f>
        <v>20833.673456464607</v>
      </c>
    </row>
    <row r="33" spans="3:19" ht="19.5">
      <c r="C33">
        <f>N32*F33</f>
        <v>2291.7040802111069</v>
      </c>
      <c r="F33">
        <f>F32</f>
        <v>0.11</v>
      </c>
      <c r="N33">
        <f>N32+C33</f>
        <v>23125.377536675715</v>
      </c>
    </row>
    <row r="34" spans="3:19" ht="19.5">
      <c r="C34">
        <f>N33*F34</f>
        <v>2543.7915290343285</v>
      </c>
      <c r="F34">
        <f>F33</f>
        <v>0.11</v>
      </c>
      <c r="N34">
        <f>N33+C34</f>
        <v>25669.169065710044</v>
      </c>
    </row>
    <row r="35" spans="3:19" ht="19.5">
      <c r="C35">
        <f>N34*F35</f>
        <v>2823.6085972281048</v>
      </c>
      <c r="F35">
        <f>F34</f>
        <v>0.11</v>
      </c>
      <c r="N35">
        <f>N34+C35</f>
        <v>28492.777662938148</v>
      </c>
    </row>
    <row r="36" spans="3:19" ht="19.5">
      <c r="C36">
        <f>N35*F36</f>
        <v>3134.2055429231964</v>
      </c>
      <c r="F36">
        <f>F35</f>
        <v>0.11</v>
      </c>
      <c r="N36">
        <f>N35+C36</f>
        <v>31626.983205861343</v>
      </c>
    </row>
    <row r="37" spans="3:19" ht="19.5">
      <c r="C37">
        <f>N36*F37</f>
        <v>3478.9681526447475</v>
      </c>
      <c r="F37">
        <f>F36</f>
        <v>0.11</v>
      </c>
      <c r="N37">
        <f>N36+C37</f>
        <v>35105.951358506092</v>
      </c>
    </row>
    <row r="38" spans="3:19" ht="19.5">
      <c r="C38">
        <f>N37*F38</f>
        <v>3861.6546494356703</v>
      </c>
      <c r="F38">
        <f>F37</f>
        <v>0.11</v>
      </c>
      <c r="N38">
        <f>N37+C38</f>
        <v>38967.606007941766</v>
      </c>
    </row>
    <row r="39" spans="3:19" ht="19.5">
      <c r="C39">
        <f>N38*F39</f>
        <v>4286.4366608735945</v>
      </c>
      <c r="F39">
        <f>F38</f>
        <v>0.11</v>
      </c>
      <c r="N39">
        <f>N38+C39</f>
        <v>43254.04266881536</v>
      </c>
    </row>
    <row r="40" spans="3:19" ht="19.5">
      <c r="C40">
        <f>N39*F40</f>
        <v>4757.9446935696897</v>
      </c>
      <c r="F40">
        <f>F39</f>
        <v>0.11</v>
      </c>
      <c r="N40">
        <f>N39+C40</f>
        <v>48011.987362385051</v>
      </c>
    </row>
    <row r="41" spans="3:19" ht="19.5">
      <c r="C41">
        <f>N40*F41</f>
        <v>5281.3186098623555</v>
      </c>
      <c r="F41">
        <f>F40</f>
        <v>0.11</v>
      </c>
      <c r="N41">
        <f>N40+C41</f>
        <v>53293.305972247406</v>
      </c>
    </row>
    <row r="42" spans="3:19" ht="19.5">
      <c r="C42">
        <f>N41*F42</f>
        <v>5862.2636569472152</v>
      </c>
      <c r="F42">
        <f>F41</f>
        <v>0.11</v>
      </c>
      <c r="N42">
        <f>N41+C42</f>
        <v>59155.569629194622</v>
      </c>
    </row>
    <row r="43" spans="3:19" ht="19.5">
      <c r="C43">
        <f>N42*F43</f>
        <v>6507.1126592114088</v>
      </c>
      <c r="F43">
        <f>F42</f>
        <v>0.11</v>
      </c>
      <c r="N43">
        <f>N42+C43</f>
        <v>65662.682288406038</v>
      </c>
    </row>
    <row r="44" spans="3:19" ht="19.5">
      <c r="C44">
        <f>N43*F44</f>
        <v>7222.895051724664</v>
      </c>
      <c r="F44">
        <f>F43</f>
        <v>0.11</v>
      </c>
      <c r="N44">
        <f>N43+C44</f>
        <v>72885.577340130709</v>
      </c>
    </row>
    <row r="45" spans="3:19" ht="19.5">
      <c r="C45">
        <f>N44*F45</f>
        <v>8017.4135074143778</v>
      </c>
      <c r="F45">
        <f>F44</f>
        <v>0.11</v>
      </c>
      <c r="N45">
        <f>N44+C45</f>
        <v>80902.990847545094</v>
      </c>
    </row>
    <row r="46" spans="3:19" ht="19.5">
      <c r="C46">
        <f>N45*F46</f>
        <v>8899.3289932299613</v>
      </c>
      <c r="F46">
        <f>F45</f>
        <v>0.11</v>
      </c>
      <c r="N46">
        <f>N45+C46</f>
        <v>89802.319840775061</v>
      </c>
    </row>
    <row r="47" spans="3:19" ht="19.5">
      <c r="C47">
        <f>N46*F47</f>
        <v>9878.2551824852562</v>
      </c>
      <c r="F47">
        <f>F46</f>
        <v>0.11</v>
      </c>
      <c r="N47">
        <f>N46+C47</f>
        <v>99680.575023260317</v>
      </c>
    </row>
    <row r="48" spans="3:19" ht="19.5">
      <c r="C48">
        <f>N47*F48</f>
        <v>10964.863252558634</v>
      </c>
      <c r="F48">
        <f>F47</f>
        <v>0.11</v>
      </c>
      <c r="N48">
        <f>N47+C48</f>
        <v>110645.43827581895</v>
      </c>
    </row>
    <row r="49" spans="3:19" ht="19.5">
      <c r="C49">
        <f>N48*F49</f>
        <v>12170.998210340083</v>
      </c>
      <c r="F49">
        <f>F48</f>
        <v>0.11</v>
      </c>
      <c r="N49">
        <f>N48+C49</f>
        <v>122816.43648615903</v>
      </c>
    </row>
    <row r="50" spans="3:19" ht="19.5">
      <c r="C50">
        <f>N49*F50</f>
        <v>13509.808013477494</v>
      </c>
      <c r="F50">
        <f>F49</f>
        <v>0.11</v>
      </c>
      <c r="N50">
        <f>N49+C50</f>
        <v>136326.24449963652</v>
      </c>
    </row>
    <row r="51" spans="3:19" ht="19.5">
      <c r="C51">
        <f>N50*F51</f>
        <v>14995.886894960018</v>
      </c>
      <c r="F51">
        <f>F50</f>
        <v>0.11</v>
      </c>
      <c r="N51">
        <f>N50+C51</f>
        <v>151322.13139459654</v>
      </c>
    </row>
    <row r="52" spans="3:19" ht="19.5">
      <c r="C52">
        <f>N51*F52</f>
        <v>16645.434453405618</v>
      </c>
      <c r="F52">
        <f>F51</f>
        <v>0.11</v>
      </c>
      <c r="N52">
        <f>N51+C52</f>
        <v>167967.56584800215</v>
      </c>
    </row>
    <row r="53" spans="3:19" ht="19.5">
      <c r="C53">
        <f>N52*F53</f>
        <v>18476.432243280236</v>
      </c>
      <c r="F53">
        <f>F52</f>
        <v>0.11</v>
      </c>
      <c r="N53">
        <f>N52+C53</f>
        <v>186443.99809128238</v>
      </c>
    </row>
    <row r="54" spans="3:19" ht="19.5">
      <c r="C54">
        <f>N53*F54</f>
        <v>20508.839790041064</v>
      </c>
      <c r="F54">
        <f>F53</f>
        <v>0.11</v>
      </c>
      <c r="N54">
        <f>N53+C54</f>
        <v>206952.83788132344</v>
      </c>
    </row>
    <row r="55" spans="3:19" ht="19.5">
      <c r="C55">
        <f>N54*F55</f>
        <v>22764.81216694558</v>
      </c>
      <c r="F55">
        <f>F54</f>
        <v>0.11</v>
      </c>
      <c r="N55">
        <f>N54+C55</f>
        <v>229717.65004826902</v>
      </c>
    </row>
    <row r="56" spans="3:19" ht="19.5">
      <c r="C56">
        <f>N55*F56</f>
        <v>25268.941505309591</v>
      </c>
      <c r="F56">
        <f>F55</f>
        <v>0.11</v>
      </c>
      <c r="N56">
        <f>N55+C56</f>
        <v>254986.59155357862</v>
      </c>
    </row>
    <row r="57" spans="3:19" ht="19.5">
      <c r="C57">
        <f>N56*F57</f>
        <v>28048.525070893647</v>
      </c>
      <c r="F57">
        <f>F56</f>
        <v>0.11</v>
      </c>
      <c r="N57">
        <f>N56+C57</f>
        <v>283035.11662447226</v>
      </c>
    </row>
    <row r="58" spans="3:19" ht="19.5">
      <c r="C58">
        <f>N57*F58</f>
        <v>31133.862828691948</v>
      </c>
      <c r="F58">
        <f>F57</f>
        <v>0.11</v>
      </c>
      <c r="N58">
        <f>N57+C58</f>
        <v>314168.97945316421</v>
      </c>
    </row>
    <row r="59" spans="3:19" ht="19.5">
      <c r="C59">
        <f>N58*F59</f>
        <v>34558.587739848066</v>
      </c>
      <c r="F59">
        <f>F58</f>
        <v>0.11</v>
      </c>
      <c r="N59">
        <f>N58+C59</f>
        <v>348727.56719301228</v>
      </c>
    </row>
    <row r="60" spans="3:19" ht="19.5">
      <c r="C60">
        <f>N59*F60</f>
        <v>38360.032391231354</v>
      </c>
      <c r="F60">
        <f>F59</f>
        <v>0.11</v>
      </c>
      <c r="N60">
        <f>N59+C60</f>
        <v>387087.59958424361</v>
      </c>
    </row>
    <row r="61" spans="3:19" ht="19.5">
      <c r="C61">
        <f>N60*F61</f>
        <v>42579.6359542668</v>
      </c>
      <c r="F61">
        <f>F60</f>
        <v>0.11</v>
      </c>
      <c r="N61">
        <f>N60+C61</f>
        <v>429667.23553851043</v>
      </c>
    </row>
    <row r="62" spans="3:19" ht="19.5">
      <c r="C62">
        <f>N61*F62</f>
        <v>47263.395909236147</v>
      </c>
      <c r="F62">
        <f>F61</f>
        <v>0.11</v>
      </c>
      <c r="N62">
        <f>N61+C62</f>
        <v>476930.63144774659</v>
      </c>
    </row>
    <row r="63" spans="3:19" ht="19.5">
      <c r="C63">
        <f>N62*F63</f>
        <v>52462.369459252128</v>
      </c>
      <c r="F63">
        <f>F62</f>
        <v>0.11</v>
      </c>
      <c r="N63">
        <f>N62+C63</f>
        <v>529393.00090699876</v>
      </c>
    </row>
    <row r="64" spans="3:19" ht="19.5">
      <c r="C64">
        <f>N63*F64</f>
        <v>58233.230099769862</v>
      </c>
      <c r="F64">
        <f>F63</f>
        <v>0.11</v>
      </c>
      <c r="N64">
        <f>N63+C64</f>
        <v>587626.23100676865</v>
      </c>
    </row>
    <row r="65" spans="3:19" ht="19.5">
      <c r="C65">
        <f>N64*F65</f>
        <v>64638.885410744551</v>
      </c>
      <c r="F65">
        <f>F64</f>
        <v>0.11</v>
      </c>
      <c r="N65">
        <f>N64+C65</f>
        <v>652265.11641751323</v>
      </c>
    </row>
    <row r="66" spans="3:19" ht="19.5">
      <c r="C66">
        <f>N65*F66</f>
        <v>71749.162805926462</v>
      </c>
      <c r="F66">
        <f>F65</f>
        <v>0.11</v>
      </c>
      <c r="N66">
        <f>N65+C66</f>
        <v>724014.27922343975</v>
      </c>
    </row>
    <row r="67" spans="3:19" ht="19.5">
      <c r="C67">
        <f>N66*F67</f>
        <v>79641.570714578367</v>
      </c>
      <c r="F67">
        <f>F66</f>
        <v>0.11</v>
      </c>
      <c r="N67">
        <f>N66+C67</f>
        <v>803655.84993801813</v>
      </c>
    </row>
    <row r="68" spans="3:19" ht="19.5">
      <c r="C68">
        <f>N67*F68</f>
        <v>88402.143493181997</v>
      </c>
      <c r="F68">
        <f>F67</f>
        <v>0.11</v>
      </c>
      <c r="N68">
        <f>N67+C68</f>
        <v>892057.99343120016</v>
      </c>
    </row>
    <row r="69" spans="3:19" ht="19.5">
      <c r="C69">
        <f>N68*F69</f>
        <v>98126.379277432017</v>
      </c>
      <c r="F69">
        <f>F68</f>
        <v>0.11</v>
      </c>
      <c r="N69">
        <f>N68+C69</f>
        <v>990184.37270863215</v>
      </c>
    </row>
    <row r="70" spans="3:19" ht="19.5">
      <c r="C70">
        <f>N69*F70</f>
        <v>108920.28099794954</v>
      </c>
      <c r="F70">
        <f>F69</f>
        <v>0.11</v>
      </c>
      <c r="N70">
        <f>N69+C70</f>
        <v>1099104.6537065818</v>
      </c>
    </row>
    <row r="71" spans="3:19" ht="19.5">
      <c r="C71">
        <f>N70*F71</f>
        <v>120901.51190772399</v>
      </c>
      <c r="F71">
        <f>F70</f>
        <v>0.11</v>
      </c>
      <c r="N71">
        <f>N70+C71</f>
        <v>1220006.1656143058</v>
      </c>
    </row>
    <row r="72" spans="3:19" ht="19.5">
      <c r="C72">
        <f>N71*F72</f>
        <v>134200.67821757364</v>
      </c>
      <c r="F72">
        <f>F71</f>
        <v>0.11</v>
      </c>
      <c r="N72">
        <f>N71+C72</f>
        <v>1354206.8438318793</v>
      </c>
    </row>
    <row r="73" spans="3:19" ht="19.5">
      <c r="C73">
        <f>N72*F73</f>
        <v>148962.75282150673</v>
      </c>
      <c r="F73">
        <f>F72</f>
        <v>0.11</v>
      </c>
      <c r="N73">
        <f>N72+C73</f>
        <v>1503169.596653386</v>
      </c>
    </row>
    <row r="74" spans="3:19" ht="19.5">
      <c r="C74">
        <f>N73*F74</f>
        <v>165348.65563187248</v>
      </c>
      <c r="F74">
        <f>F73</f>
        <v>0.11</v>
      </c>
      <c r="N74">
        <f>N73+C74</f>
        <v>1668518.2522852584</v>
      </c>
    </row>
    <row r="75" spans="3:19" ht="19.5">
      <c r="C75">
        <f>N74*F75</f>
        <v>183537.00775137843</v>
      </c>
      <c r="F75">
        <f>F74</f>
        <v>0.11</v>
      </c>
      <c r="N75">
        <f>N74+C75</f>
        <v>1852055.2600366368</v>
      </c>
    </row>
    <row r="76" spans="3:19" ht="19.5">
      <c r="C76">
        <f>N75*F76</f>
        <v>203726.07860403004</v>
      </c>
      <c r="F76">
        <f>F75</f>
        <v>0.11</v>
      </c>
      <c r="N76">
        <f>N75+C76</f>
        <v>2055781.3386406668</v>
      </c>
    </row>
    <row r="77" spans="3:19" ht="19.5">
      <c r="C77">
        <f>N76*F77</f>
        <v>226135.94725047334</v>
      </c>
      <c r="F77">
        <f>F76</f>
        <v>0.11</v>
      </c>
      <c r="N77">
        <f>N76+C77</f>
        <v>2281917.2858911403</v>
      </c>
    </row>
    <row r="78" spans="3:19" ht="19.5">
      <c r="C78">
        <f>N77*F78</f>
        <v>251010.90144802543</v>
      </c>
      <c r="F78">
        <f>F77</f>
        <v>0.11</v>
      </c>
      <c r="N78">
        <f>N77+C78</f>
        <v>2532928.1873391657</v>
      </c>
    </row>
    <row r="79" spans="3:19" ht="19.5">
      <c r="C79">
        <f>N78*F79</f>
        <v>278622.10060730821</v>
      </c>
      <c r="F79">
        <f>F78</f>
        <v>0.11</v>
      </c>
      <c r="N79">
        <f>N78+C79</f>
        <v>2811550.2879464738</v>
      </c>
    </row>
    <row r="80" spans="3:19" ht="19.5">
      <c r="C80">
        <f>N79*F80</f>
        <v>309270.53167411214</v>
      </c>
      <c r="F80">
        <f>F79</f>
        <v>0.11</v>
      </c>
      <c r="N80">
        <f>N79+C80</f>
        <v>3120820.819620586</v>
      </c>
    </row>
    <row r="81" spans="3:19" ht="19.5">
      <c r="C81">
        <f>N80*F81</f>
        <v>343290.29015826446</v>
      </c>
      <c r="F81">
        <f>F80</f>
        <v>0.11</v>
      </c>
      <c r="N81">
        <f>N80+C81</f>
        <v>3464111.1097788503</v>
      </c>
    </row>
    <row r="82" spans="3:19" ht="19.5">
      <c r="C82">
        <f>N81*F82</f>
        <v>381052.22207567352</v>
      </c>
      <c r="F82">
        <f>F81</f>
        <v>0.11</v>
      </c>
      <c r="N82">
        <f>N81+C82</f>
        <v>3845163.3318545241</v>
      </c>
    </row>
    <row r="83" spans="3:19" ht="19.5">
      <c r="C83">
        <f>N82*F83</f>
        <v>422967.96650399762</v>
      </c>
      <c r="F83">
        <f>F82</f>
        <v>0.11</v>
      </c>
      <c r="N83">
        <f>N82+C83</f>
        <v>4268131.2983585214</v>
      </c>
    </row>
    <row r="84" spans="3:19" ht="19.5">
      <c r="C84">
        <f>N83*F84</f>
        <v>469494.44281943736</v>
      </c>
      <c r="F84">
        <f>F83</f>
        <v>0.11</v>
      </c>
      <c r="N84">
        <f>N83+C84</f>
        <v>4737625.7411779584</v>
      </c>
    </row>
    <row r="85" spans="3:19" ht="19.5">
      <c r="C85">
        <f>N84*F85</f>
        <v>521138.83152957546</v>
      </c>
      <c r="F85">
        <f>F84</f>
        <v>0.11</v>
      </c>
      <c r="N85">
        <f>N84+C85</f>
        <v>5258764.5727075338</v>
      </c>
    </row>
    <row r="86" spans="3:19" ht="19.5">
      <c r="C86">
        <f>N85*F86</f>
        <v>578464.10299782874</v>
      </c>
      <c r="F86">
        <f>F85</f>
        <v>0.11</v>
      </c>
      <c r="N86">
        <f>N85+C86</f>
        <v>5837228.6757053621</v>
      </c>
    </row>
    <row r="87" spans="3:19" ht="19.5">
      <c r="C87">
        <f>N86*F87</f>
        <v>642095.15432758979</v>
      </c>
      <c r="F87">
        <f>F86</f>
        <v>0.11</v>
      </c>
      <c r="N87">
        <f>N86+C87</f>
        <v>6479323.8300329521</v>
      </c>
    </row>
    <row r="88" spans="3:19" ht="19.5">
      <c r="C88">
        <f>N87*F88</f>
        <v>712725.62130362471</v>
      </c>
      <c r="F88">
        <f>F87</f>
        <v>0.11</v>
      </c>
      <c r="N88">
        <f>N87+C88</f>
        <v>7192049.4513365766</v>
      </c>
    </row>
    <row r="89" spans="3:19" ht="19.5">
      <c r="C89">
        <f>N88*F89</f>
        <v>791125.43964702345</v>
      </c>
      <c r="F89">
        <f>F88</f>
        <v>0.11</v>
      </c>
      <c r="N89">
        <f>N88+C89</f>
        <v>7983174.8909836002</v>
      </c>
    </row>
    <row r="90" spans="3:19" ht="19.5">
      <c r="C90">
        <f>N89*F90</f>
        <v>878149.238008196</v>
      </c>
      <c r="F90">
        <f>F89</f>
        <v>0.11</v>
      </c>
      <c r="N90">
        <f>N89+C90</f>
        <v>8861324.1289917957</v>
      </c>
    </row>
    <row r="91" spans="3:19" ht="19.5">
      <c r="C91">
        <f>N90*F91</f>
        <v>974745.65418909758</v>
      </c>
      <c r="F91">
        <f>F90</f>
        <v>0.11</v>
      </c>
      <c r="N91">
        <f>N90+C91</f>
        <v>9836069.7831808925</v>
      </c>
    </row>
    <row r="92" spans="3:19" ht="19.5">
      <c r="C92">
        <f>N91*F92</f>
        <v>1081967.6761498982</v>
      </c>
      <c r="F92">
        <f>F91</f>
        <v>0.11</v>
      </c>
      <c r="N92">
        <f>N91+C92</f>
        <v>10918037.45933079</v>
      </c>
    </row>
    <row r="93" spans="3:19" ht="19.5">
      <c r="C93">
        <f>N92*F93</f>
        <v>1200984.1205263869</v>
      </c>
      <c r="F93">
        <f>F92</f>
        <v>0.11</v>
      </c>
      <c r="N93">
        <f>N92+C93</f>
        <v>12119021.579857176</v>
      </c>
    </row>
    <row r="94" spans="3:19" ht="19.5">
      <c r="C94">
        <f>N93*F94</f>
        <v>1333092.3737842895</v>
      </c>
      <c r="F94">
        <f>F93</f>
        <v>0.11</v>
      </c>
      <c r="N94">
        <f>N93+C94</f>
        <v>13452113.953641465</v>
      </c>
    </row>
    <row r="95" spans="3:19" ht="19.5">
      <c r="C95">
        <f>N94*F95</f>
        <v>1479732.5349005612</v>
      </c>
      <c r="F95">
        <f>F94</f>
        <v>0.11</v>
      </c>
      <c r="N95">
        <f>N94+C95</f>
        <v>14931846.488542026</v>
      </c>
    </row>
    <row r="96" spans="3:19" ht="19.5">
      <c r="C96">
        <f>N95*F96</f>
        <v>1642503.1137396228</v>
      </c>
      <c r="F96">
        <f>F95</f>
        <v>0.11</v>
      </c>
      <c r="N96">
        <f>N95+C96</f>
        <v>16574349.602281649</v>
      </c>
    </row>
    <row r="97" spans="3:19" ht="19.5">
      <c r="C97">
        <f>N96*F97</f>
        <v>1823178.4562509814</v>
      </c>
      <c r="F97">
        <f>F96</f>
        <v>0.11</v>
      </c>
      <c r="N97">
        <f>N96+C97</f>
        <v>18397528.058532629</v>
      </c>
    </row>
    <row r="98" spans="3:19" ht="19.5">
      <c r="C98">
        <f>N97*F98</f>
        <v>2023728.0864385893</v>
      </c>
      <c r="F98">
        <f>F97</f>
        <v>0.11</v>
      </c>
      <c r="N98">
        <f>N97+C98</f>
        <v>20421256.144971218</v>
      </c>
    </row>
    <row r="99" spans="3:19" ht="19.5">
      <c r="C99">
        <f>N98*F99</f>
        <v>2246338.175946834</v>
      </c>
      <c r="F99">
        <f>F98</f>
        <v>0.11</v>
      </c>
      <c r="N99">
        <f>N98+C99</f>
        <v>22667594.320918053</v>
      </c>
    </row>
    <row r="100" spans="3:19" ht="19.5">
      <c r="C100">
        <f>N99*F100</f>
        <v>2493435.3753009858</v>
      </c>
      <c r="F100">
        <f>F99</f>
        <v>0.11</v>
      </c>
      <c r="N100">
        <f>N99+C100</f>
        <v>25161029.696219038</v>
      </c>
    </row>
    <row r="101" spans="3:19" ht="19.5">
      <c r="C101">
        <f>N100*F101</f>
        <v>2767713.2665840941</v>
      </c>
      <c r="F101">
        <f>F100</f>
        <v>0.11</v>
      </c>
      <c r="N101">
        <f>N100+C101</f>
        <v>27928742.962803133</v>
      </c>
    </row>
    <row r="102" spans="3:19" ht="19.5">
      <c r="C102">
        <f>N101*F102</f>
        <v>3072161.7259083446</v>
      </c>
      <c r="F102">
        <f>F101</f>
        <v>0.11</v>
      </c>
      <c r="N102">
        <f>N101+C102</f>
        <v>31000904.688711479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1" width="9.142307692307693"/>
    <col min="2" max="256" style="1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1.1232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2020-04-09T06:11:03Z</dcterms:modified>
  <dcterms:created xsi:type="dcterms:W3CDTF">2020-03-17T20:51:58Z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