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90" windowWidth="9435" windowHeight="5475" tabRatio="878"/>
  </bookViews>
  <sheets>
    <sheet name="C3D Scale" sheetId="4" r:id="rId1"/>
    <sheet name="Help" sheetId="11" r:id="rId2"/>
    <sheet name="Parameters" sheetId="10" r:id="rId3"/>
    <sheet name="Calculations" sheetId="12" r:id="rId4"/>
    <sheet name="MA-400" sheetId="5" r:id="rId5"/>
    <sheet name="Load Cell" sheetId="8" r:id="rId6"/>
    <sheet name="AMTI-2" sheetId="2" r:id="rId7"/>
    <sheet name="AMTI-2a" sheetId="9" r:id="rId8"/>
    <sheet name="AMTI-4" sheetId="7" r:id="rId9"/>
    <sheet name="Bertec-2" sheetId="3" r:id="rId10"/>
    <sheet name="Kistler-3" sheetId="1" r:id="rId11"/>
  </sheets>
  <definedNames>
    <definedName name="adc_sens" localSheetId="7">'AMTI-2a'!$D$6</definedName>
    <definedName name="adc_sens" localSheetId="8">'AMTI-4'!$C$6</definedName>
    <definedName name="adc_sens" localSheetId="9">'Bertec-2'!$C$6</definedName>
    <definedName name="adc_sens">'AMTI-2'!$C$6</definedName>
    <definedName name="excitation" localSheetId="7">'AMTI-2a'!$D$11</definedName>
    <definedName name="excitation" localSheetId="8">'AMTI-4'!$C$11</definedName>
    <definedName name="excitation" localSheetId="9">'Bertec-2'!#REF!</definedName>
    <definedName name="excitation">'AMTI-2'!$C$11</definedName>
    <definedName name="Fx" localSheetId="7">'AMTI-2a'!#REF!</definedName>
    <definedName name="Fx" localSheetId="8">'AMTI-4'!$B$12</definedName>
    <definedName name="Fx" localSheetId="9">'Bertec-2'!$B$16</definedName>
    <definedName name="Fx">'AMTI-2'!$B$16</definedName>
    <definedName name="Fxch" localSheetId="7">'AMTI-2a'!$F$16</definedName>
    <definedName name="Fxch" localSheetId="8">'AMTI-4'!$E$16</definedName>
    <definedName name="Fxch" localSheetId="9">'Bertec-2'!$E$16</definedName>
    <definedName name="Fxch">'AMTI-2'!$E$16</definedName>
    <definedName name="fxGain" localSheetId="7">'AMTI-2a'!$E$16</definedName>
    <definedName name="fxGain" localSheetId="8">'AMTI-4'!$D$16</definedName>
    <definedName name="fxGain" localSheetId="9">'Bertec-2'!$D$16</definedName>
    <definedName name="fxGain">'AMTI-2'!$D$16</definedName>
    <definedName name="Fy" localSheetId="7">'AMTI-2a'!#REF!</definedName>
    <definedName name="Fy" localSheetId="8">'AMTI-4'!$B$13</definedName>
    <definedName name="Fy" localSheetId="9">'Bertec-2'!$B$17</definedName>
    <definedName name="Fy">'AMTI-2'!$B$17</definedName>
    <definedName name="Fych" localSheetId="7">'AMTI-2a'!$F$17</definedName>
    <definedName name="Fych" localSheetId="8">'AMTI-4'!$E$17</definedName>
    <definedName name="Fych" localSheetId="9">'Bertec-2'!$E$17</definedName>
    <definedName name="Fych">'AMTI-2'!$E$17</definedName>
    <definedName name="fygain" localSheetId="7">'AMTI-2a'!$E$17</definedName>
    <definedName name="fygain" localSheetId="8">'AMTI-4'!$D$17</definedName>
    <definedName name="fygain" localSheetId="9">'Bertec-2'!$D$17</definedName>
    <definedName name="fygain">'AMTI-2'!$D$17</definedName>
    <definedName name="Fz" localSheetId="7">'AMTI-2a'!#REF!</definedName>
    <definedName name="Fz" localSheetId="8">'AMTI-4'!$B$14</definedName>
    <definedName name="Fz" localSheetId="9">'Bertec-2'!$B$18</definedName>
    <definedName name="Fz">'AMTI-2'!$B$18</definedName>
    <definedName name="Fzch" localSheetId="7">'AMTI-2a'!$F$18</definedName>
    <definedName name="Fzch" localSheetId="8">'AMTI-4'!$E$18</definedName>
    <definedName name="Fzch" localSheetId="9">'Bertec-2'!$E$18</definedName>
    <definedName name="Fzch">'AMTI-2'!$E$18</definedName>
    <definedName name="fzgain" localSheetId="7">'AMTI-2a'!$E$18</definedName>
    <definedName name="fzgain" localSheetId="8">'AMTI-4'!$D$18</definedName>
    <definedName name="fzgain" localSheetId="9">'Bertec-2'!$D$18</definedName>
    <definedName name="fzgain">'AMTI-2'!$D$18</definedName>
    <definedName name="gain">'Kistler-3'!$E$17:$E$19</definedName>
    <definedName name="gen_scale" localSheetId="7">'AMTI-2a'!$D$8</definedName>
    <definedName name="gen_scale" localSheetId="8">'AMTI-4'!$C$8</definedName>
    <definedName name="gen_scale" localSheetId="9">'Bertec-2'!$C$8</definedName>
    <definedName name="gen_scale">'AMTI-2'!$C$8</definedName>
    <definedName name="Kister_Fx" localSheetId="7">'AMTI-2a'!#REF!</definedName>
    <definedName name="Kister_Fx" localSheetId="8">'AMTI-4'!#REF!</definedName>
    <definedName name="Kister_Fx" localSheetId="9">'Bertec-2'!#REF!</definedName>
    <definedName name="Kister_Fx" localSheetId="3">'AMTI-2'!#REF!</definedName>
    <definedName name="Kister_Fx">'AMTI-2'!#REF!</definedName>
    <definedName name="Kister_Fy" localSheetId="7">'AMTI-2a'!#REF!</definedName>
    <definedName name="Kister_Fy" localSheetId="8">'AMTI-4'!#REF!</definedName>
    <definedName name="Kister_Fy" localSheetId="9">'Bertec-2'!#REF!</definedName>
    <definedName name="Kister_Fy" localSheetId="3">'AMTI-2'!#REF!</definedName>
    <definedName name="Kister_Fy">'AMTI-2'!#REF!</definedName>
    <definedName name="Kister_fz" localSheetId="7">'AMTI-2a'!#REF!</definedName>
    <definedName name="Kister_fz" localSheetId="8">'AMTI-4'!#REF!</definedName>
    <definedName name="Kister_fz" localSheetId="9">'Bertec-2'!#REF!</definedName>
    <definedName name="Kister_fz" localSheetId="3">'AMTI-2'!#REF!</definedName>
    <definedName name="Kister_fz">'AMTI-2'!#REF!</definedName>
    <definedName name="Mx" localSheetId="7">'AMTI-2a'!#REF!</definedName>
    <definedName name="Mx" localSheetId="8">'AMTI-4'!$B$15</definedName>
    <definedName name="Mx" localSheetId="9">'Bertec-2'!$B$19</definedName>
    <definedName name="Mx">'AMTI-2'!$B$19</definedName>
    <definedName name="Mxch" localSheetId="7">'AMTI-2a'!$F$19</definedName>
    <definedName name="Mxch" localSheetId="8">'AMTI-4'!$E$19</definedName>
    <definedName name="Mxch" localSheetId="9">'Bertec-2'!$E$19</definedName>
    <definedName name="Mxch">'AMTI-2'!$E$19</definedName>
    <definedName name="mxgain" localSheetId="7">'AMTI-2a'!$E$19</definedName>
    <definedName name="mxgain" localSheetId="8">'AMTI-4'!$D$19</definedName>
    <definedName name="mxgain" localSheetId="9">'Bertec-2'!$D$19</definedName>
    <definedName name="mxgain">'AMTI-2'!$D$19</definedName>
    <definedName name="My" localSheetId="7">'AMTI-2a'!#REF!</definedName>
    <definedName name="My" localSheetId="8">'AMTI-4'!$B$16</definedName>
    <definedName name="My" localSheetId="9">'Bertec-2'!$B$20</definedName>
    <definedName name="My">'AMTI-2'!$B$20</definedName>
    <definedName name="Mych" localSheetId="7">'AMTI-2a'!$F$20</definedName>
    <definedName name="Mych" localSheetId="8">'AMTI-4'!$E$20</definedName>
    <definedName name="Mych" localSheetId="9">'Bertec-2'!$E$20</definedName>
    <definedName name="Mych">'AMTI-2'!$E$20</definedName>
    <definedName name="mygain" localSheetId="7">'AMTI-2a'!$E$20</definedName>
    <definedName name="mygain" localSheetId="8">'AMTI-4'!$D$20</definedName>
    <definedName name="mygain" localSheetId="9">'Bertec-2'!$D$20</definedName>
    <definedName name="mygain">'AMTI-2'!$D$20</definedName>
    <definedName name="Mz" localSheetId="7">'AMTI-2a'!#REF!</definedName>
    <definedName name="Mz" localSheetId="8">'AMTI-4'!$B$17</definedName>
    <definedName name="Mz" localSheetId="9">'Bertec-2'!$B$21</definedName>
    <definedName name="Mz">'AMTI-2'!$B$21</definedName>
    <definedName name="Mzch" localSheetId="7">'AMTI-2a'!$F$21</definedName>
    <definedName name="Mzch" localSheetId="8">'AMTI-4'!$E$21</definedName>
    <definedName name="Mzch" localSheetId="9">'Bertec-2'!$E$21</definedName>
    <definedName name="Mzch">'AMTI-2'!$E$21</definedName>
    <definedName name="mzgain" localSheetId="7">'AMTI-2a'!$E$21</definedName>
    <definedName name="mzgain" localSheetId="8">'AMTI-4'!$D$21</definedName>
    <definedName name="mzgain" localSheetId="9">'Bertec-2'!$D$21</definedName>
    <definedName name="mzgain">'AMTI-2'!$D$21</definedName>
    <definedName name="_xlnm.Print_Area" localSheetId="0">'C3D Scale'!$A$1:$H$21</definedName>
    <definedName name="_xlnm.Print_Area" localSheetId="4">'MA-400'!$A$1:$H$21</definedName>
    <definedName name="range">'Kistler-3'!$D$17:$D$19</definedName>
    <definedName name="sensitivity">'Kistler-3'!$C$17:$C$19</definedName>
    <definedName name="volts">'Kistler-3'!$C$3</definedName>
  </definedNames>
  <calcPr calcId="145621"/>
</workbook>
</file>

<file path=xl/calcChain.xml><?xml version="1.0" encoding="utf-8"?>
<calcChain xmlns="http://schemas.openxmlformats.org/spreadsheetml/2006/main">
  <c r="C19" i="8" l="1"/>
  <c r="D7" i="5"/>
  <c r="F12" i="5"/>
  <c r="F13" i="5"/>
  <c r="F14" i="5"/>
  <c r="F15" i="5"/>
  <c r="F16" i="5"/>
  <c r="F17" i="5"/>
  <c r="F18" i="5"/>
  <c r="F19" i="5"/>
  <c r="F20" i="5"/>
  <c r="F11" i="5"/>
  <c r="E15" i="12"/>
  <c r="F19" i="12"/>
  <c r="H22" i="10"/>
  <c r="F22" i="10" l="1"/>
  <c r="C9" i="1" l="1"/>
  <c r="C9" i="3"/>
  <c r="C9" i="7"/>
  <c r="D9" i="9"/>
  <c r="C9" i="2"/>
  <c r="C4" i="12" l="1"/>
  <c r="C9" i="12"/>
  <c r="E9" i="12" s="1"/>
  <c r="G16" i="12"/>
  <c r="E5" i="12"/>
  <c r="G15" i="12" s="1"/>
  <c r="C7" i="12"/>
  <c r="E20" i="12" l="1"/>
  <c r="G11" i="12"/>
  <c r="G12" i="12"/>
  <c r="D11" i="5" l="1"/>
  <c r="D13" i="5"/>
  <c r="D14" i="5"/>
  <c r="D15" i="5"/>
  <c r="D16" i="5"/>
  <c r="D17" i="5"/>
  <c r="D18" i="5"/>
  <c r="D19" i="5"/>
  <c r="D20" i="5"/>
  <c r="D12" i="5"/>
  <c r="E5" i="5" l="1"/>
  <c r="F4" i="2" l="1"/>
  <c r="F5" i="2"/>
  <c r="C6" i="2"/>
  <c r="F16" i="2" s="1"/>
  <c r="C16" i="2"/>
  <c r="C17" i="2"/>
  <c r="C18" i="2"/>
  <c r="C19" i="2"/>
  <c r="F19" i="2"/>
  <c r="C20" i="2"/>
  <c r="C21" i="2"/>
  <c r="F21" i="2"/>
  <c r="G4" i="9"/>
  <c r="G5" i="9"/>
  <c r="D6" i="9"/>
  <c r="D16" i="9"/>
  <c r="G16" i="9"/>
  <c r="D17" i="9"/>
  <c r="G17" i="9"/>
  <c r="D18" i="9"/>
  <c r="G18" i="9"/>
  <c r="D19" i="9"/>
  <c r="G19" i="9"/>
  <c r="D20" i="9"/>
  <c r="G20" i="9"/>
  <c r="D21" i="9"/>
  <c r="G21" i="9"/>
  <c r="F4" i="7"/>
  <c r="F5" i="7"/>
  <c r="C6" i="7"/>
  <c r="C16" i="7"/>
  <c r="F16" i="7"/>
  <c r="C17" i="7"/>
  <c r="F17" i="7" s="1"/>
  <c r="C18" i="7"/>
  <c r="F18" i="7"/>
  <c r="C19" i="7"/>
  <c r="F19" i="7" s="1"/>
  <c r="C20" i="7"/>
  <c r="F20" i="7"/>
  <c r="C21" i="7"/>
  <c r="F21" i="7" s="1"/>
  <c r="F4" i="3"/>
  <c r="F5" i="3"/>
  <c r="C6" i="3"/>
  <c r="F16" i="3" s="1"/>
  <c r="F19" i="3"/>
  <c r="F4" i="10"/>
  <c r="F8" i="10" s="1"/>
  <c r="F5" i="10"/>
  <c r="C10" i="10"/>
  <c r="E13" i="10" s="1"/>
  <c r="F4" i="1"/>
  <c r="F5" i="1"/>
  <c r="C6" i="1"/>
  <c r="F17" i="1" s="1"/>
  <c r="F4" i="8"/>
  <c r="F5" i="8"/>
  <c r="C6" i="8"/>
  <c r="C18" i="8"/>
  <c r="F4" i="5"/>
  <c r="C6" i="5"/>
  <c r="E14" i="10" l="1"/>
  <c r="F21" i="10"/>
  <c r="F9" i="8"/>
  <c r="F10" i="8" s="1"/>
  <c r="E10" i="10"/>
  <c r="F17" i="2"/>
  <c r="F18" i="1"/>
  <c r="F21" i="3"/>
  <c r="F17" i="3"/>
  <c r="F19" i="1"/>
  <c r="F18" i="3"/>
  <c r="F20" i="3"/>
  <c r="F20" i="2"/>
  <c r="F18" i="2"/>
</calcChain>
</file>

<file path=xl/comments1.xml><?xml version="1.0" encoding="utf-8"?>
<comments xmlns="http://schemas.openxmlformats.org/spreadsheetml/2006/main">
  <authors>
    <author>Motion Lab Systems, Inc.</author>
    <author>Edmund Cramp</author>
  </authors>
  <commentList>
    <comment ref="C3" authorId="0">
      <text>
        <r>
          <rPr>
            <sz val="8"/>
            <color indexed="81"/>
            <rFont val="Tahoma"/>
            <family val="2"/>
          </rPr>
          <t>This is the ADC card voltage range, normally quoted as "</t>
        </r>
        <r>
          <rPr>
            <sz val="8"/>
            <color indexed="81"/>
            <rFont val="Calibri"/>
            <family val="2"/>
          </rPr>
          <t>±</t>
        </r>
        <r>
          <rPr>
            <sz val="8"/>
            <color indexed="81"/>
            <rFont val="Tahoma"/>
            <family val="2"/>
          </rPr>
          <t>10 Volts" which which means that the range of the ADC is 20 Volts from +10V to -10V.</t>
        </r>
      </text>
    </comment>
    <comment ref="C4" authorId="1">
      <text>
        <r>
          <rPr>
            <sz val="8"/>
            <color indexed="81"/>
            <rFont val="Tahoma"/>
          </rPr>
          <t>Used by older ADCs which have a single gain control that affects all sampled channels.  Most modern ADCs use individual channel gain settings.  The default value is 1 if there is no gain option.</t>
        </r>
      </text>
    </comment>
    <comment ref="C5" authorId="0">
      <text>
        <r>
          <rPr>
            <sz val="8"/>
            <color indexed="81"/>
            <rFont val="Tahoma"/>
            <family val="2"/>
          </rPr>
          <t>The number of bits of resolution available to the ADC device - usually 12, 14, or 16 bits.</t>
        </r>
      </text>
    </comment>
    <comment ref="C7" authorId="0">
      <text>
        <r>
          <rPr>
            <sz val="8"/>
            <color indexed="81"/>
            <rFont val="Tahoma"/>
            <family val="2"/>
          </rPr>
          <t xml:space="preserve">The individual ADC channel gain affects the individual ADC channel input range.  When a </t>
        </r>
        <r>
          <rPr>
            <sz val="8"/>
            <color indexed="81"/>
            <rFont val="Calibri"/>
            <family val="2"/>
          </rPr>
          <t>±</t>
        </r>
        <r>
          <rPr>
            <sz val="8"/>
            <color indexed="81"/>
            <rFont val="Tahoma"/>
            <family val="2"/>
          </rPr>
          <t xml:space="preserve">10V ADC channel gain is "2" then the ADC channel input range is </t>
        </r>
        <r>
          <rPr>
            <sz val="8"/>
            <color indexed="81"/>
            <rFont val="Calibri"/>
            <family val="2"/>
          </rPr>
          <t>±</t>
        </r>
        <r>
          <rPr>
            <sz val="8"/>
            <color indexed="81"/>
            <rFont val="Tahoma"/>
            <family val="2"/>
          </rPr>
          <t>5V range.  This value is not recorded in the C3D file but affects each individual ANALOG:SCALE calculation.</t>
        </r>
      </text>
    </comment>
    <comment ref="E12" authorId="1">
      <text>
        <r>
          <rPr>
            <sz val="8"/>
            <color indexed="81"/>
            <rFont val="Tahoma"/>
            <family val="2"/>
          </rPr>
          <t xml:space="preserve">Enter your </t>
        </r>
        <r>
          <rPr>
            <b/>
            <sz val="8"/>
            <color indexed="81"/>
            <rFont val="Tahoma"/>
            <family val="2"/>
          </rPr>
          <t>GEN_SCALE</t>
        </r>
        <r>
          <rPr>
            <sz val="8"/>
            <color indexed="81"/>
            <rFont val="Tahoma"/>
            <family val="2"/>
          </rPr>
          <t xml:space="preserve"> parameter value here.  Common C3D values are normally 1.0 or 0.004883.  The ANALOG:GEN_SCALE is always a positive value.  Individual ANALOG:SCALE parameters may be either positive or negative. A negative value will invert the scaled data values</t>
        </r>
      </text>
    </comment>
  </commentList>
</comments>
</file>

<file path=xl/comments2.xml><?xml version="1.0" encoding="utf-8"?>
<comments xmlns="http://schemas.openxmlformats.org/spreadsheetml/2006/main">
  <authors>
    <author>Installations</author>
  </authors>
  <commentList>
    <comment ref="E5" authorId="0">
      <text>
        <r>
          <rPr>
            <sz val="9"/>
            <color indexed="81"/>
            <rFont val="Tahoma"/>
            <family val="2"/>
          </rPr>
          <t>The ADC samples are binary values and always return values from 0 to the maximum ADC resolution which is the number of ADC bits to the power of two, minus one (because 0 is a valid sample).</t>
        </r>
      </text>
    </comment>
  </commentList>
</comments>
</file>

<file path=xl/comments3.xml><?xml version="1.0" encoding="utf-8"?>
<comments xmlns="http://schemas.openxmlformats.org/spreadsheetml/2006/main">
  <authors>
    <author>Motion Lab Systems, Inc.</author>
    <author>Installations</author>
  </authors>
  <commentList>
    <comment ref="C3" authorId="0">
      <text>
        <r>
          <rPr>
            <sz val="8"/>
            <color indexed="81"/>
            <rFont val="Tahoma"/>
            <family val="2"/>
          </rPr>
          <t>ADC card voltage range - normally quoted as "+/- 10 Volts" - which means that the total range of the ADC is 20 Volts.</t>
        </r>
      </text>
    </comment>
    <comment ref="C4" authorId="0">
      <text>
        <r>
          <rPr>
            <sz val="8"/>
            <color indexed="81"/>
            <rFont val="Tahoma"/>
            <family val="2"/>
          </rPr>
          <t>ADC channel gain - set to "2" for a +/-5V range with most ADC cards.</t>
        </r>
      </text>
    </comment>
    <comment ref="C5" authorId="0">
      <text>
        <r>
          <rPr>
            <sz val="8"/>
            <color indexed="81"/>
            <rFont val="Tahoma"/>
            <family val="2"/>
          </rPr>
          <t>The number of bits of resolution available to the ADC device - usually 12, 14, or 16.</t>
        </r>
      </text>
    </comment>
    <comment ref="C7" authorId="1">
      <text>
        <r>
          <rPr>
            <sz val="9"/>
            <color indexed="81"/>
            <rFont val="Tahoma"/>
            <family val="2"/>
          </rPr>
          <t xml:space="preserve">The C3D ANALOG:GEN_SCALE parameter is applied to all analog channel calculations and should be set to the value of 1 bit.
</t>
        </r>
      </text>
    </comment>
    <comment ref="D10" authorId="1">
      <text>
        <r>
          <rPr>
            <sz val="9"/>
            <color indexed="81"/>
            <rFont val="Tahoma"/>
            <family val="2"/>
          </rPr>
          <t xml:space="preserve">This is the maximum input level reduced by 10% to avoid clipping the input signal.
</t>
        </r>
      </text>
    </comment>
  </commentList>
</comments>
</file>

<file path=xl/comments4.xml><?xml version="1.0" encoding="utf-8"?>
<comments xmlns="http://schemas.openxmlformats.org/spreadsheetml/2006/main">
  <authors>
    <author>Motion Lab Systems, Inc.</author>
    <author>Edmund Cramp</author>
  </authors>
  <commentList>
    <comment ref="C3" authorId="0">
      <text>
        <r>
          <rPr>
            <sz val="8"/>
            <color indexed="81"/>
            <rFont val="Tahoma"/>
            <family val="2"/>
          </rPr>
          <t>ADC card voltage range - normally quoted as "+/- 10 Volts" - which means that the total range of the ADC is 20 Volts.</t>
        </r>
      </text>
    </comment>
    <comment ref="C4" authorId="0">
      <text>
        <r>
          <rPr>
            <sz val="8"/>
            <color indexed="81"/>
            <rFont val="Tahoma"/>
            <family val="2"/>
          </rPr>
          <t>ADC channel gain</t>
        </r>
      </text>
    </comment>
    <comment ref="C5" authorId="0">
      <text>
        <r>
          <rPr>
            <sz val="8"/>
            <color indexed="81"/>
            <rFont val="Tahoma"/>
            <family val="2"/>
          </rPr>
          <t>The number of bits of resolution available to the ADC device - usually 12 or 16.</t>
        </r>
      </text>
    </comment>
    <comment ref="C8" authorId="1">
      <text>
        <r>
          <rPr>
            <sz val="8"/>
            <color indexed="81"/>
            <rFont val="Tahoma"/>
            <family val="2"/>
          </rPr>
          <t>Enter your GEN_SCALE value here.  Common values are either 1.0 or 0.004883</t>
        </r>
      </text>
    </comment>
  </commentList>
</comments>
</file>

<file path=xl/comments5.xml><?xml version="1.0" encoding="utf-8"?>
<comments xmlns="http://schemas.openxmlformats.org/spreadsheetml/2006/main">
  <authors>
    <author>Edmund Cramp</author>
    <author>Motion Lab Systems, Inc.</author>
  </authors>
  <commentList>
    <comment ref="C3" authorId="0">
      <text>
        <r>
          <rPr>
            <sz val="8"/>
            <color indexed="81"/>
            <rFont val="Tahoma"/>
          </rPr>
          <t xml:space="preserve">ADC card voltage range - normally quoted as "+/- 10 Volts" - which means that the total range of the ADC is </t>
        </r>
        <r>
          <rPr>
            <b/>
            <sz val="8"/>
            <color indexed="10"/>
            <rFont val="Tahoma"/>
            <family val="2"/>
          </rPr>
          <t>20 Volts</t>
        </r>
        <r>
          <rPr>
            <sz val="8"/>
            <color indexed="81"/>
            <rFont val="Tahoma"/>
          </rPr>
          <t>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 xml:space="preserve">Overall ADC gain:
</t>
        </r>
        <r>
          <rPr>
            <sz val="8"/>
            <color indexed="81"/>
            <rFont val="Tahoma"/>
          </rPr>
          <t>Used by Vicon-VX but not the 370/512 Vicon systems which use individual channel gain settings.</t>
        </r>
      </text>
    </comment>
    <comment ref="C5" authorId="1">
      <text>
        <r>
          <rPr>
            <sz val="8"/>
            <color indexed="81"/>
            <rFont val="Tahoma"/>
            <family val="2"/>
          </rPr>
          <t>The number of bits of resolution available to the ADC device - usually 12 or 16.</t>
        </r>
        <r>
          <rPr>
            <sz val="8"/>
            <color indexed="81"/>
            <rFont val="Tahoma"/>
          </rPr>
          <t xml:space="preserve">
</t>
        </r>
      </text>
    </comment>
    <comment ref="C8" authorId="0">
      <text>
        <r>
          <rPr>
            <sz val="8"/>
            <color indexed="81"/>
            <rFont val="Tahoma"/>
            <family val="2"/>
          </rPr>
          <t>Enter your GEN_SCALE value here.  Common values are either 1.0 or 0.004883</t>
        </r>
      </text>
    </comment>
    <comment ref="C11" authorId="0">
      <text>
        <r>
          <rPr>
            <sz val="8"/>
            <color indexed="81"/>
            <rFont val="Tahoma"/>
          </rPr>
          <t>Force Plate Excitation voltage:
This is set inside the AMTI amplifier box.</t>
        </r>
      </text>
    </comment>
    <comment ref="C12" authorId="0">
      <text>
        <r>
          <rPr>
            <sz val="8"/>
            <color indexed="81"/>
            <rFont val="Tahoma"/>
            <family val="2"/>
          </rPr>
          <t>Enter the length of the cable between the AMTI amp and the Force Plate.  See note TN191-01 from AMTI for cable length information.</t>
        </r>
      </text>
    </comment>
    <comment ref="B14" authorId="0">
      <text>
        <r>
          <rPr>
            <sz val="8"/>
            <color indexed="81"/>
            <rFont val="Tahoma"/>
            <family val="2"/>
          </rPr>
          <t xml:space="preserve">Older AMTI force plates should use the </t>
        </r>
        <r>
          <rPr>
            <b/>
            <sz val="8"/>
            <color indexed="81"/>
            <rFont val="Tahoma"/>
            <family val="2"/>
          </rPr>
          <t>C' matrix</t>
        </r>
        <r>
          <rPr>
            <sz val="8"/>
            <color indexed="81"/>
            <rFont val="Tahoma"/>
            <family val="2"/>
          </rPr>
          <t xml:space="preserve"> (SI units) data provided with the force plate.
Newer AMTI force plates should use the </t>
        </r>
        <r>
          <rPr>
            <b/>
            <sz val="8"/>
            <color indexed="81"/>
            <rFont val="Tahoma"/>
            <family val="2"/>
          </rPr>
          <t>S matrix</t>
        </r>
        <r>
          <rPr>
            <sz val="8"/>
            <color indexed="81"/>
            <rFont val="Tahoma"/>
            <family val="2"/>
          </rPr>
          <t xml:space="preserve"> (SI units) data.</t>
        </r>
      </text>
    </comment>
    <comment ref="D15" authorId="0">
      <text>
        <r>
          <rPr>
            <sz val="8"/>
            <color indexed="81"/>
            <rFont val="Tahoma"/>
          </rPr>
          <t xml:space="preserve">AMTI Channel gain - this is set by DIP switches on the AMTI amplifier.
</t>
        </r>
      </text>
    </comment>
    <comment ref="E15" authorId="0">
      <text>
        <r>
          <rPr>
            <sz val="8"/>
            <color indexed="81"/>
            <rFont val="Tahoma"/>
          </rPr>
          <t xml:space="preserve">Individual ADC channel gain as applied by the Analog Data Collection card.
</t>
        </r>
      </text>
    </comment>
  </commentList>
</comments>
</file>

<file path=xl/comments6.xml><?xml version="1.0" encoding="utf-8"?>
<comments xmlns="http://schemas.openxmlformats.org/spreadsheetml/2006/main">
  <authors>
    <author>Edmund Cramp</author>
    <author>Motion Lab Systems, Inc.</author>
  </authors>
  <commentList>
    <comment ref="D3" authorId="0">
      <text>
        <r>
          <rPr>
            <sz val="8"/>
            <color indexed="81"/>
            <rFont val="Tahoma"/>
          </rPr>
          <t xml:space="preserve">ADC card voltage range - normally quoted as "+/- 10 Volts" - which means that the total range of the ADC is </t>
        </r>
        <r>
          <rPr>
            <b/>
            <sz val="8"/>
            <color indexed="10"/>
            <rFont val="Tahoma"/>
            <family val="2"/>
          </rPr>
          <t>20 Volts</t>
        </r>
        <r>
          <rPr>
            <sz val="8"/>
            <color indexed="81"/>
            <rFont val="Tahoma"/>
          </rPr>
          <t>.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 xml:space="preserve">Overall ADC gain:
</t>
        </r>
        <r>
          <rPr>
            <sz val="8"/>
            <color indexed="81"/>
            <rFont val="Tahoma"/>
          </rPr>
          <t>Used by Vicon-VX but not the 370/512 Vicon systems which use individual channel gain settings.</t>
        </r>
      </text>
    </comment>
    <comment ref="D5" authorId="1">
      <text>
        <r>
          <rPr>
            <sz val="8"/>
            <color indexed="81"/>
            <rFont val="Tahoma"/>
            <family val="2"/>
          </rPr>
          <t>The number of bits of resolution available to the ADC device - usually 12 or 16.</t>
        </r>
        <r>
          <rPr>
            <sz val="8"/>
            <color indexed="81"/>
            <rFont val="Tahoma"/>
          </rPr>
          <t xml:space="preserve">
</t>
        </r>
      </text>
    </comment>
    <comment ref="D8" authorId="0">
      <text>
        <r>
          <rPr>
            <sz val="8"/>
            <color indexed="81"/>
            <rFont val="Tahoma"/>
            <family val="2"/>
          </rPr>
          <t>Enter your GEN_SCALE value here.  Common values are either 1.0 or 0.004883</t>
        </r>
      </text>
    </comment>
    <comment ref="D11" authorId="0">
      <text>
        <r>
          <rPr>
            <sz val="8"/>
            <color indexed="81"/>
            <rFont val="Tahoma"/>
          </rPr>
          <t>Force Plate Excitation voltage:
This is set inside the AMTI amplifier box.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Enter the length of the cable between the AMTI amp and the Force Plate.  See note TN191-01 from AMTI for cable length information.</t>
        </r>
      </text>
    </comment>
    <comment ref="E15" authorId="0">
      <text>
        <r>
          <rPr>
            <sz val="8"/>
            <color indexed="81"/>
            <rFont val="Tahoma"/>
          </rPr>
          <t xml:space="preserve">AMTI Channel gain - this is set by DIP switches on the AMTI amplifier.
</t>
        </r>
      </text>
    </comment>
    <comment ref="F15" authorId="0">
      <text>
        <r>
          <rPr>
            <sz val="8"/>
            <color indexed="81"/>
            <rFont val="Tahoma"/>
          </rPr>
          <t xml:space="preserve">Individual ADC channel gain as applied by the Analog Data Collection card.
</t>
        </r>
      </text>
    </comment>
  </commentList>
</comments>
</file>

<file path=xl/comments7.xml><?xml version="1.0" encoding="utf-8"?>
<comments xmlns="http://schemas.openxmlformats.org/spreadsheetml/2006/main">
  <authors>
    <author>Edmund Cramp</author>
    <author>Motion Lab Systems, Inc.</author>
  </authors>
  <commentList>
    <comment ref="C3" authorId="0">
      <text>
        <r>
          <rPr>
            <sz val="8"/>
            <color indexed="81"/>
            <rFont val="Tahoma"/>
          </rPr>
          <t xml:space="preserve">ADC card voltage range - normally quoted as "+/- 10 Volts" - which means that the total range of the ADC is </t>
        </r>
        <r>
          <rPr>
            <b/>
            <sz val="8"/>
            <color indexed="10"/>
            <rFont val="Tahoma"/>
            <family val="2"/>
          </rPr>
          <t>20 Volts</t>
        </r>
        <r>
          <rPr>
            <sz val="8"/>
            <color indexed="81"/>
            <rFont val="Tahoma"/>
          </rPr>
          <t>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 xml:space="preserve">Overall ADC gain:
</t>
        </r>
        <r>
          <rPr>
            <sz val="8"/>
            <color indexed="81"/>
            <rFont val="Tahoma"/>
          </rPr>
          <t>Used by Vicon-VX but not the 370/512 Vicon systems which use individual channel gain settings.</t>
        </r>
      </text>
    </comment>
    <comment ref="C5" authorId="1">
      <text>
        <r>
          <rPr>
            <sz val="8"/>
            <color indexed="81"/>
            <rFont val="Tahoma"/>
            <family val="2"/>
          </rPr>
          <t>The number of bits of resolution available to the ADC device - usually 12 or 16.</t>
        </r>
        <r>
          <rPr>
            <sz val="8"/>
            <color indexed="81"/>
            <rFont val="Tahoma"/>
          </rPr>
          <t xml:space="preserve">
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ANALOG:GEN_SCALE value:</t>
        </r>
        <r>
          <rPr>
            <sz val="8"/>
            <color indexed="81"/>
            <rFont val="Tahoma"/>
          </rPr>
          <t xml:space="preserve">
Although commonly set to 1.0 it is recommended that the value of 0.004883 is used as some software applications are incapable of handling very small SCALE values.</t>
        </r>
      </text>
    </comment>
    <comment ref="C11" authorId="0">
      <text>
        <r>
          <rPr>
            <sz val="8"/>
            <color indexed="81"/>
            <rFont val="Tahoma"/>
          </rPr>
          <t>Force Plate Excitation voltage:
This is set inside the AMTI amplifier box.</t>
        </r>
      </text>
    </comment>
    <comment ref="C12" authorId="0">
      <text>
        <r>
          <rPr>
            <sz val="8"/>
            <color indexed="81"/>
            <rFont val="Tahoma"/>
            <family val="2"/>
          </rPr>
          <t>Enter the length of the cable between the AMTI amp and the Force Plate.  See note TN191-01 from AMTI for cable length information.</t>
        </r>
      </text>
    </comment>
    <comment ref="D15" authorId="0">
      <text>
        <r>
          <rPr>
            <sz val="8"/>
            <color indexed="81"/>
            <rFont val="Tahoma"/>
          </rPr>
          <t xml:space="preserve">AMTI Channel gain - this is set by DIP switches on the AMTI amplifier.
</t>
        </r>
      </text>
    </comment>
    <comment ref="E15" authorId="0">
      <text>
        <r>
          <rPr>
            <sz val="8"/>
            <color indexed="81"/>
            <rFont val="Tahoma"/>
          </rPr>
          <t xml:space="preserve">Individual ADC channel gain as applied by the Analog Data Collection card.
</t>
        </r>
      </text>
    </comment>
  </commentList>
</comments>
</file>

<file path=xl/comments8.xml><?xml version="1.0" encoding="utf-8"?>
<comments xmlns="http://schemas.openxmlformats.org/spreadsheetml/2006/main">
  <authors>
    <author>Edmund Cramp</author>
    <author>Motion Lab Systems, Inc.</author>
    <author>A satisfied Microsoft Office user</author>
  </authors>
  <commentList>
    <comment ref="C3" authorId="0">
      <text>
        <r>
          <rPr>
            <sz val="8"/>
            <color indexed="81"/>
            <rFont val="Tahoma"/>
          </rPr>
          <t xml:space="preserve">ADC card voltage range - normally quoted as "+/- 10 Volts" - which means that the total range of the ADC is </t>
        </r>
        <r>
          <rPr>
            <b/>
            <sz val="8"/>
            <color indexed="10"/>
            <rFont val="Tahoma"/>
            <family val="2"/>
          </rPr>
          <t>20 Volts</t>
        </r>
        <r>
          <rPr>
            <sz val="8"/>
            <color indexed="81"/>
            <rFont val="Tahoma"/>
          </rPr>
          <t>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 xml:space="preserve">Overall ADC gain:
</t>
        </r>
        <r>
          <rPr>
            <sz val="8"/>
            <color indexed="81"/>
            <rFont val="Tahoma"/>
          </rPr>
          <t>Used by Vicon-VX but not the 370/512 Vicon systems which use individual channel gain settings.</t>
        </r>
      </text>
    </comment>
    <comment ref="C5" authorId="1">
      <text>
        <r>
          <rPr>
            <sz val="8"/>
            <color indexed="81"/>
            <rFont val="Tahoma"/>
            <family val="2"/>
          </rPr>
          <t>The number of bits of resolution available to the ADC device - usually 12 or 16.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ANALOG:GEN_SCALE value:</t>
        </r>
        <r>
          <rPr>
            <sz val="8"/>
            <color indexed="81"/>
            <rFont val="Tahoma"/>
          </rPr>
          <t xml:space="preserve">
Although commonly set to 1.0 it is recommended that the value of 0.004883 is used as some software applications are incapable of handling very small SCALE values.</t>
        </r>
      </text>
    </comment>
    <comment ref="B15" authorId="0">
      <text>
        <r>
          <rPr>
            <sz val="8"/>
            <color indexed="81"/>
            <rFont val="Tahoma"/>
          </rPr>
          <t xml:space="preserve">Values for the "C" matrix (below) are obtained from the Bertec documentation suplied with the plate.
</t>
        </r>
      </text>
    </comment>
    <comment ref="D15" authorId="2">
      <text>
        <r>
          <rPr>
            <sz val="8"/>
            <color indexed="81"/>
            <rFont val="Tahoma"/>
          </rPr>
          <t>This is the gain setting on the Bertec amplifier which usually cover the following ranges:
x1, x2, x5, x10, x20, x50, x100</t>
        </r>
      </text>
    </comment>
    <comment ref="E15" authorId="0">
      <text>
        <r>
          <rPr>
            <sz val="8"/>
            <color indexed="81"/>
            <rFont val="Tahoma"/>
          </rPr>
          <t xml:space="preserve">Gain setting of the individual ADC card channel.
</t>
        </r>
      </text>
    </comment>
    <comment ref="F15" authorId="0">
      <text>
        <r>
          <rPr>
            <sz val="8"/>
            <color indexed="81"/>
            <rFont val="Tahoma"/>
            <family val="2"/>
          </rPr>
          <t>Individual ADC scale factors.</t>
        </r>
      </text>
    </comment>
  </commentList>
</comments>
</file>

<file path=xl/comments9.xml><?xml version="1.0" encoding="utf-8"?>
<comments xmlns="http://schemas.openxmlformats.org/spreadsheetml/2006/main">
  <authors>
    <author>Edmund Cramp</author>
    <author>Motion Lab Systems, Inc.</author>
  </authors>
  <commentList>
    <comment ref="C3" authorId="0">
      <text>
        <r>
          <rPr>
            <sz val="8"/>
            <color indexed="81"/>
            <rFont val="Tahoma"/>
          </rPr>
          <t xml:space="preserve">ADC card voltage range - normally quoted as "+/- 10 Volts" - which means that the total range of the ADC is </t>
        </r>
        <r>
          <rPr>
            <b/>
            <sz val="8"/>
            <color indexed="10"/>
            <rFont val="Tahoma"/>
            <family val="2"/>
          </rPr>
          <t>20 Volts</t>
        </r>
        <r>
          <rPr>
            <sz val="8"/>
            <color indexed="81"/>
            <rFont val="Tahoma"/>
          </rPr>
          <t>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 xml:space="preserve">Overall ADC gain:
</t>
        </r>
        <r>
          <rPr>
            <sz val="8"/>
            <color indexed="81"/>
            <rFont val="Tahoma"/>
          </rPr>
          <t>Used by Vicon-VX but not the 370/512 Vicon systems which use individual channel gain settings.</t>
        </r>
      </text>
    </comment>
    <comment ref="C5" authorId="1">
      <text>
        <r>
          <rPr>
            <sz val="8"/>
            <color indexed="81"/>
            <rFont val="Tahoma"/>
            <family val="2"/>
          </rPr>
          <t>The number of bits of resolution available to the ADC device - usually 12 or 16.</t>
        </r>
      </text>
    </comment>
  </commentList>
</comments>
</file>

<file path=xl/sharedStrings.xml><?xml version="1.0" encoding="utf-8"?>
<sst xmlns="http://schemas.openxmlformats.org/spreadsheetml/2006/main" count="298" uniqueCount="148">
  <si>
    <t>pC/V * NpC * V/bit</t>
  </si>
  <si>
    <t>Sensitivity</t>
  </si>
  <si>
    <t>Range</t>
  </si>
  <si>
    <t>Fx (pC/N)</t>
  </si>
  <si>
    <t>Newtons per Volt</t>
  </si>
  <si>
    <t>Fy (pC/N)</t>
  </si>
  <si>
    <t>Fz (pC/N)</t>
  </si>
  <si>
    <t>Enter the Sensitivity setting from the Kistler calibration sheet and</t>
  </si>
  <si>
    <t>Force Plate</t>
  </si>
  <si>
    <t>uV/Vo/N</t>
  </si>
  <si>
    <t>Gain</t>
  </si>
  <si>
    <t>Chan Gain</t>
  </si>
  <si>
    <t>ANALOG:SCALE</t>
  </si>
  <si>
    <t>S [Fx,Fx']</t>
  </si>
  <si>
    <t>S [Fy,Fy']</t>
  </si>
  <si>
    <t>S [Fz,Fz']</t>
  </si>
  <si>
    <t>S [Mx,Mx']</t>
  </si>
  <si>
    <t>Newton-mm/Volt</t>
  </si>
  <si>
    <t>S [My,My']</t>
  </si>
  <si>
    <t>S [Mz,Mz']</t>
  </si>
  <si>
    <t>Bertec plates have internal filters at 500Hz.</t>
  </si>
  <si>
    <t>These sheets enable the user to calculate the correct C3D scale factors</t>
  </si>
  <si>
    <t>Volts</t>
  </si>
  <si>
    <t>One bit represents</t>
  </si>
  <si>
    <t>ADC gain (x1)</t>
  </si>
  <si>
    <t>ADC input range</t>
  </si>
  <si>
    <t>ADC resolution</t>
  </si>
  <si>
    <t>bits</t>
  </si>
  <si>
    <t>the range as set on the front panel of the force plate amplifiers.</t>
  </si>
  <si>
    <t>AMTI filters are set at either 10Hz or</t>
  </si>
  <si>
    <t>Channel Gain is the individual ADC channel setting.</t>
  </si>
  <si>
    <t>Total Gain</t>
  </si>
  <si>
    <t>Switch</t>
  </si>
  <si>
    <t>Excitation</t>
  </si>
  <si>
    <t>Cable length (in feet)</t>
  </si>
  <si>
    <t xml:space="preserve"> Volts</t>
  </si>
  <si>
    <t>Factor V/Ft</t>
  </si>
  <si>
    <t>Contact your equipment manufacturer for information about C3D scale values.</t>
  </si>
  <si>
    <t>S Matrix</t>
  </si>
  <si>
    <t>Load Cell Scale Calculation</t>
  </si>
  <si>
    <t>ANALOG:GEN_SCALE</t>
  </si>
  <si>
    <t>Maximum Load</t>
  </si>
  <si>
    <t>Excitation Voltage</t>
  </si>
  <si>
    <t>This example uses a Sensotec Model 31 Precision Minature Load</t>
  </si>
  <si>
    <t>External Gain</t>
  </si>
  <si>
    <t>Cell with an output of 2.395mV per volt of excitation at full load.</t>
  </si>
  <si>
    <t>Calibration Factor</t>
  </si>
  <si>
    <t>(units)</t>
  </si>
  <si>
    <t>Bits</t>
  </si>
  <si>
    <t>Quick Calculator</t>
  </si>
  <si>
    <t>Motion Lab Systems, Inc</t>
  </si>
  <si>
    <t>15045 Old Hammond Highway</t>
  </si>
  <si>
    <t>Tel:</t>
  </si>
  <si>
    <t>Email:</t>
  </si>
  <si>
    <t>+1 225 272-7364</t>
  </si>
  <si>
    <t>support@motion-labs.com</t>
  </si>
  <si>
    <t>Baton Rouge, LA  70816  USA</t>
  </si>
  <si>
    <t>BLUE</t>
  </si>
  <si>
    <t>Manufacturers calibration or cross-talk information.</t>
  </si>
  <si>
    <t>RED</t>
  </si>
  <si>
    <t>GREEN</t>
  </si>
  <si>
    <t>Data collection setup parameters.</t>
  </si>
  <si>
    <t>ANALOG:SCALE parameter values.</t>
  </si>
  <si>
    <t>Please visit the C3D.ORG web site for complete information about the C3D file format.</t>
  </si>
  <si>
    <t>Signal range is +/-</t>
  </si>
  <si>
    <t>Input</t>
  </si>
  <si>
    <t>ADC count</t>
  </si>
  <si>
    <t>Output</t>
  </si>
  <si>
    <t>AMTI Force Plate - TYPE-2 scales</t>
  </si>
  <si>
    <t>S Matrix - uV/Vo/N</t>
  </si>
  <si>
    <t xml:space="preserve"> See AMTI Technical note TN191-01</t>
  </si>
  <si>
    <t xml:space="preserve"> bits</t>
  </si>
  <si>
    <t xml:space="preserve"> Volts per bit.</t>
  </si>
  <si>
    <t xml:space="preserve"> Volts (+10 volts to -10 volts)</t>
  </si>
  <si>
    <t xml:space="preserve"> (units)</t>
  </si>
  <si>
    <t xml:space="preserve"> Volts out per volt of excitation at Full Load</t>
  </si>
  <si>
    <t xml:space="preserve"> Enter gain of signal conditioning unit (if any)</t>
  </si>
  <si>
    <t xml:space="preserve"> Volts output per (unit) of load.</t>
  </si>
  <si>
    <t xml:space="preserve">Revised : </t>
  </si>
  <si>
    <t>AMTI Force Plate - Calculate matrix values from ANALOG:SCALE values</t>
  </si>
  <si>
    <t>AMTI Force Plate - TYPE-4 scales</t>
  </si>
  <si>
    <t>Bertec Force Plate - TYPE-2 scales</t>
  </si>
  <si>
    <t>C matrix N/V and Nm/V</t>
  </si>
  <si>
    <t>Kistler Force Plate - TYPE-3 scales</t>
  </si>
  <si>
    <t>Ch Gain</t>
  </si>
  <si>
    <t>ADC channel gain (x1)</t>
  </si>
  <si>
    <t>ADC channel gain</t>
  </si>
  <si>
    <t xml:space="preserve"> Individual ADC channel gain (x1, x2, x4, or x8)</t>
  </si>
  <si>
    <t>Total of</t>
  </si>
  <si>
    <t>bits of resolution</t>
  </si>
  <si>
    <t>mV.</t>
  </si>
  <si>
    <t>Overall ADC gain (x1)</t>
  </si>
  <si>
    <t>1020Hz by switches on the amplifier.</t>
  </si>
  <si>
    <t>How to use these spreadsheets</t>
  </si>
  <si>
    <t>C3D Analog Scale Calculations</t>
  </si>
  <si>
    <t>Bertec</t>
  </si>
  <si>
    <t>Advanced Mechanical Technology Inc.</t>
  </si>
  <si>
    <t>Kistler</t>
  </si>
  <si>
    <t>Motion Lab Systems, Inc.</t>
  </si>
  <si>
    <t xml:space="preserve">     Manufacturer specific sheets for:</t>
  </si>
  <si>
    <t>Sensotec</t>
  </si>
  <si>
    <t>Electromyography</t>
  </si>
  <si>
    <t>Load Cell</t>
  </si>
  <si>
    <t>The worksheets generate the following information based on the input values.</t>
  </si>
  <si>
    <t>The worksheets require the following information:</t>
  </si>
  <si>
    <r>
      <t xml:space="preserve">required by software using C3D files.  See the </t>
    </r>
    <r>
      <rPr>
        <i/>
        <sz val="14"/>
        <rFont val="Calibri"/>
        <family val="2"/>
        <scheme val="minor"/>
      </rPr>
      <t>help</t>
    </r>
    <r>
      <rPr>
        <sz val="14"/>
        <rFont val="Calibri"/>
        <family val="2"/>
        <scheme val="minor"/>
      </rPr>
      <t xml:space="preserve"> page for details.</t>
    </r>
  </si>
  <si>
    <t>If you find any errors in these calculations please send details to support@motion-labs.com</t>
  </si>
  <si>
    <r>
      <t xml:space="preserve">Enter the information about your data collection environment - the values shown in </t>
    </r>
    <r>
      <rPr>
        <sz val="14"/>
        <color indexed="10"/>
        <rFont val="Calibri"/>
        <family val="2"/>
        <scheme val="minor"/>
      </rPr>
      <t>red</t>
    </r>
    <r>
      <rPr>
        <sz val="14"/>
        <rFont val="Calibri"/>
        <family val="2"/>
        <scheme val="minor"/>
      </rPr>
      <t xml:space="preserve"> describe your ADC card setup, while </t>
    </r>
    <r>
      <rPr>
        <sz val="14"/>
        <color indexed="56"/>
        <rFont val="Calibri"/>
        <family val="2"/>
        <scheme val="minor"/>
      </rPr>
      <t>blue</t>
    </r>
    <r>
      <rPr>
        <sz val="14"/>
        <rFont val="Calibri"/>
        <family val="2"/>
        <scheme val="minor"/>
      </rPr>
      <t xml:space="preserve"> values relate to the calibration factors (if any) for the signal source.  Make sure that you use the correct ANALOG:GEN_SCALE factor for your system - contact your data collection system manufacturer if you have any questions.  The appropriate ANALOG:SCALE factor for your device or analog channel will be shown in </t>
    </r>
    <r>
      <rPr>
        <sz val="14"/>
        <color indexed="50"/>
        <rFont val="Calibri"/>
        <family val="2"/>
        <scheme val="minor"/>
      </rPr>
      <t>green</t>
    </r>
    <r>
      <rPr>
        <sz val="14"/>
        <rFont val="Calibri"/>
        <family val="2"/>
        <scheme val="minor"/>
      </rPr>
      <t xml:space="preserve"> - this value is calculated from the information that you provide.</t>
    </r>
  </si>
  <si>
    <r>
      <t xml:space="preserve">ADC input range is </t>
    </r>
    <r>
      <rPr>
        <sz val="14"/>
        <rFont val="Calibri"/>
        <family val="2"/>
      </rPr>
      <t>±</t>
    </r>
  </si>
  <si>
    <t>MA400 EMG Gain switch settings</t>
  </si>
  <si>
    <t>bits ADC resolution.</t>
  </si>
  <si>
    <t>MA300/400 EMG scale calculation for volts at skin surface</t>
  </si>
  <si>
    <r>
      <t xml:space="preserve">MA400 output range is </t>
    </r>
    <r>
      <rPr>
        <sz val="14"/>
        <rFont val="Calibri"/>
        <family val="2"/>
      </rPr>
      <t>±</t>
    </r>
  </si>
  <si>
    <t xml:space="preserve"> bits, therefore</t>
  </si>
  <si>
    <t>Max EMG input (mV)</t>
  </si>
  <si>
    <t>represents</t>
  </si>
  <si>
    <t xml:space="preserve"> Volts,  i.e.</t>
  </si>
  <si>
    <r>
      <t xml:space="preserve">Overall ADC input range is </t>
    </r>
    <r>
      <rPr>
        <sz val="14"/>
        <rFont val="Calibri"/>
        <family val="2"/>
      </rPr>
      <t>±</t>
    </r>
  </si>
  <si>
    <t>When ANALOG:GEN_SCALE=</t>
  </si>
  <si>
    <t xml:space="preserve"> ANALOG:SCALE =</t>
  </si>
  <si>
    <t>ANALOG:OFFSET =</t>
  </si>
  <si>
    <t>A C3D analog data value of</t>
  </si>
  <si>
    <r>
      <t xml:space="preserve">The ADC Input range is </t>
    </r>
    <r>
      <rPr>
        <sz val="14"/>
        <rFont val="Calibri"/>
        <family val="2"/>
      </rPr>
      <t>±</t>
    </r>
  </si>
  <si>
    <t>When the ANALOG:GEN_SCALE parameter is</t>
  </si>
  <si>
    <t>The individual channel ANALOG:SCALE parameter is</t>
  </si>
  <si>
    <t>The default ANALOG:OFFSET parameter is</t>
  </si>
  <si>
    <t>for the ADC described above.</t>
  </si>
  <si>
    <t>Individual ADC channel gain</t>
  </si>
  <si>
    <t xml:space="preserve"> (typically x1, x2, x4, or x8)</t>
  </si>
  <si>
    <t>the default ANALOG:SCALE is</t>
  </si>
  <si>
    <t>to scale the ADC samples in volts.</t>
  </si>
  <si>
    <t>The ADC resolution defines the default ANALOG:OFFSET parameter as</t>
  </si>
  <si>
    <t>These spreadsheets enable you to calculate the correct values for the C3D ANALOG:SCALE parameters.  This value is stored within the C3D file when it is created and is used to scale the stored digital samples into "real-world" units like volts, degrees, and force.  The spreadsheets require information about the data collection and/or measurement system in order to calculate these values - refer to the C3D format manual supplied with your equipment or available on the internet at www.c3d.org for specific details and worked examples of the formulas used in these sheets.</t>
  </si>
  <si>
    <t>How to calculate C3D analog parameters</t>
  </si>
  <si>
    <t>C3D file ADC analog scale calculations</t>
  </si>
  <si>
    <t>Volts.  This is determined by the gain applied to the analog channel.</t>
  </si>
  <si>
    <r>
      <t xml:space="preserve">Thus the signal range is </t>
    </r>
    <r>
      <rPr>
        <sz val="14"/>
        <rFont val="Calibri"/>
        <family val="2"/>
      </rPr>
      <t>±</t>
    </r>
  </si>
  <si>
    <t>Therefore 1 bit represents</t>
  </si>
  <si>
    <t xml:space="preserve"> Volts, i.e.</t>
  </si>
  <si>
    <t>Note that a 12-bit ADC has 4096 bits of resolution and generates a binary value where 000000000000 is the minimum sample value and 111111111111 is the maximum value.  The output is a zero based count, not a one based count.  As a result the maximum value that a 12-bit ADC can generate is 4095, not 4096, so the center of the signal range is 2047, not 2048.</t>
  </si>
  <si>
    <t>ANALOG:OFFSET</t>
  </si>
  <si>
    <t>translated to 16 bit binary is</t>
  </si>
  <si>
    <t>For example</t>
  </si>
  <si>
    <t>Enter your ADC setting (shown in red) to see the optimum values shown in green.</t>
  </si>
  <si>
    <t>ADC resolution mask</t>
  </si>
  <si>
    <t>This sheet calculates the S-Matrix values given the ANALOG:SCALE values found in the C3D file.  It is provided so that users can determine the force plate assignments based on the data stored in a C3D file.</t>
  </si>
  <si>
    <t>The calculation below translates a floating-point or integer C3D file analog data value into volts</t>
  </si>
  <si>
    <t>April 22,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</si>
</sst>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"/>
    <numFmt numFmtId="165" formatCode="0.0000000000"/>
    <numFmt numFmtId="166" formatCode="0.0000"/>
    <numFmt numFmtId="167" formatCode="0.000"/>
    <numFmt numFmtId="168" formatCode="0.000000"/>
    <numFmt numFmtId="169" formatCode="0.00000"/>
    <numFmt numFmtId="170" formatCode="0.00;[Red]0.00"/>
    <numFmt numFmtId="171" formatCode="0.000000000"/>
    <numFmt numFmtId="172" formatCode="0.00000000"/>
  </numFmts>
  <fonts count="32" x14ac:knownFonts="1">
    <font>
      <sz val="10"/>
      <name val="MS Sans Serif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u/>
      <sz val="10"/>
      <color indexed="12"/>
      <name val="MS Sans Serif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indexed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indexed="10"/>
      <name val="Calibri"/>
      <family val="2"/>
      <scheme val="minor"/>
    </font>
    <font>
      <sz val="14"/>
      <color indexed="56"/>
      <name val="Calibri"/>
      <family val="2"/>
      <scheme val="minor"/>
    </font>
    <font>
      <sz val="14"/>
      <color indexed="50"/>
      <name val="Calibri"/>
      <family val="2"/>
      <scheme val="minor"/>
    </font>
    <font>
      <b/>
      <sz val="14"/>
      <color indexed="56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indexed="50"/>
      <name val="Calibri"/>
      <family val="2"/>
      <scheme val="minor"/>
    </font>
    <font>
      <sz val="14"/>
      <color indexed="17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indexed="22"/>
      <name val="Calibri"/>
      <family val="2"/>
      <scheme val="minor"/>
    </font>
    <font>
      <sz val="14"/>
      <name val="Calibri"/>
      <family val="2"/>
    </font>
    <font>
      <sz val="9"/>
      <color indexed="81"/>
      <name val="Tahoma"/>
      <family val="2"/>
    </font>
    <font>
      <b/>
      <sz val="10"/>
      <name val="MS Sans Serif"/>
      <family val="2"/>
    </font>
    <font>
      <b/>
      <sz val="14"/>
      <color rgb="FFFF0000"/>
      <name val="Calibri"/>
      <family val="2"/>
      <scheme val="minor"/>
    </font>
    <font>
      <sz val="8"/>
      <color indexed="81"/>
      <name val="Calibri"/>
      <family val="2"/>
    </font>
    <font>
      <sz val="14"/>
      <color rgb="FFFFFFCC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0"/>
      <color theme="1"/>
      <name val="MS Sans Serif"/>
      <family val="2"/>
    </font>
    <font>
      <b/>
      <sz val="14"/>
      <color rgb="FF00B050"/>
      <name val="Calibri"/>
      <family val="2"/>
      <scheme val="minor"/>
    </font>
    <font>
      <i/>
      <sz val="10"/>
      <name val="MS Sans Serif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6" fillId="4" borderId="0" xfId="0" applyFont="1" applyFill="1" applyAlignment="1" applyProtection="1"/>
    <xf numFmtId="0" fontId="7" fillId="4" borderId="0" xfId="0" applyFont="1" applyFill="1" applyAlignment="1" applyProtection="1">
      <alignment horizontal="centerContinuous" vertical="center"/>
    </xf>
    <xf numFmtId="0" fontId="7" fillId="4" borderId="0" xfId="0" applyFont="1" applyFill="1" applyAlignment="1" applyProtection="1"/>
    <xf numFmtId="0" fontId="7" fillId="4" borderId="0" xfId="1" applyFont="1" applyFill="1" applyAlignment="1" applyProtection="1"/>
    <xf numFmtId="0" fontId="10" fillId="4" borderId="0" xfId="0" applyFont="1" applyFill="1" applyAlignment="1" applyProtection="1"/>
    <xf numFmtId="0" fontId="7" fillId="4" borderId="0" xfId="0" applyFont="1" applyFill="1" applyAlignment="1" applyProtection="1">
      <alignment horizontal="right"/>
    </xf>
    <xf numFmtId="0" fontId="7" fillId="4" borderId="0" xfId="0" quotePrefix="1" applyFont="1" applyFill="1" applyAlignment="1" applyProtection="1"/>
    <xf numFmtId="0" fontId="9" fillId="4" borderId="0" xfId="1" applyFont="1" applyFill="1" applyAlignment="1" applyProtection="1"/>
    <xf numFmtId="0" fontId="6" fillId="2" borderId="0" xfId="0" applyFont="1" applyFill="1"/>
    <xf numFmtId="0" fontId="7" fillId="2" borderId="0" xfId="0" applyFont="1" applyFill="1"/>
    <xf numFmtId="0" fontId="7" fillId="0" borderId="0" xfId="0" applyFont="1" applyFill="1"/>
    <xf numFmtId="0" fontId="7" fillId="2" borderId="0" xfId="0" applyFont="1" applyFill="1" applyAlignment="1" applyProtection="1"/>
    <xf numFmtId="0" fontId="7" fillId="0" borderId="0" xfId="0" applyFont="1" applyFill="1" applyAlignment="1" applyProtection="1"/>
    <xf numFmtId="0" fontId="7" fillId="2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15" fillId="2" borderId="0" xfId="0" applyFont="1" applyFill="1" applyAlignment="1" applyProtection="1"/>
    <xf numFmtId="0" fontId="13" fillId="2" borderId="0" xfId="0" applyFont="1" applyFill="1" applyAlignment="1" applyProtection="1"/>
    <xf numFmtId="0" fontId="16" fillId="2" borderId="0" xfId="0" applyFont="1" applyFill="1" applyAlignment="1" applyProtection="1"/>
    <xf numFmtId="0" fontId="12" fillId="2" borderId="0" xfId="0" applyFont="1" applyFill="1" applyAlignment="1" applyProtection="1"/>
    <xf numFmtId="0" fontId="17" fillId="2" borderId="0" xfId="0" applyFont="1" applyFill="1" applyAlignment="1" applyProtection="1"/>
    <xf numFmtId="0" fontId="14" fillId="2" borderId="0" xfId="0" applyFont="1" applyFill="1" applyAlignment="1" applyProtection="1"/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/>
    </xf>
    <xf numFmtId="0" fontId="12" fillId="0" borderId="0" xfId="0" applyFont="1" applyFill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right"/>
    </xf>
    <xf numFmtId="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Alignment="1">
      <alignment horizontal="left"/>
    </xf>
    <xf numFmtId="1" fontId="7" fillId="2" borderId="0" xfId="0" applyNumberFormat="1" applyFont="1" applyFill="1" applyAlignment="1">
      <alignment horizontal="center"/>
    </xf>
    <xf numFmtId="168" fontId="7" fillId="2" borderId="0" xfId="0" applyNumberFormat="1" applyFont="1" applyFill="1"/>
    <xf numFmtId="0" fontId="13" fillId="2" borderId="0" xfId="0" applyFont="1" applyFill="1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2" fillId="0" borderId="0" xfId="0" applyFont="1" applyFill="1" applyAlignment="1" applyProtection="1">
      <alignment horizontal="center" vertical="center"/>
      <protection locked="0"/>
    </xf>
    <xf numFmtId="1" fontId="7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left" vertical="center"/>
    </xf>
    <xf numFmtId="167" fontId="9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Fill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>
      <alignment horizontal="right" vertical="center"/>
    </xf>
    <xf numFmtId="169" fontId="13" fillId="0" borderId="0" xfId="0" applyNumberFormat="1" applyFont="1" applyFill="1" applyBorder="1" applyAlignment="1" applyProtection="1">
      <alignment vertical="center"/>
      <protection locked="0"/>
    </xf>
    <xf numFmtId="0" fontId="7" fillId="3" borderId="2" xfId="0" applyFont="1" applyFill="1" applyBorder="1" applyAlignment="1">
      <alignment vertical="center"/>
    </xf>
    <xf numFmtId="1" fontId="7" fillId="3" borderId="0" xfId="0" applyNumberFormat="1" applyFont="1" applyFill="1" applyBorder="1" applyAlignment="1">
      <alignment vertical="center"/>
    </xf>
    <xf numFmtId="166" fontId="7" fillId="3" borderId="3" xfId="0" applyNumberFormat="1" applyFont="1" applyFill="1" applyBorder="1" applyAlignment="1">
      <alignment horizontal="right" vertical="center"/>
    </xf>
    <xf numFmtId="167" fontId="7" fillId="3" borderId="4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168" fontId="18" fillId="2" borderId="0" xfId="0" applyNumberFormat="1" applyFont="1" applyFill="1" applyAlignment="1">
      <alignment horizontal="center" vertical="center"/>
    </xf>
    <xf numFmtId="0" fontId="12" fillId="0" borderId="0" xfId="0" applyFont="1" applyFill="1" applyAlignment="1" applyProtection="1">
      <alignment vertical="center"/>
      <protection locked="0"/>
    </xf>
    <xf numFmtId="164" fontId="12" fillId="0" borderId="0" xfId="0" applyNumberFormat="1" applyFont="1" applyFill="1" applyAlignment="1" applyProtection="1">
      <alignment vertical="center"/>
      <protection locked="0"/>
    </xf>
    <xf numFmtId="164" fontId="7" fillId="2" borderId="0" xfId="0" applyNumberFormat="1" applyFont="1" applyFill="1" applyAlignment="1">
      <alignment vertical="center"/>
    </xf>
    <xf numFmtId="0" fontId="12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2" fillId="0" borderId="0" xfId="0" applyNumberFormat="1" applyFont="1" applyFill="1" applyProtection="1">
      <protection locked="0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0" borderId="0" xfId="0" applyFont="1" applyBorder="1"/>
    <xf numFmtId="167" fontId="9" fillId="0" borderId="0" xfId="0" applyNumberFormat="1" applyFont="1" applyFill="1" applyProtection="1">
      <protection locked="0"/>
    </xf>
    <xf numFmtId="0" fontId="20" fillId="2" borderId="0" xfId="0" applyFont="1" applyFill="1" applyAlignment="1">
      <alignment horizontal="center"/>
    </xf>
    <xf numFmtId="166" fontId="18" fillId="2" borderId="0" xfId="0" applyNumberFormat="1" applyFont="1" applyFill="1"/>
    <xf numFmtId="2" fontId="18" fillId="2" borderId="0" xfId="0" applyNumberFormat="1" applyFont="1" applyFill="1"/>
    <xf numFmtId="0" fontId="7" fillId="0" borderId="0" xfId="0" applyFont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164" fontId="19" fillId="2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167" fontId="18" fillId="2" borderId="0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vertical="center"/>
    </xf>
    <xf numFmtId="165" fontId="7" fillId="2" borderId="0" xfId="0" applyNumberFormat="1" applyFont="1" applyFill="1"/>
    <xf numFmtId="168" fontId="12" fillId="0" borderId="0" xfId="0" applyNumberFormat="1" applyFont="1" applyFill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168" fontId="18" fillId="2" borderId="0" xfId="0" applyNumberFormat="1" applyFont="1" applyFill="1" applyAlignment="1">
      <alignment horizontal="right"/>
    </xf>
    <xf numFmtId="168" fontId="18" fillId="2" borderId="0" xfId="0" applyNumberFormat="1" applyFont="1" applyFill="1" applyAlignment="1">
      <alignment horizontal="center"/>
    </xf>
    <xf numFmtId="0" fontId="7" fillId="5" borderId="0" xfId="0" applyFont="1" applyFill="1"/>
    <xf numFmtId="1" fontId="7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7" fillId="5" borderId="0" xfId="0" applyFont="1" applyFill="1" applyBorder="1"/>
    <xf numFmtId="0" fontId="7" fillId="5" borderId="0" xfId="0" applyFont="1" applyFill="1" applyAlignment="1">
      <alignment horizontal="right"/>
    </xf>
    <xf numFmtId="0" fontId="7" fillId="5" borderId="0" xfId="0" applyFont="1" applyFill="1" applyAlignment="1">
      <alignment horizontal="right" vertical="center"/>
    </xf>
    <xf numFmtId="1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1" fontId="7" fillId="5" borderId="0" xfId="0" applyNumberFormat="1" applyFont="1" applyFill="1" applyAlignment="1">
      <alignment horizontal="left"/>
    </xf>
    <xf numFmtId="0" fontId="12" fillId="6" borderId="0" xfId="0" applyFont="1" applyFill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164" fontId="12" fillId="6" borderId="0" xfId="0" applyNumberFormat="1" applyFont="1" applyFill="1" applyAlignment="1" applyProtection="1">
      <alignment horizontal="center"/>
      <protection locked="0"/>
    </xf>
    <xf numFmtId="0" fontId="7" fillId="5" borderId="0" xfId="0" quotePrefix="1" applyFont="1" applyFill="1"/>
    <xf numFmtId="0" fontId="7" fillId="2" borderId="0" xfId="0" applyFont="1" applyFill="1" applyAlignment="1">
      <alignment wrapText="1"/>
    </xf>
    <xf numFmtId="0" fontId="1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0" fontId="17" fillId="5" borderId="0" xfId="0" applyFont="1" applyFill="1" applyAlignment="1">
      <alignment horizontal="left"/>
    </xf>
    <xf numFmtId="0" fontId="26" fillId="5" borderId="0" xfId="0" applyFont="1" applyFill="1" applyBorder="1"/>
    <xf numFmtId="170" fontId="7" fillId="5" borderId="0" xfId="0" applyNumberFormat="1" applyFont="1" applyFill="1" applyAlignment="1">
      <alignment horizontal="right"/>
    </xf>
    <xf numFmtId="172" fontId="11" fillId="6" borderId="0" xfId="0" applyNumberFormat="1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1" fillId="6" borderId="0" xfId="0" applyNumberFormat="1" applyFont="1" applyFill="1" applyAlignment="1">
      <alignment horizontal="center"/>
    </xf>
    <xf numFmtId="1" fontId="11" fillId="6" borderId="0" xfId="0" applyNumberFormat="1" applyFont="1" applyFill="1" applyAlignment="1">
      <alignment horizontal="center"/>
    </xf>
    <xf numFmtId="164" fontId="29" fillId="2" borderId="0" xfId="0" applyNumberFormat="1" applyFont="1" applyFill="1" applyAlignment="1">
      <alignment vertical="center"/>
    </xf>
    <xf numFmtId="0" fontId="7" fillId="5" borderId="0" xfId="0" applyFont="1" applyFill="1" applyAlignment="1">
      <alignment horizontal="right"/>
    </xf>
    <xf numFmtId="1" fontId="7" fillId="5" borderId="0" xfId="0" applyNumberFormat="1" applyFont="1" applyFill="1" applyProtection="1"/>
    <xf numFmtId="0" fontId="11" fillId="6" borderId="0" xfId="0" applyFont="1" applyFill="1" applyAlignment="1">
      <alignment horizontal="center"/>
    </xf>
    <xf numFmtId="0" fontId="6" fillId="5" borderId="0" xfId="0" applyFont="1" applyFill="1"/>
    <xf numFmtId="0" fontId="7" fillId="0" borderId="0" xfId="0" applyFont="1" applyAlignment="1">
      <alignment vertical="center"/>
    </xf>
    <xf numFmtId="0" fontId="24" fillId="5" borderId="0" xfId="0" applyFont="1" applyFill="1" applyBorder="1" applyAlignment="1">
      <alignment horizontal="left"/>
    </xf>
    <xf numFmtId="0" fontId="29" fillId="5" borderId="0" xfId="0" applyFont="1" applyFill="1" applyAlignment="1">
      <alignment horizontal="center"/>
    </xf>
    <xf numFmtId="1" fontId="29" fillId="5" borderId="0" xfId="0" applyNumberFormat="1" applyFont="1" applyFill="1" applyBorder="1" applyAlignment="1">
      <alignment horizontal="center" vertical="center"/>
    </xf>
    <xf numFmtId="164" fontId="29" fillId="5" borderId="0" xfId="0" applyNumberFormat="1" applyFont="1" applyFill="1" applyAlignment="1">
      <alignment horizontal="center"/>
    </xf>
    <xf numFmtId="0" fontId="29" fillId="5" borderId="0" xfId="0" applyFont="1" applyFill="1"/>
    <xf numFmtId="0" fontId="28" fillId="5" borderId="0" xfId="0" applyFont="1" applyFill="1" applyAlignment="1">
      <alignment horizontal="left" vertical="top" wrapText="1"/>
    </xf>
    <xf numFmtId="169" fontId="29" fillId="5" borderId="0" xfId="0" applyNumberFormat="1" applyFont="1" applyFill="1" applyBorder="1" applyAlignment="1">
      <alignment horizontal="center"/>
    </xf>
    <xf numFmtId="171" fontId="29" fillId="5" borderId="0" xfId="0" applyNumberFormat="1" applyFont="1" applyFill="1" applyAlignment="1">
      <alignment horizontal="center"/>
    </xf>
    <xf numFmtId="171" fontId="29" fillId="5" borderId="0" xfId="0" applyNumberFormat="1" applyFont="1" applyFill="1"/>
    <xf numFmtId="1" fontId="29" fillId="5" borderId="0" xfId="0" applyNumberFormat="1" applyFont="1" applyFill="1" applyBorder="1" applyAlignment="1">
      <alignment horizontal="right" vertical="center"/>
    </xf>
    <xf numFmtId="15" fontId="24" fillId="4" borderId="0" xfId="0" quotePrefix="1" applyNumberFormat="1" applyFont="1" applyFill="1" applyAlignment="1" applyProtection="1"/>
    <xf numFmtId="0" fontId="6" fillId="4" borderId="0" xfId="0" applyFont="1" applyFill="1" applyAlignment="1" applyProtection="1">
      <alignment horizontal="center" vertical="center"/>
    </xf>
    <xf numFmtId="0" fontId="6" fillId="4" borderId="0" xfId="0" applyFont="1" applyFill="1" applyAlignment="1" applyProtection="1"/>
    <xf numFmtId="0" fontId="7" fillId="4" borderId="0" xfId="0" applyFont="1" applyFill="1" applyAlignment="1" applyProtection="1">
      <alignment horizontal="center" vertical="center"/>
    </xf>
    <xf numFmtId="0" fontId="7" fillId="4" borderId="0" xfId="0" applyFont="1" applyFill="1" applyAlignment="1" applyProtection="1"/>
    <xf numFmtId="0" fontId="11" fillId="4" borderId="0" xfId="0" applyFont="1" applyFill="1" applyAlignment="1" applyProtection="1">
      <alignment horizontal="center" vertical="center"/>
    </xf>
    <xf numFmtId="0" fontId="11" fillId="4" borderId="0" xfId="0" applyFont="1" applyFill="1" applyAlignment="1" applyProtection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7" fillId="5" borderId="0" xfId="0" applyFont="1" applyFill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8" fillId="5" borderId="0" xfId="0" applyFont="1" applyFill="1" applyAlignment="1">
      <alignment horizontal="center" vertical="top"/>
    </xf>
    <xf numFmtId="0" fontId="30" fillId="0" borderId="0" xfId="0" applyFont="1" applyAlignment="1">
      <alignment horizontal="center" vertical="top"/>
    </xf>
    <xf numFmtId="2" fontId="6" fillId="5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5" borderId="0" xfId="0" applyFont="1" applyFill="1" applyAlignment="1"/>
    <xf numFmtId="0" fontId="0" fillId="0" borderId="0" xfId="0" applyAlignment="1"/>
    <xf numFmtId="165" fontId="14" fillId="5" borderId="0" xfId="0" applyNumberFormat="1" applyFont="1" applyFill="1" applyAlignment="1"/>
    <xf numFmtId="165" fontId="7" fillId="5" borderId="0" xfId="0" applyNumberFormat="1" applyFont="1" applyFill="1" applyAlignment="1"/>
    <xf numFmtId="0" fontId="7" fillId="5" borderId="0" xfId="0" applyFont="1" applyFill="1" applyAlignment="1">
      <alignment horizontal="center"/>
    </xf>
    <xf numFmtId="0" fontId="0" fillId="5" borderId="0" xfId="0" applyFill="1" applyAlignment="1"/>
    <xf numFmtId="0" fontId="7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166" fontId="7" fillId="3" borderId="6" xfId="0" applyNumberFormat="1" applyFont="1" applyFill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 vertical="center"/>
    </xf>
    <xf numFmtId="166" fontId="7" fillId="3" borderId="8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1" fillId="7" borderId="6" xfId="0" applyFont="1" applyFill="1" applyBorder="1" applyAlignment="1">
      <alignment horizontal="center" vertical="center" wrapText="1"/>
    </xf>
    <xf numFmtId="0" fontId="31" fillId="7" borderId="7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31" fillId="7" borderId="5" xfId="0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7" fillId="0" borderId="0" xfId="0" applyFont="1" applyAlignment="1"/>
    <xf numFmtId="0" fontId="9" fillId="0" borderId="0" xfId="0" applyFont="1" applyFill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motion-labs.com?subject=C3D_scale.xl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zoomScaleSheetLayoutView="100" workbookViewId="0">
      <selection activeCell="G21" sqref="G21"/>
    </sheetView>
  </sheetViews>
  <sheetFormatPr defaultColWidth="9.7109375" defaultRowHeight="18.75" x14ac:dyDescent="0.3"/>
  <cols>
    <col min="1" max="254" width="16.28515625" style="3" customWidth="1"/>
    <col min="255" max="16384" width="9.7109375" style="3"/>
  </cols>
  <sheetData>
    <row r="1" spans="1:8" s="1" customFormat="1" x14ac:dyDescent="0.3">
      <c r="A1" s="127" t="s">
        <v>94</v>
      </c>
      <c r="B1" s="128"/>
      <c r="C1" s="128"/>
      <c r="D1" s="128"/>
      <c r="E1" s="128"/>
      <c r="F1" s="128"/>
      <c r="G1" s="128"/>
      <c r="H1" s="128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s="129" t="s">
        <v>21</v>
      </c>
      <c r="B3" s="130"/>
      <c r="C3" s="130"/>
      <c r="D3" s="130"/>
      <c r="E3" s="130"/>
      <c r="F3" s="130"/>
      <c r="G3" s="130"/>
      <c r="H3" s="130"/>
    </row>
    <row r="4" spans="1:8" x14ac:dyDescent="0.3">
      <c r="A4" s="129" t="s">
        <v>105</v>
      </c>
      <c r="B4" s="130"/>
      <c r="C4" s="130"/>
      <c r="D4" s="130"/>
      <c r="E4" s="130"/>
      <c r="F4" s="130"/>
      <c r="G4" s="130"/>
      <c r="H4" s="130"/>
    </row>
    <row r="5" spans="1:8" x14ac:dyDescent="0.3">
      <c r="A5" s="4"/>
    </row>
    <row r="6" spans="1:8" x14ac:dyDescent="0.3">
      <c r="A6" s="3" t="s">
        <v>99</v>
      </c>
    </row>
    <row r="7" spans="1:8" x14ac:dyDescent="0.3">
      <c r="B7" s="3" t="s">
        <v>96</v>
      </c>
      <c r="F7" s="3" t="s">
        <v>8</v>
      </c>
    </row>
    <row r="8" spans="1:8" x14ac:dyDescent="0.3">
      <c r="B8" s="3" t="s">
        <v>95</v>
      </c>
      <c r="F8" s="3" t="s">
        <v>8</v>
      </c>
    </row>
    <row r="9" spans="1:8" x14ac:dyDescent="0.3">
      <c r="B9" s="3" t="s">
        <v>97</v>
      </c>
      <c r="F9" s="3" t="s">
        <v>8</v>
      </c>
    </row>
    <row r="10" spans="1:8" x14ac:dyDescent="0.3">
      <c r="B10" s="3" t="s">
        <v>98</v>
      </c>
      <c r="F10" s="3" t="s">
        <v>101</v>
      </c>
    </row>
    <row r="11" spans="1:8" x14ac:dyDescent="0.3">
      <c r="B11" s="3" t="s">
        <v>100</v>
      </c>
      <c r="F11" s="3" t="s">
        <v>102</v>
      </c>
    </row>
    <row r="13" spans="1:8" x14ac:dyDescent="0.3">
      <c r="A13" s="131" t="s">
        <v>106</v>
      </c>
      <c r="B13" s="132"/>
      <c r="C13" s="132"/>
      <c r="D13" s="132"/>
      <c r="E13" s="132"/>
      <c r="F13" s="132"/>
      <c r="G13" s="132"/>
      <c r="H13" s="132"/>
    </row>
    <row r="14" spans="1:8" s="5" customFormat="1" x14ac:dyDescent="0.3">
      <c r="A14" s="129" t="s">
        <v>63</v>
      </c>
      <c r="B14" s="130"/>
      <c r="C14" s="130"/>
      <c r="D14" s="130"/>
      <c r="E14" s="130"/>
      <c r="F14" s="130"/>
      <c r="G14" s="130"/>
      <c r="H14" s="130"/>
    </row>
    <row r="15" spans="1:8" x14ac:dyDescent="0.3">
      <c r="A15" s="129" t="s">
        <v>37</v>
      </c>
      <c r="B15" s="130"/>
      <c r="C15" s="130"/>
      <c r="D15" s="130"/>
      <c r="E15" s="130"/>
      <c r="F15" s="130"/>
      <c r="G15" s="130"/>
      <c r="H15" s="130"/>
    </row>
    <row r="17" spans="2:7" x14ac:dyDescent="0.3">
      <c r="B17" s="1" t="s">
        <v>50</v>
      </c>
      <c r="E17" s="6" t="s">
        <v>52</v>
      </c>
      <c r="F17" s="7" t="s">
        <v>54</v>
      </c>
    </row>
    <row r="18" spans="2:7" x14ac:dyDescent="0.3">
      <c r="B18" s="3" t="s">
        <v>51</v>
      </c>
      <c r="E18" s="6"/>
      <c r="F18" s="7"/>
    </row>
    <row r="19" spans="2:7" x14ac:dyDescent="0.3">
      <c r="B19" s="3" t="s">
        <v>56</v>
      </c>
      <c r="E19" s="6" t="s">
        <v>53</v>
      </c>
      <c r="F19" s="8" t="s">
        <v>55</v>
      </c>
    </row>
    <row r="20" spans="2:7" x14ac:dyDescent="0.3">
      <c r="E20" s="6"/>
      <c r="F20" s="8"/>
    </row>
    <row r="21" spans="2:7" x14ac:dyDescent="0.3">
      <c r="F21" s="6" t="s">
        <v>78</v>
      </c>
      <c r="G21" s="126" t="s">
        <v>147</v>
      </c>
    </row>
  </sheetData>
  <mergeCells count="6">
    <mergeCell ref="A1:H1"/>
    <mergeCell ref="A15:H15"/>
    <mergeCell ref="A14:H14"/>
    <mergeCell ref="A3:H3"/>
    <mergeCell ref="A4:H4"/>
    <mergeCell ref="A13:H13"/>
  </mergeCells>
  <phoneticPr fontId="0" type="noConversion"/>
  <hyperlinks>
    <hyperlink ref="F19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C5" sqref="C5"/>
    </sheetView>
  </sheetViews>
  <sheetFormatPr defaultColWidth="9.7109375" defaultRowHeight="18.75" x14ac:dyDescent="0.3"/>
  <cols>
    <col min="1" max="256" width="16.42578125" style="23" customWidth="1"/>
    <col min="257" max="16384" width="9.7109375" style="23"/>
  </cols>
  <sheetData>
    <row r="1" spans="1:8" x14ac:dyDescent="0.3">
      <c r="A1" s="165" t="s">
        <v>81</v>
      </c>
      <c r="B1" s="166"/>
      <c r="C1" s="166"/>
      <c r="D1" s="166"/>
      <c r="E1" s="166"/>
      <c r="F1" s="166"/>
      <c r="G1" s="166"/>
      <c r="H1" s="166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x14ac:dyDescent="0.3">
      <c r="A3" s="10"/>
      <c r="B3" s="24" t="s">
        <v>25</v>
      </c>
      <c r="C3" s="70">
        <v>20</v>
      </c>
      <c r="D3" s="10" t="s">
        <v>73</v>
      </c>
      <c r="E3" s="10"/>
      <c r="F3" s="10"/>
      <c r="G3" s="10"/>
      <c r="H3" s="10"/>
    </row>
    <row r="4" spans="1:8" x14ac:dyDescent="0.3">
      <c r="A4" s="10"/>
      <c r="B4" s="24" t="s">
        <v>24</v>
      </c>
      <c r="C4" s="26">
        <v>1</v>
      </c>
      <c r="D4" s="10"/>
      <c r="E4" s="24" t="s">
        <v>64</v>
      </c>
      <c r="F4" s="26">
        <f>C3/C4/2</f>
        <v>10</v>
      </c>
      <c r="G4" s="10" t="s">
        <v>22</v>
      </c>
      <c r="H4" s="10"/>
    </row>
    <row r="5" spans="1:8" x14ac:dyDescent="0.3">
      <c r="A5" s="10"/>
      <c r="B5" s="24" t="s">
        <v>26</v>
      </c>
      <c r="C5" s="27">
        <v>12</v>
      </c>
      <c r="D5" s="10" t="s">
        <v>71</v>
      </c>
      <c r="E5" s="10"/>
      <c r="F5" s="34">
        <f>POWER(2,C5)</f>
        <v>4096</v>
      </c>
      <c r="G5" s="10" t="s">
        <v>27</v>
      </c>
      <c r="H5" s="10"/>
    </row>
    <row r="6" spans="1:8" x14ac:dyDescent="0.3">
      <c r="A6" s="10"/>
      <c r="B6" s="24" t="s">
        <v>23</v>
      </c>
      <c r="C6" s="59">
        <f>(C3)/(POWER(2,C5))</f>
        <v>4.8828125E-3</v>
      </c>
      <c r="D6" s="10" t="s">
        <v>72</v>
      </c>
      <c r="E6" s="10"/>
      <c r="F6" s="10"/>
      <c r="G6" s="10"/>
      <c r="H6" s="10"/>
    </row>
    <row r="7" spans="1:8" x14ac:dyDescent="0.3">
      <c r="A7" s="10"/>
      <c r="B7" s="10"/>
      <c r="C7" s="10"/>
      <c r="D7" s="10"/>
      <c r="E7" s="10"/>
      <c r="F7" s="10"/>
      <c r="G7" s="10"/>
      <c r="H7" s="10"/>
    </row>
    <row r="8" spans="1:8" x14ac:dyDescent="0.3">
      <c r="A8" s="10"/>
      <c r="B8" s="24" t="s">
        <v>40</v>
      </c>
      <c r="C8" s="60">
        <v>1</v>
      </c>
      <c r="D8" s="10"/>
      <c r="E8" s="10"/>
      <c r="F8" s="10"/>
      <c r="G8" s="10"/>
      <c r="H8" s="10"/>
    </row>
    <row r="9" spans="1:8" x14ac:dyDescent="0.3">
      <c r="A9" s="10"/>
      <c r="B9" s="24" t="s">
        <v>140</v>
      </c>
      <c r="C9" s="10">
        <f>(POWER(2,C5)/2)-1</f>
        <v>2047</v>
      </c>
      <c r="D9" s="10"/>
      <c r="E9" s="10"/>
      <c r="F9" s="10"/>
      <c r="G9" s="10"/>
      <c r="H9" s="10"/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s="63" customFormat="1" x14ac:dyDescent="0.3">
      <c r="A11" s="10"/>
      <c r="B11" s="10"/>
      <c r="C11" s="10" t="s">
        <v>20</v>
      </c>
      <c r="D11" s="10"/>
      <c r="E11" s="10"/>
      <c r="F11" s="10"/>
      <c r="G11" s="10"/>
      <c r="H11" s="10"/>
    </row>
    <row r="12" spans="1:8" x14ac:dyDescent="0.3">
      <c r="A12" s="10"/>
      <c r="B12" s="10"/>
      <c r="C12" s="10"/>
      <c r="D12" s="10"/>
      <c r="E12" s="10"/>
      <c r="F12" s="10"/>
      <c r="G12" s="10"/>
      <c r="H12" s="10"/>
    </row>
    <row r="13" spans="1:8" x14ac:dyDescent="0.3">
      <c r="A13" s="10"/>
      <c r="B13" s="10"/>
      <c r="C13" s="10"/>
      <c r="D13" s="10"/>
      <c r="E13" s="10"/>
      <c r="F13" s="10"/>
      <c r="G13" s="10"/>
      <c r="H13" s="10"/>
    </row>
    <row r="14" spans="1:8" x14ac:dyDescent="0.3">
      <c r="A14" s="26" t="s">
        <v>8</v>
      </c>
      <c r="B14" s="26"/>
      <c r="C14" s="26"/>
      <c r="D14" s="26"/>
      <c r="E14" s="10"/>
      <c r="F14" s="10"/>
      <c r="G14" s="10"/>
      <c r="H14" s="10"/>
    </row>
    <row r="15" spans="1:8" x14ac:dyDescent="0.3">
      <c r="A15" s="61" t="s">
        <v>1</v>
      </c>
      <c r="B15" s="186" t="s">
        <v>82</v>
      </c>
      <c r="C15" s="158"/>
      <c r="D15" s="61" t="s">
        <v>10</v>
      </c>
      <c r="E15" s="61" t="s">
        <v>11</v>
      </c>
      <c r="F15" s="182" t="s">
        <v>12</v>
      </c>
      <c r="G15" s="183"/>
      <c r="H15" s="62"/>
    </row>
    <row r="16" spans="1:8" x14ac:dyDescent="0.3">
      <c r="A16" s="10" t="s">
        <v>13</v>
      </c>
      <c r="B16" s="184">
        <v>1455</v>
      </c>
      <c r="C16" s="185"/>
      <c r="D16" s="27">
        <v>10</v>
      </c>
      <c r="E16" s="27">
        <v>1</v>
      </c>
      <c r="F16" s="66">
        <f>-adc_sens*Fx/fxGain/Fxch/gen_scale</f>
        <v>-0.71044921875</v>
      </c>
      <c r="G16" s="10" t="s">
        <v>4</v>
      </c>
      <c r="H16" s="10"/>
    </row>
    <row r="17" spans="1:8" x14ac:dyDescent="0.3">
      <c r="A17" s="10" t="s">
        <v>14</v>
      </c>
      <c r="B17" s="184">
        <v>1443</v>
      </c>
      <c r="C17" s="185"/>
      <c r="D17" s="27">
        <v>10</v>
      </c>
      <c r="E17" s="27">
        <v>1</v>
      </c>
      <c r="F17" s="66">
        <f>-adc_sens*Fy/Fych/fygain/gen_scale</f>
        <v>-0.70458984375</v>
      </c>
      <c r="G17" s="10" t="s">
        <v>4</v>
      </c>
      <c r="H17" s="10"/>
    </row>
    <row r="18" spans="1:8" x14ac:dyDescent="0.3">
      <c r="A18" s="10" t="s">
        <v>15</v>
      </c>
      <c r="B18" s="184">
        <v>2887</v>
      </c>
      <c r="C18" s="185"/>
      <c r="D18" s="27">
        <v>10</v>
      </c>
      <c r="E18" s="27">
        <v>1</v>
      </c>
      <c r="F18" s="66">
        <f>-adc_sens*Fz/Fzch/fzgain/gen_scale</f>
        <v>-1.40966796875</v>
      </c>
      <c r="G18" s="10" t="s">
        <v>4</v>
      </c>
      <c r="H18" s="10"/>
    </row>
    <row r="19" spans="1:8" x14ac:dyDescent="0.3">
      <c r="A19" s="10" t="s">
        <v>16</v>
      </c>
      <c r="B19" s="184">
        <v>767</v>
      </c>
      <c r="C19" s="185"/>
      <c r="D19" s="27">
        <v>20</v>
      </c>
      <c r="E19" s="27">
        <v>1</v>
      </c>
      <c r="F19" s="66">
        <f>-adc_sens*Mx/Mxch/mxgain/gen_scale*1000</f>
        <v>-187.255859375</v>
      </c>
      <c r="G19" s="10" t="s">
        <v>17</v>
      </c>
      <c r="H19" s="10"/>
    </row>
    <row r="20" spans="1:8" x14ac:dyDescent="0.3">
      <c r="A20" s="10" t="s">
        <v>18</v>
      </c>
      <c r="B20" s="184">
        <v>533</v>
      </c>
      <c r="C20" s="185"/>
      <c r="D20" s="27">
        <v>20</v>
      </c>
      <c r="E20" s="27">
        <v>1</v>
      </c>
      <c r="F20" s="66">
        <f>-adc_sens*My/Mych/mygain/gen_scale*1000</f>
        <v>-130.126953125</v>
      </c>
      <c r="G20" s="10" t="s">
        <v>17</v>
      </c>
      <c r="H20" s="10"/>
    </row>
    <row r="21" spans="1:8" x14ac:dyDescent="0.3">
      <c r="A21" s="10" t="s">
        <v>19</v>
      </c>
      <c r="B21" s="184">
        <v>337</v>
      </c>
      <c r="C21" s="185"/>
      <c r="D21" s="27">
        <v>20</v>
      </c>
      <c r="E21" s="27">
        <v>1</v>
      </c>
      <c r="F21" s="66">
        <f>-adc_sens*Mz/Mzch/mzgain/gen_scale*1000</f>
        <v>-82.275390625</v>
      </c>
      <c r="G21" s="10" t="s">
        <v>17</v>
      </c>
      <c r="H21" s="10"/>
    </row>
    <row r="22" spans="1:8" x14ac:dyDescent="0.3">
      <c r="A22" s="10"/>
      <c r="B22" s="10"/>
      <c r="C22" s="10"/>
      <c r="D22" s="10"/>
      <c r="E22" s="10"/>
      <c r="F22" s="10"/>
      <c r="G22" s="10"/>
      <c r="H22" s="10"/>
    </row>
  </sheetData>
  <mergeCells count="9">
    <mergeCell ref="A1:H1"/>
    <mergeCell ref="B19:C19"/>
    <mergeCell ref="B20:C20"/>
    <mergeCell ref="B21:C21"/>
    <mergeCell ref="F15:G15"/>
    <mergeCell ref="B16:C16"/>
    <mergeCell ref="B15:C15"/>
    <mergeCell ref="B17:C17"/>
    <mergeCell ref="B18:C18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&amp;F</oddHeader>
    <oddFooter>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5" sqref="C5"/>
    </sheetView>
  </sheetViews>
  <sheetFormatPr defaultColWidth="9.7109375" defaultRowHeight="18.75" x14ac:dyDescent="0.3"/>
  <cols>
    <col min="1" max="256" width="16.42578125" style="23" customWidth="1"/>
    <col min="257" max="16384" width="9.7109375" style="23"/>
  </cols>
  <sheetData>
    <row r="1" spans="1:8" x14ac:dyDescent="0.3">
      <c r="A1" s="165" t="s">
        <v>83</v>
      </c>
      <c r="B1" s="166"/>
      <c r="C1" s="166"/>
      <c r="D1" s="166"/>
      <c r="E1" s="166"/>
      <c r="F1" s="166"/>
      <c r="G1" s="166"/>
      <c r="H1" s="166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x14ac:dyDescent="0.3">
      <c r="A3" s="10"/>
      <c r="B3" s="24" t="s">
        <v>25</v>
      </c>
      <c r="C3" s="70">
        <v>20</v>
      </c>
      <c r="D3" s="10" t="s">
        <v>73</v>
      </c>
      <c r="E3" s="10"/>
      <c r="F3" s="10"/>
      <c r="G3" s="10"/>
      <c r="H3" s="78"/>
    </row>
    <row r="4" spans="1:8" x14ac:dyDescent="0.3">
      <c r="A4" s="10"/>
      <c r="B4" s="24" t="s">
        <v>24</v>
      </c>
      <c r="C4" s="26">
        <v>1</v>
      </c>
      <c r="D4" s="10"/>
      <c r="E4" s="24" t="s">
        <v>64</v>
      </c>
      <c r="F4" s="26">
        <f>C3/C4/2</f>
        <v>10</v>
      </c>
      <c r="G4" s="10" t="s">
        <v>22</v>
      </c>
      <c r="H4" s="78"/>
    </row>
    <row r="5" spans="1:8" x14ac:dyDescent="0.3">
      <c r="A5" s="33"/>
      <c r="B5" s="24" t="s">
        <v>26</v>
      </c>
      <c r="C5" s="27">
        <v>12</v>
      </c>
      <c r="D5" s="10" t="s">
        <v>71</v>
      </c>
      <c r="E5" s="10"/>
      <c r="F5" s="34">
        <f>POWER(2,C5)</f>
        <v>4096</v>
      </c>
      <c r="G5" s="10" t="s">
        <v>27</v>
      </c>
      <c r="H5" s="78"/>
    </row>
    <row r="6" spans="1:8" x14ac:dyDescent="0.3">
      <c r="A6" s="33"/>
      <c r="B6" s="24" t="s">
        <v>23</v>
      </c>
      <c r="C6" s="35">
        <f>C3/C4/POWER(2,C5)</f>
        <v>4.8828125E-3</v>
      </c>
      <c r="D6" s="10" t="s">
        <v>72</v>
      </c>
      <c r="E6" s="10"/>
      <c r="F6" s="10"/>
      <c r="G6" s="10"/>
      <c r="H6" s="78"/>
    </row>
    <row r="7" spans="1:8" x14ac:dyDescent="0.3">
      <c r="A7" s="33"/>
      <c r="B7" s="10"/>
      <c r="C7" s="32"/>
      <c r="D7" s="32"/>
      <c r="E7" s="32"/>
      <c r="F7" s="10"/>
      <c r="G7" s="10"/>
      <c r="H7" s="78"/>
    </row>
    <row r="8" spans="1:8" x14ac:dyDescent="0.3">
      <c r="A8" s="33"/>
      <c r="B8" s="24" t="s">
        <v>40</v>
      </c>
      <c r="C8" s="79">
        <v>1</v>
      </c>
      <c r="D8" s="32"/>
      <c r="E8" s="32"/>
      <c r="F8" s="24"/>
      <c r="G8" s="24"/>
      <c r="H8" s="24"/>
    </row>
    <row r="9" spans="1:8" x14ac:dyDescent="0.3">
      <c r="A9" s="33"/>
      <c r="B9" s="24" t="s">
        <v>140</v>
      </c>
      <c r="C9" s="112">
        <f>(POWER(2,C5)/2)-1</f>
        <v>2047</v>
      </c>
      <c r="D9" s="32"/>
      <c r="E9" s="32"/>
      <c r="F9" s="24"/>
      <c r="G9" s="24"/>
      <c r="H9" s="24"/>
    </row>
    <row r="10" spans="1:8" x14ac:dyDescent="0.3">
      <c r="A10" s="33"/>
      <c r="B10" s="10"/>
      <c r="C10" s="10"/>
      <c r="D10" s="32"/>
      <c r="E10" s="32"/>
      <c r="F10" s="10"/>
      <c r="G10" s="10"/>
      <c r="H10" s="78"/>
    </row>
    <row r="11" spans="1:8" x14ac:dyDescent="0.3">
      <c r="A11" s="33"/>
      <c r="B11" s="10" t="s">
        <v>7</v>
      </c>
      <c r="C11" s="10"/>
      <c r="D11" s="10"/>
      <c r="E11" s="10"/>
      <c r="F11" s="10"/>
      <c r="G11" s="10"/>
      <c r="H11" s="78"/>
    </row>
    <row r="12" spans="1:8" x14ac:dyDescent="0.3">
      <c r="A12" s="33"/>
      <c r="B12" s="10" t="s">
        <v>28</v>
      </c>
      <c r="C12" s="10"/>
      <c r="D12" s="10"/>
      <c r="E12" s="10"/>
      <c r="F12" s="10"/>
      <c r="G12" s="10"/>
      <c r="H12" s="78"/>
    </row>
    <row r="13" spans="1:8" x14ac:dyDescent="0.3">
      <c r="A13" s="33"/>
      <c r="B13" s="10"/>
      <c r="C13" s="10"/>
      <c r="D13" s="10"/>
      <c r="E13" s="10"/>
      <c r="F13" s="10"/>
      <c r="G13" s="10"/>
      <c r="H13" s="78"/>
    </row>
    <row r="14" spans="1:8" x14ac:dyDescent="0.3">
      <c r="A14" s="33"/>
      <c r="B14" s="10" t="s">
        <v>30</v>
      </c>
      <c r="C14" s="58"/>
      <c r="D14" s="58"/>
      <c r="E14" s="10"/>
      <c r="F14" s="10"/>
      <c r="G14" s="10"/>
      <c r="H14" s="78"/>
    </row>
    <row r="15" spans="1:8" x14ac:dyDescent="0.3">
      <c r="A15" s="10"/>
      <c r="B15" s="10"/>
      <c r="C15" s="26"/>
      <c r="D15" s="10"/>
      <c r="E15" s="10"/>
      <c r="F15" s="10"/>
      <c r="G15" s="10"/>
      <c r="H15" s="10"/>
    </row>
    <row r="16" spans="1:8" s="63" customFormat="1" x14ac:dyDescent="0.3">
      <c r="A16" s="10"/>
      <c r="B16" s="157" t="s">
        <v>1</v>
      </c>
      <c r="C16" s="183"/>
      <c r="D16" s="61" t="s">
        <v>2</v>
      </c>
      <c r="E16" s="61" t="s">
        <v>84</v>
      </c>
      <c r="F16" s="186" t="s">
        <v>0</v>
      </c>
      <c r="G16" s="158"/>
      <c r="H16" s="158"/>
    </row>
    <row r="17" spans="1:8" x14ac:dyDescent="0.3">
      <c r="A17" s="10"/>
      <c r="B17" s="10" t="s">
        <v>3</v>
      </c>
      <c r="C17" s="80">
        <v>7.87</v>
      </c>
      <c r="D17" s="27">
        <v>5000</v>
      </c>
      <c r="E17" s="27">
        <v>1</v>
      </c>
      <c r="F17" s="81">
        <f>-$C$6/$C17*(($D17*2)/$C$3/$E17)/$C$8</f>
        <v>-0.31021680432020332</v>
      </c>
      <c r="G17" s="10" t="s">
        <v>4</v>
      </c>
      <c r="H17" s="62"/>
    </row>
    <row r="18" spans="1:8" x14ac:dyDescent="0.3">
      <c r="A18" s="10"/>
      <c r="B18" s="10" t="s">
        <v>5</v>
      </c>
      <c r="C18" s="80">
        <v>7.85</v>
      </c>
      <c r="D18" s="27">
        <v>5000</v>
      </c>
      <c r="E18" s="27">
        <v>1</v>
      </c>
      <c r="F18" s="81">
        <f>-$C$6/$C18*(($D18*2)/$C$3/$E18)/$C$8</f>
        <v>-0.31100716560509556</v>
      </c>
      <c r="G18" s="10" t="s">
        <v>4</v>
      </c>
      <c r="H18" s="62"/>
    </row>
    <row r="19" spans="1:8" x14ac:dyDescent="0.3">
      <c r="A19" s="10"/>
      <c r="B19" s="10" t="s">
        <v>6</v>
      </c>
      <c r="C19" s="80">
        <v>3.89</v>
      </c>
      <c r="D19" s="27">
        <v>10000</v>
      </c>
      <c r="E19" s="27">
        <v>1</v>
      </c>
      <c r="F19" s="81">
        <f>-$C$6/$C19*(($D19*2)/$C$3/$E19)/$C$8</f>
        <v>-1.2552217223650386</v>
      </c>
      <c r="G19" s="10" t="s">
        <v>4</v>
      </c>
      <c r="H19" s="62"/>
    </row>
    <row r="20" spans="1:8" x14ac:dyDescent="0.3">
      <c r="A20" s="10"/>
      <c r="B20" s="10"/>
      <c r="C20" s="10"/>
      <c r="D20" s="10"/>
      <c r="E20" s="10"/>
      <c r="F20" s="10"/>
      <c r="G20" s="82"/>
      <c r="H20" s="62"/>
    </row>
    <row r="21" spans="1:8" x14ac:dyDescent="0.3">
      <c r="A21" s="10"/>
      <c r="B21" s="10"/>
      <c r="C21" s="10"/>
      <c r="D21" s="10"/>
      <c r="E21" s="10"/>
      <c r="F21" s="10"/>
      <c r="G21" s="10"/>
      <c r="H21" s="10"/>
    </row>
    <row r="22" spans="1:8" x14ac:dyDescent="0.3">
      <c r="A22" s="10"/>
      <c r="B22" s="10"/>
      <c r="C22" s="10"/>
      <c r="D22" s="10"/>
      <c r="E22" s="10"/>
      <c r="F22" s="10"/>
      <c r="G22" s="10"/>
      <c r="H22" s="10"/>
    </row>
    <row r="23" spans="1:8" x14ac:dyDescent="0.3">
      <c r="A23" s="10"/>
      <c r="B23" s="10"/>
      <c r="C23" s="10"/>
      <c r="D23" s="10"/>
      <c r="E23" s="10"/>
      <c r="F23" s="10"/>
      <c r="G23" s="10"/>
      <c r="H23" s="10"/>
    </row>
  </sheetData>
  <mergeCells count="3">
    <mergeCell ref="B16:C16"/>
    <mergeCell ref="F16:H16"/>
    <mergeCell ref="A1:H1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H1"/>
    </sheetView>
  </sheetViews>
  <sheetFormatPr defaultColWidth="19.28515625" defaultRowHeight="18.75" x14ac:dyDescent="0.3"/>
  <cols>
    <col min="1" max="1" width="10.85546875" style="11" customWidth="1"/>
    <col min="2" max="7" width="19.28515625" style="11"/>
    <col min="8" max="8" width="7.7109375" style="11" customWidth="1"/>
    <col min="9" max="16384" width="19.28515625" style="11"/>
  </cols>
  <sheetData>
    <row r="1" spans="1:9" x14ac:dyDescent="0.3">
      <c r="A1" s="136" t="s">
        <v>93</v>
      </c>
      <c r="B1" s="137"/>
      <c r="C1" s="137"/>
      <c r="D1" s="137"/>
      <c r="E1" s="137"/>
      <c r="F1" s="137"/>
      <c r="G1" s="137"/>
      <c r="H1" s="137"/>
    </row>
    <row r="2" spans="1:9" s="13" customFormat="1" x14ac:dyDescent="0.3">
      <c r="A2" s="12"/>
      <c r="B2" s="12"/>
      <c r="C2" s="12"/>
      <c r="D2" s="12"/>
      <c r="E2" s="12"/>
      <c r="F2" s="12"/>
      <c r="G2" s="12"/>
      <c r="H2" s="12"/>
    </row>
    <row r="3" spans="1:9" x14ac:dyDescent="0.3">
      <c r="A3" s="10"/>
      <c r="B3" s="133" t="s">
        <v>132</v>
      </c>
      <c r="C3" s="134"/>
      <c r="D3" s="134"/>
      <c r="E3" s="134"/>
      <c r="F3" s="134"/>
      <c r="G3" s="134"/>
      <c r="H3" s="10"/>
    </row>
    <row r="4" spans="1:9" x14ac:dyDescent="0.3">
      <c r="A4" s="10"/>
      <c r="B4" s="134"/>
      <c r="C4" s="134"/>
      <c r="D4" s="134"/>
      <c r="E4" s="134"/>
      <c r="F4" s="134"/>
      <c r="G4" s="134"/>
      <c r="H4" s="10"/>
    </row>
    <row r="5" spans="1:9" x14ac:dyDescent="0.3">
      <c r="A5" s="10"/>
      <c r="B5" s="134"/>
      <c r="C5" s="134"/>
      <c r="D5" s="134"/>
      <c r="E5" s="134"/>
      <c r="F5" s="134"/>
      <c r="G5" s="134"/>
      <c r="H5" s="10"/>
    </row>
    <row r="6" spans="1:9" x14ac:dyDescent="0.3">
      <c r="A6" s="10"/>
      <c r="B6" s="134"/>
      <c r="C6" s="134"/>
      <c r="D6" s="134"/>
      <c r="E6" s="134"/>
      <c r="F6" s="134"/>
      <c r="G6" s="134"/>
      <c r="H6" s="10"/>
    </row>
    <row r="7" spans="1:9" x14ac:dyDescent="0.3">
      <c r="A7" s="10"/>
      <c r="B7" s="134"/>
      <c r="C7" s="134"/>
      <c r="D7" s="134"/>
      <c r="E7" s="134"/>
      <c r="F7" s="134"/>
      <c r="G7" s="134"/>
      <c r="H7" s="10"/>
    </row>
    <row r="8" spans="1:9" x14ac:dyDescent="0.3">
      <c r="A8" s="10"/>
      <c r="B8" s="134"/>
      <c r="C8" s="134"/>
      <c r="D8" s="134"/>
      <c r="E8" s="134"/>
      <c r="F8" s="134"/>
      <c r="G8" s="134"/>
      <c r="H8" s="10"/>
    </row>
    <row r="9" spans="1:9" x14ac:dyDescent="0.3">
      <c r="A9" s="10"/>
      <c r="B9" s="134"/>
      <c r="C9" s="134"/>
      <c r="D9" s="134"/>
      <c r="E9" s="134"/>
      <c r="F9" s="134"/>
      <c r="G9" s="134"/>
      <c r="H9" s="10"/>
    </row>
    <row r="10" spans="1:9" x14ac:dyDescent="0.3">
      <c r="A10" s="10"/>
      <c r="B10" s="135" t="s">
        <v>107</v>
      </c>
      <c r="C10" s="134"/>
      <c r="D10" s="134"/>
      <c r="E10" s="134"/>
      <c r="F10" s="134"/>
      <c r="G10" s="134"/>
      <c r="H10" s="14"/>
      <c r="I10" s="15"/>
    </row>
    <row r="11" spans="1:9" x14ac:dyDescent="0.3">
      <c r="A11" s="10"/>
      <c r="B11" s="134"/>
      <c r="C11" s="134"/>
      <c r="D11" s="134"/>
      <c r="E11" s="134"/>
      <c r="F11" s="134"/>
      <c r="G11" s="134"/>
      <c r="H11" s="14"/>
      <c r="I11" s="15"/>
    </row>
    <row r="12" spans="1:9" x14ac:dyDescent="0.3">
      <c r="A12" s="10"/>
      <c r="B12" s="134"/>
      <c r="C12" s="134"/>
      <c r="D12" s="134"/>
      <c r="E12" s="134"/>
      <c r="F12" s="134"/>
      <c r="G12" s="134"/>
      <c r="H12" s="14"/>
      <c r="I12" s="15"/>
    </row>
    <row r="13" spans="1:9" x14ac:dyDescent="0.3">
      <c r="A13" s="10"/>
      <c r="B13" s="134"/>
      <c r="C13" s="134"/>
      <c r="D13" s="134"/>
      <c r="E13" s="134"/>
      <c r="F13" s="134"/>
      <c r="G13" s="134"/>
      <c r="H13" s="14"/>
      <c r="I13" s="15"/>
    </row>
    <row r="14" spans="1:9" s="13" customFormat="1" x14ac:dyDescent="0.3">
      <c r="A14" s="12"/>
      <c r="B14" s="134"/>
      <c r="C14" s="134"/>
      <c r="D14" s="134"/>
      <c r="E14" s="134"/>
      <c r="F14" s="134"/>
      <c r="G14" s="134"/>
      <c r="H14" s="14"/>
      <c r="I14" s="15"/>
    </row>
    <row r="15" spans="1:9" s="13" customFormat="1" x14ac:dyDescent="0.3">
      <c r="A15" s="12"/>
      <c r="B15" s="97"/>
      <c r="C15" s="97"/>
      <c r="D15" s="97"/>
      <c r="E15" s="97"/>
      <c r="F15" s="97"/>
      <c r="G15" s="97"/>
      <c r="H15" s="14"/>
      <c r="I15" s="15"/>
    </row>
    <row r="16" spans="1:9" s="13" customFormat="1" x14ac:dyDescent="0.3">
      <c r="A16" s="12"/>
      <c r="B16" s="12" t="s">
        <v>104</v>
      </c>
      <c r="C16" s="12"/>
      <c r="D16" s="12"/>
      <c r="E16" s="12"/>
      <c r="F16" s="12"/>
      <c r="G16" s="12"/>
      <c r="H16" s="12"/>
    </row>
    <row r="17" spans="1:9" s="13" customFormat="1" x14ac:dyDescent="0.3">
      <c r="A17" s="12"/>
      <c r="B17" s="12"/>
      <c r="C17" s="16" t="s">
        <v>57</v>
      </c>
      <c r="D17" s="17" t="s">
        <v>58</v>
      </c>
      <c r="E17" s="12"/>
      <c r="F17" s="12"/>
      <c r="G17" s="12"/>
      <c r="H17" s="12"/>
    </row>
    <row r="18" spans="1:9" x14ac:dyDescent="0.3">
      <c r="A18" s="10"/>
      <c r="B18" s="12"/>
      <c r="C18" s="18" t="s">
        <v>59</v>
      </c>
      <c r="D18" s="19" t="s">
        <v>61</v>
      </c>
      <c r="E18" s="12"/>
      <c r="F18" s="12"/>
      <c r="G18" s="12"/>
      <c r="H18" s="12"/>
    </row>
    <row r="19" spans="1:9" x14ac:dyDescent="0.3">
      <c r="A19" s="10"/>
      <c r="B19" s="12" t="s">
        <v>103</v>
      </c>
      <c r="C19" s="18"/>
      <c r="D19" s="19"/>
      <c r="E19" s="12"/>
      <c r="F19" s="12"/>
      <c r="G19" s="12"/>
      <c r="H19" s="12"/>
    </row>
    <row r="20" spans="1:9" x14ac:dyDescent="0.3">
      <c r="A20" s="10"/>
      <c r="B20" s="12"/>
      <c r="C20" s="20" t="s">
        <v>60</v>
      </c>
      <c r="D20" s="21" t="s">
        <v>62</v>
      </c>
      <c r="E20" s="12"/>
      <c r="F20" s="12"/>
      <c r="G20" s="12"/>
      <c r="H20" s="12"/>
    </row>
    <row r="21" spans="1:9" x14ac:dyDescent="0.3">
      <c r="A21" s="10"/>
      <c r="B21" s="12"/>
      <c r="C21" s="21"/>
      <c r="D21" s="21"/>
      <c r="E21" s="12"/>
      <c r="F21" s="12"/>
      <c r="G21" s="12"/>
      <c r="H21" s="12"/>
    </row>
    <row r="22" spans="1:9" x14ac:dyDescent="0.3">
      <c r="A22" s="10"/>
      <c r="B22" s="10"/>
      <c r="C22" s="10"/>
      <c r="D22" s="10"/>
      <c r="E22" s="10"/>
      <c r="F22" s="10"/>
      <c r="G22" s="10"/>
      <c r="H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</row>
    <row r="25" spans="1:9" x14ac:dyDescent="0.3">
      <c r="H25" s="22"/>
      <c r="I25" s="22"/>
    </row>
    <row r="26" spans="1:9" x14ac:dyDescent="0.3">
      <c r="H26" s="22"/>
      <c r="I26" s="22"/>
    </row>
    <row r="27" spans="1:9" x14ac:dyDescent="0.3">
      <c r="H27" s="22"/>
      <c r="I27" s="22"/>
    </row>
    <row r="28" spans="1:9" x14ac:dyDescent="0.3">
      <c r="H28" s="22"/>
      <c r="I28" s="22"/>
    </row>
    <row r="29" spans="1:9" x14ac:dyDescent="0.3">
      <c r="H29" s="22"/>
      <c r="I29" s="22"/>
    </row>
  </sheetData>
  <mergeCells count="3">
    <mergeCell ref="B3:G9"/>
    <mergeCell ref="B10:G14"/>
    <mergeCell ref="A1:H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22" sqref="C22"/>
    </sheetView>
  </sheetViews>
  <sheetFormatPr defaultColWidth="9.7109375" defaultRowHeight="18" customHeight="1" x14ac:dyDescent="0.3"/>
  <cols>
    <col min="1" max="6" width="16.42578125" style="23" customWidth="1"/>
    <col min="7" max="7" width="8" style="23" customWidth="1"/>
    <col min="8" max="8" width="25.28515625" style="23" customWidth="1"/>
    <col min="9" max="255" width="16.42578125" style="23" customWidth="1"/>
    <col min="256" max="16384" width="9.7109375" style="23"/>
  </cols>
  <sheetData>
    <row r="1" spans="1:8" ht="18" customHeight="1" x14ac:dyDescent="0.3">
      <c r="A1" s="138" t="s">
        <v>133</v>
      </c>
      <c r="B1" s="139"/>
      <c r="C1" s="139"/>
      <c r="D1" s="139"/>
      <c r="E1" s="139"/>
      <c r="F1" s="139"/>
      <c r="G1" s="139"/>
      <c r="H1" s="139"/>
    </row>
    <row r="2" spans="1:8" s="115" customFormat="1" ht="24" customHeight="1" x14ac:dyDescent="0.2">
      <c r="A2" s="142" t="s">
        <v>143</v>
      </c>
      <c r="B2" s="143"/>
      <c r="C2" s="143"/>
      <c r="D2" s="143"/>
      <c r="E2" s="143"/>
      <c r="F2" s="143"/>
      <c r="G2" s="143"/>
      <c r="H2" s="143"/>
    </row>
    <row r="3" spans="1:8" ht="18" customHeight="1" x14ac:dyDescent="0.3">
      <c r="A3" s="83"/>
      <c r="B3" s="88" t="s">
        <v>25</v>
      </c>
      <c r="C3" s="94">
        <v>20</v>
      </c>
      <c r="D3" s="96" t="s">
        <v>35</v>
      </c>
      <c r="E3" s="83"/>
      <c r="F3" s="83"/>
      <c r="G3" s="83"/>
      <c r="H3" s="83"/>
    </row>
    <row r="4" spans="1:8" ht="18" customHeight="1" x14ac:dyDescent="0.3">
      <c r="A4" s="83"/>
      <c r="B4" s="89" t="s">
        <v>91</v>
      </c>
      <c r="C4" s="94">
        <v>1</v>
      </c>
      <c r="D4" s="83"/>
      <c r="E4" s="88" t="s">
        <v>117</v>
      </c>
      <c r="F4" s="117">
        <f>C3/C4/2</f>
        <v>10</v>
      </c>
      <c r="G4" s="83" t="s">
        <v>22</v>
      </c>
      <c r="H4" s="83"/>
    </row>
    <row r="5" spans="1:8" ht="18" customHeight="1" x14ac:dyDescent="0.3">
      <c r="A5" s="83"/>
      <c r="B5" s="88" t="s">
        <v>26</v>
      </c>
      <c r="C5" s="93">
        <v>12</v>
      </c>
      <c r="D5" s="83" t="s">
        <v>71</v>
      </c>
      <c r="E5" s="84" t="s">
        <v>88</v>
      </c>
      <c r="F5" s="118">
        <f>POWER(2,C5)</f>
        <v>4096</v>
      </c>
      <c r="G5" s="91" t="s">
        <v>89</v>
      </c>
      <c r="H5" s="83"/>
    </row>
    <row r="6" spans="1:8" ht="18" customHeight="1" x14ac:dyDescent="0.3">
      <c r="A6" s="83"/>
      <c r="B6" s="88"/>
      <c r="C6" s="88"/>
      <c r="D6" s="83"/>
      <c r="E6" s="84"/>
      <c r="F6" s="90"/>
      <c r="G6" s="91"/>
      <c r="H6" s="83"/>
    </row>
    <row r="7" spans="1:8" ht="18" customHeight="1" x14ac:dyDescent="0.3">
      <c r="A7" s="83"/>
      <c r="B7" s="89" t="s">
        <v>86</v>
      </c>
      <c r="C7" s="93">
        <v>1</v>
      </c>
      <c r="D7" s="83" t="s">
        <v>87</v>
      </c>
      <c r="E7" s="83"/>
      <c r="F7" s="83"/>
      <c r="G7" s="83"/>
      <c r="H7" s="83"/>
    </row>
    <row r="8" spans="1:8" ht="18" customHeight="1" x14ac:dyDescent="0.3">
      <c r="A8" s="83"/>
      <c r="B8" s="89"/>
      <c r="C8" s="89"/>
      <c r="D8" s="83"/>
      <c r="E8" s="88" t="s">
        <v>122</v>
      </c>
      <c r="F8" s="117">
        <f>F4/C7</f>
        <v>10</v>
      </c>
      <c r="G8" s="83" t="s">
        <v>22</v>
      </c>
      <c r="H8" s="83"/>
    </row>
    <row r="9" spans="1:8" ht="18" customHeight="1" x14ac:dyDescent="0.3">
      <c r="A9" s="83"/>
      <c r="B9" s="89"/>
      <c r="C9" s="89"/>
      <c r="D9" s="83"/>
      <c r="E9" s="88"/>
      <c r="F9" s="85"/>
      <c r="G9" s="83"/>
      <c r="H9" s="83"/>
    </row>
    <row r="10" spans="1:8" ht="18" customHeight="1" x14ac:dyDescent="0.3">
      <c r="A10" s="83"/>
      <c r="B10" s="88" t="s">
        <v>23</v>
      </c>
      <c r="C10" s="119">
        <f>(C3/(C4*C7))/POWER(2,C5)</f>
        <v>4.8828125E-3</v>
      </c>
      <c r="D10" s="85" t="s">
        <v>116</v>
      </c>
      <c r="E10" s="83">
        <f>C10*1000</f>
        <v>4.8828125</v>
      </c>
      <c r="F10" s="92" t="s">
        <v>90</v>
      </c>
      <c r="G10" s="90"/>
      <c r="H10" s="91"/>
    </row>
    <row r="11" spans="1:8" ht="18" customHeight="1" x14ac:dyDescent="0.3">
      <c r="A11" s="83"/>
      <c r="B11" s="83"/>
      <c r="C11" s="83"/>
      <c r="D11" s="86"/>
      <c r="E11" s="83"/>
      <c r="F11" s="83"/>
      <c r="G11" s="83"/>
      <c r="H11" s="85"/>
    </row>
    <row r="12" spans="1:8" ht="18" customHeight="1" x14ac:dyDescent="0.3">
      <c r="A12" s="83"/>
      <c r="B12" s="83"/>
      <c r="C12" s="83"/>
      <c r="D12" s="88" t="s">
        <v>123</v>
      </c>
      <c r="E12" s="95">
        <v>4.8828125E-3</v>
      </c>
      <c r="F12" s="83"/>
      <c r="G12" s="83"/>
      <c r="H12" s="85"/>
    </row>
    <row r="13" spans="1:8" ht="18" customHeight="1" x14ac:dyDescent="0.3">
      <c r="A13" s="83"/>
      <c r="B13" s="87"/>
      <c r="C13" s="83"/>
      <c r="D13" s="88" t="s">
        <v>124</v>
      </c>
      <c r="E13" s="98">
        <f>C10/E12</f>
        <v>1</v>
      </c>
      <c r="F13" s="83" t="s">
        <v>130</v>
      </c>
      <c r="G13" s="87"/>
      <c r="H13" s="83"/>
    </row>
    <row r="14" spans="1:8" ht="18" customHeight="1" x14ac:dyDescent="0.3">
      <c r="A14" s="83"/>
      <c r="B14" s="87"/>
      <c r="C14" s="83"/>
      <c r="D14" s="88" t="s">
        <v>125</v>
      </c>
      <c r="E14" s="98">
        <f>(F5/2)-1</f>
        <v>2047</v>
      </c>
      <c r="F14" s="83" t="s">
        <v>126</v>
      </c>
      <c r="G14" s="87"/>
      <c r="H14" s="83"/>
    </row>
    <row r="15" spans="1:8" ht="18" customHeight="1" x14ac:dyDescent="0.3">
      <c r="A15" s="83"/>
      <c r="B15" s="83"/>
      <c r="C15" s="83"/>
      <c r="D15" s="83"/>
      <c r="E15" s="83"/>
      <c r="F15" s="83"/>
      <c r="G15" s="83"/>
      <c r="H15" s="83"/>
    </row>
    <row r="16" spans="1:8" ht="18" customHeight="1" x14ac:dyDescent="0.3">
      <c r="A16" s="83"/>
      <c r="B16" s="140" t="s">
        <v>139</v>
      </c>
      <c r="C16" s="141"/>
      <c r="D16" s="141"/>
      <c r="E16" s="141"/>
      <c r="F16" s="141"/>
      <c r="G16" s="141"/>
      <c r="H16" s="83"/>
    </row>
    <row r="17" spans="1:8" ht="18" customHeight="1" x14ac:dyDescent="0.3">
      <c r="A17" s="83"/>
      <c r="B17" s="141"/>
      <c r="C17" s="141"/>
      <c r="D17" s="141"/>
      <c r="E17" s="141"/>
      <c r="F17" s="141"/>
      <c r="G17" s="141"/>
      <c r="H17" s="83"/>
    </row>
    <row r="18" spans="1:8" ht="18" customHeight="1" x14ac:dyDescent="0.3">
      <c r="A18" s="83"/>
      <c r="B18" s="141"/>
      <c r="C18" s="141"/>
      <c r="D18" s="141"/>
      <c r="E18" s="141"/>
      <c r="F18" s="141"/>
      <c r="G18" s="141"/>
      <c r="H18" s="83"/>
    </row>
    <row r="19" spans="1:8" ht="18" customHeight="1" x14ac:dyDescent="0.3">
      <c r="A19" s="83"/>
      <c r="B19" s="141"/>
      <c r="C19" s="141"/>
      <c r="D19" s="141"/>
      <c r="E19" s="141"/>
      <c r="F19" s="141"/>
      <c r="G19" s="141"/>
      <c r="H19" s="83"/>
    </row>
    <row r="20" spans="1:8" ht="24" customHeight="1" x14ac:dyDescent="0.3">
      <c r="A20" s="83"/>
      <c r="B20" s="141"/>
      <c r="C20" s="141"/>
      <c r="D20" s="141"/>
      <c r="E20" s="141"/>
      <c r="F20" s="141"/>
      <c r="G20" s="141"/>
      <c r="H20" s="83"/>
    </row>
    <row r="21" spans="1:8" ht="18" customHeight="1" x14ac:dyDescent="0.3">
      <c r="A21" s="83"/>
      <c r="B21" s="121"/>
      <c r="C21" s="121"/>
      <c r="D21" s="121"/>
      <c r="E21" s="121"/>
      <c r="F21" s="114" t="str">
        <f>DEC2BIN(MOD(QUOTIENT((F5-1),256^1),256),8)&amp;DEC2BIN(MOD(QUOTIENT((F5-1),256^0),256),8)</f>
        <v>0000111111111111</v>
      </c>
      <c r="G21" s="121"/>
      <c r="H21" s="96" t="s">
        <v>144</v>
      </c>
    </row>
    <row r="22" spans="1:8" ht="15" customHeight="1" x14ac:dyDescent="0.3">
      <c r="A22" s="83"/>
      <c r="B22" s="111" t="s">
        <v>142</v>
      </c>
      <c r="C22" s="113">
        <v>4096</v>
      </c>
      <c r="D22" s="83" t="s">
        <v>141</v>
      </c>
      <c r="E22" s="83"/>
      <c r="F22" s="120" t="str">
        <f>DEC2BIN(MOD(QUOTIENT(C22,256^1),256),8)&amp;DEC2BIN(MOD(QUOTIENT(C22,256^0),256),8)</f>
        <v>0001000000000000</v>
      </c>
      <c r="G22" s="83"/>
      <c r="H22" s="83" t="str">
        <f>IF(C22&gt;(F5-1),"ADC range ERROR","")</f>
        <v>ADC range ERROR</v>
      </c>
    </row>
    <row r="23" spans="1:8" ht="18" customHeight="1" x14ac:dyDescent="0.3">
      <c r="A23" s="83"/>
      <c r="B23" s="83"/>
      <c r="C23" s="83"/>
      <c r="D23" s="83"/>
      <c r="E23" s="83"/>
      <c r="F23" s="83"/>
      <c r="G23" s="83"/>
      <c r="H23" s="83"/>
    </row>
  </sheetData>
  <mergeCells count="3">
    <mergeCell ref="A1:H1"/>
    <mergeCell ref="B16:G20"/>
    <mergeCell ref="A2:H2"/>
  </mergeCells>
  <phoneticPr fontId="0" type="noConversion"/>
  <conditionalFormatting sqref="H22">
    <cfRule type="containsText" dxfId="3" priority="1" operator="containsText" text="ERROR">
      <formula>NOT(ISERROR(SEARCH("ERROR",H22)))</formula>
    </cfRule>
  </conditionalFormatting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D19" sqref="D19"/>
    </sheetView>
  </sheetViews>
  <sheetFormatPr defaultColWidth="9.7109375" defaultRowHeight="18" customHeight="1" x14ac:dyDescent="0.3"/>
  <cols>
    <col min="1" max="6" width="16.42578125" style="23" customWidth="1"/>
    <col min="7" max="7" width="12.140625" style="23" customWidth="1"/>
    <col min="8" max="8" width="21" style="23" customWidth="1"/>
    <col min="9" max="255" width="16.42578125" style="23" customWidth="1"/>
    <col min="256" max="16384" width="9.7109375" style="23"/>
  </cols>
  <sheetData>
    <row r="1" spans="1:8" ht="24.75" customHeight="1" x14ac:dyDescent="0.3">
      <c r="A1" s="138" t="s">
        <v>134</v>
      </c>
      <c r="B1" s="139"/>
      <c r="C1" s="139"/>
      <c r="D1" s="139"/>
      <c r="E1" s="139"/>
      <c r="F1" s="139"/>
      <c r="G1" s="139"/>
      <c r="H1" s="139"/>
    </row>
    <row r="2" spans="1:8" ht="26.25" customHeight="1" x14ac:dyDescent="0.3">
      <c r="A2" s="142" t="s">
        <v>143</v>
      </c>
      <c r="B2" s="143"/>
      <c r="C2" s="143"/>
      <c r="D2" s="143"/>
      <c r="E2" s="143"/>
      <c r="F2" s="143"/>
      <c r="G2" s="143"/>
      <c r="H2" s="143"/>
    </row>
    <row r="3" spans="1:8" ht="18" customHeight="1" x14ac:dyDescent="0.3">
      <c r="A3" s="83"/>
      <c r="B3" s="88" t="s">
        <v>25</v>
      </c>
      <c r="C3" s="94">
        <v>20</v>
      </c>
      <c r="D3" s="96" t="s">
        <v>22</v>
      </c>
      <c r="E3" s="83"/>
      <c r="F3" s="83"/>
      <c r="G3" s="83"/>
      <c r="H3" s="83"/>
    </row>
    <row r="4" spans="1:8" ht="18" customHeight="1" x14ac:dyDescent="0.3">
      <c r="A4" s="83"/>
      <c r="B4" s="88" t="s">
        <v>117</v>
      </c>
      <c r="C4" s="117">
        <f>C3/2</f>
        <v>10</v>
      </c>
      <c r="D4" s="83" t="s">
        <v>22</v>
      </c>
      <c r="E4" s="83"/>
      <c r="F4" s="83"/>
      <c r="G4" s="83"/>
      <c r="H4" s="83"/>
    </row>
    <row r="5" spans="1:8" ht="18" customHeight="1" x14ac:dyDescent="0.3">
      <c r="A5" s="83"/>
      <c r="B5" s="88" t="s">
        <v>26</v>
      </c>
      <c r="C5" s="93">
        <v>16</v>
      </c>
      <c r="D5" s="83" t="s">
        <v>71</v>
      </c>
      <c r="E5" s="125">
        <f>POWER(2,C5)</f>
        <v>65536</v>
      </c>
      <c r="F5" s="91" t="s">
        <v>89</v>
      </c>
      <c r="G5" s="83"/>
      <c r="H5" s="83"/>
    </row>
    <row r="6" spans="1:8" ht="18" customHeight="1" x14ac:dyDescent="0.3">
      <c r="A6" s="86"/>
      <c r="B6" s="89" t="s">
        <v>127</v>
      </c>
      <c r="C6" s="93">
        <v>2</v>
      </c>
      <c r="D6" s="83" t="s">
        <v>128</v>
      </c>
      <c r="E6" s="83"/>
      <c r="F6" s="83"/>
      <c r="G6" s="83"/>
      <c r="H6" s="83"/>
    </row>
    <row r="7" spans="1:8" ht="18" customHeight="1" x14ac:dyDescent="0.3">
      <c r="A7" s="86"/>
      <c r="B7" s="88" t="s">
        <v>136</v>
      </c>
      <c r="C7" s="117">
        <f>C4/C6</f>
        <v>5</v>
      </c>
      <c r="D7" s="83" t="s">
        <v>135</v>
      </c>
      <c r="E7" s="83"/>
      <c r="F7" s="83"/>
      <c r="G7" s="83"/>
      <c r="H7" s="83"/>
    </row>
    <row r="8" spans="1:8" ht="18" customHeight="1" x14ac:dyDescent="0.3">
      <c r="A8" s="86"/>
      <c r="B8" s="89"/>
      <c r="C8" s="89"/>
      <c r="D8" s="83"/>
      <c r="E8" s="88"/>
      <c r="F8" s="85"/>
      <c r="G8" s="83"/>
      <c r="H8" s="83"/>
    </row>
    <row r="9" spans="1:8" ht="18" customHeight="1" x14ac:dyDescent="0.3">
      <c r="A9" s="86"/>
      <c r="B9" s="88" t="s">
        <v>137</v>
      </c>
      <c r="C9" s="123">
        <f>(C3/C6)/POWER(2,C5)</f>
        <v>1.52587890625E-4</v>
      </c>
      <c r="D9" s="99" t="s">
        <v>138</v>
      </c>
      <c r="E9" s="124">
        <f>C9*1000</f>
        <v>0.152587890625</v>
      </c>
      <c r="F9" s="92" t="s">
        <v>90</v>
      </c>
      <c r="G9" s="90"/>
      <c r="H9" s="91"/>
    </row>
    <row r="10" spans="1:8" ht="18" customHeight="1" x14ac:dyDescent="0.3">
      <c r="A10" s="86"/>
      <c r="B10" s="83"/>
      <c r="C10" s="83"/>
      <c r="D10" s="83"/>
      <c r="E10" s="83"/>
      <c r="F10" s="83"/>
      <c r="G10" s="83"/>
      <c r="H10" s="83"/>
    </row>
    <row r="11" spans="1:8" ht="18" customHeight="1" x14ac:dyDescent="0.3">
      <c r="A11" s="83"/>
      <c r="B11" s="83"/>
      <c r="C11" s="88" t="s">
        <v>123</v>
      </c>
      <c r="D11" s="95">
        <v>3.0517578E-4</v>
      </c>
      <c r="E11" s="86"/>
      <c r="F11" s="88" t="s">
        <v>129</v>
      </c>
      <c r="G11" s="103">
        <f>ABS(C9/D11)</f>
        <v>0.50000000204799999</v>
      </c>
      <c r="H11" s="85"/>
    </row>
    <row r="12" spans="1:8" ht="18" customHeight="1" x14ac:dyDescent="0.3">
      <c r="A12" s="83"/>
      <c r="B12" s="83"/>
      <c r="C12" s="83"/>
      <c r="D12" s="83"/>
      <c r="E12" s="86"/>
      <c r="F12" s="88" t="s">
        <v>131</v>
      </c>
      <c r="G12" s="103">
        <f>(E5/2)-1</f>
        <v>32767</v>
      </c>
      <c r="H12" s="85"/>
    </row>
    <row r="13" spans="1:8" ht="18" customHeight="1" x14ac:dyDescent="0.3">
      <c r="A13" s="83"/>
      <c r="B13" s="83"/>
      <c r="C13" s="83"/>
      <c r="D13" s="83"/>
      <c r="E13" s="86"/>
      <c r="F13" s="88"/>
      <c r="G13" s="103"/>
      <c r="H13" s="85"/>
    </row>
    <row r="14" spans="1:8" ht="18" customHeight="1" x14ac:dyDescent="0.3">
      <c r="A14" s="144" t="s">
        <v>146</v>
      </c>
      <c r="B14" s="145"/>
      <c r="C14" s="145"/>
      <c r="D14" s="145"/>
      <c r="E14" s="145"/>
      <c r="F14" s="145"/>
      <c r="G14" s="145"/>
      <c r="H14" s="145"/>
    </row>
    <row r="15" spans="1:8" ht="18" customHeight="1" x14ac:dyDescent="0.3">
      <c r="A15" s="83"/>
      <c r="B15" s="87"/>
      <c r="C15" s="100" t="s">
        <v>118</v>
      </c>
      <c r="D15" s="106">
        <v>3.0519999999999999E-4</v>
      </c>
      <c r="E15" s="101" t="str">
        <f>IF(D15&lt;0,"ERROR"," ")</f>
        <v xml:space="preserve"> </v>
      </c>
      <c r="F15" s="87"/>
      <c r="G15" s="104">
        <f>IF(D19&gt;=E5,1,0)</f>
        <v>0</v>
      </c>
      <c r="H15" s="83"/>
    </row>
    <row r="16" spans="1:8" ht="18" customHeight="1" x14ac:dyDescent="0.3">
      <c r="A16" s="83"/>
      <c r="B16" s="87"/>
      <c r="C16" s="100" t="s">
        <v>119</v>
      </c>
      <c r="D16" s="106">
        <v>0.5</v>
      </c>
      <c r="E16" s="87"/>
      <c r="F16" s="87"/>
      <c r="G16" s="104">
        <f>IF(D19&lt;0,1,0)</f>
        <v>0</v>
      </c>
      <c r="H16" s="83"/>
    </row>
    <row r="17" spans="1:8" ht="18" customHeight="1" x14ac:dyDescent="0.3">
      <c r="A17" s="83"/>
      <c r="B17" s="87"/>
      <c r="C17" s="100" t="s">
        <v>120</v>
      </c>
      <c r="D17" s="107">
        <v>32767</v>
      </c>
      <c r="E17" s="87"/>
      <c r="F17" s="87"/>
      <c r="G17" s="104"/>
      <c r="H17" s="83"/>
    </row>
    <row r="18" spans="1:8" ht="18" customHeight="1" x14ac:dyDescent="0.3">
      <c r="A18" s="83"/>
      <c r="B18" s="87"/>
      <c r="C18" s="100"/>
      <c r="D18" s="100"/>
      <c r="E18" s="87"/>
      <c r="F18" s="87"/>
      <c r="G18" s="87"/>
      <c r="H18" s="83"/>
    </row>
    <row r="19" spans="1:8" ht="18" customHeight="1" x14ac:dyDescent="0.3">
      <c r="A19" s="83"/>
      <c r="B19" s="87"/>
      <c r="C19" s="100" t="s">
        <v>121</v>
      </c>
      <c r="D19" s="107">
        <v>32768</v>
      </c>
      <c r="E19" s="101" t="s">
        <v>115</v>
      </c>
      <c r="F19" s="122">
        <f>IF((G15+G16)&gt;0,"ERROR",(D19-D17)*D15*D16)</f>
        <v>1.526E-4</v>
      </c>
      <c r="G19" s="87" t="s">
        <v>22</v>
      </c>
      <c r="H19" s="83"/>
    </row>
    <row r="20" spans="1:8" ht="18" customHeight="1" x14ac:dyDescent="0.3">
      <c r="A20" s="83"/>
      <c r="B20" s="87"/>
      <c r="C20" s="100"/>
      <c r="D20" s="101"/>
      <c r="E20" s="116" t="str">
        <f>IF(ABS(F19)&gt;C7,"Analog parameter ERROR"," ")</f>
        <v xml:space="preserve"> </v>
      </c>
      <c r="F20" s="102"/>
      <c r="G20" s="87"/>
      <c r="H20" s="83"/>
    </row>
    <row r="21" spans="1:8" ht="18" customHeight="1" x14ac:dyDescent="0.3">
      <c r="A21" s="83"/>
      <c r="B21" s="83"/>
      <c r="C21" s="83"/>
      <c r="D21" s="83"/>
      <c r="E21" s="83"/>
      <c r="F21" s="83"/>
      <c r="G21" s="83"/>
      <c r="H21" s="83"/>
    </row>
    <row r="22" spans="1:8" ht="18" customHeight="1" x14ac:dyDescent="0.3">
      <c r="A22" s="83"/>
      <c r="B22" s="83"/>
      <c r="C22" s="83"/>
      <c r="D22" s="83"/>
      <c r="E22" s="83"/>
      <c r="F22" s="83"/>
      <c r="G22" s="83"/>
      <c r="H22" s="83"/>
    </row>
    <row r="23" spans="1:8" ht="18" customHeight="1" x14ac:dyDescent="0.3">
      <c r="A23" s="83"/>
      <c r="B23" s="83"/>
      <c r="C23" s="83"/>
      <c r="D23" s="83"/>
      <c r="E23" s="83"/>
      <c r="F23" s="83"/>
      <c r="G23" s="83"/>
      <c r="H23" s="83"/>
    </row>
    <row r="24" spans="1:8" ht="18" customHeight="1" x14ac:dyDescent="0.3">
      <c r="A24" s="83"/>
      <c r="B24" s="83"/>
      <c r="C24" s="83"/>
      <c r="D24" s="83"/>
      <c r="E24" s="83"/>
      <c r="F24" s="83"/>
      <c r="G24" s="83"/>
      <c r="H24" s="83"/>
    </row>
  </sheetData>
  <mergeCells count="3">
    <mergeCell ref="A1:H1"/>
    <mergeCell ref="A14:H14"/>
    <mergeCell ref="A2:H2"/>
  </mergeCells>
  <conditionalFormatting sqref="F19">
    <cfRule type="containsText" dxfId="2" priority="2" operator="containsText" text="ERROR">
      <formula>NOT(ISERROR(SEARCH("ERROR",F19)))</formula>
    </cfRule>
  </conditionalFormatting>
  <conditionalFormatting sqref="E15">
    <cfRule type="containsText" dxfId="1" priority="1" operator="containsText" text="ERROR">
      <formula>NOT(ISERROR(SEARCH("ERROR",E15)))</formula>
    </cfRule>
  </conditionalFormatting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workbookViewId="0">
      <selection activeCell="C5" sqref="C5"/>
    </sheetView>
  </sheetViews>
  <sheetFormatPr defaultColWidth="9.7109375" defaultRowHeight="18.75" x14ac:dyDescent="0.3"/>
  <cols>
    <col min="1" max="1" width="11.28515625" style="11" customWidth="1"/>
    <col min="2" max="2" width="16.42578125" style="11" customWidth="1"/>
    <col min="3" max="3" width="17.28515625" style="11" customWidth="1"/>
    <col min="4" max="4" width="20" style="11" customWidth="1"/>
    <col min="5" max="5" width="8.28515625" style="11" customWidth="1"/>
    <col min="6" max="6" width="4" style="11" customWidth="1"/>
    <col min="7" max="8" width="16.42578125" style="11" customWidth="1"/>
    <col min="9" max="9" width="21.7109375" style="11" customWidth="1"/>
    <col min="10" max="256" width="16.42578125" style="11" customWidth="1"/>
    <col min="257" max="16384" width="9.7109375" style="11"/>
  </cols>
  <sheetData>
    <row r="1" spans="1:9" x14ac:dyDescent="0.3">
      <c r="A1" s="9" t="s">
        <v>111</v>
      </c>
      <c r="B1" s="10"/>
      <c r="C1" s="10"/>
      <c r="D1" s="83"/>
      <c r="E1" s="83"/>
      <c r="F1" s="83"/>
      <c r="G1" s="83"/>
      <c r="H1" s="83"/>
      <c r="I1" s="83"/>
    </row>
    <row r="2" spans="1:9" ht="10.5" customHeight="1" x14ac:dyDescent="0.3">
      <c r="A2" s="9"/>
      <c r="B2" s="10"/>
      <c r="C2" s="10"/>
      <c r="D2" s="83"/>
      <c r="E2" s="83"/>
      <c r="F2" s="83"/>
      <c r="G2" s="83"/>
      <c r="H2" s="83"/>
      <c r="I2" s="83"/>
    </row>
    <row r="3" spans="1:9" x14ac:dyDescent="0.3">
      <c r="A3" s="24"/>
      <c r="B3" s="24" t="s">
        <v>25</v>
      </c>
      <c r="C3" s="26">
        <v>20</v>
      </c>
      <c r="D3" s="83" t="s">
        <v>73</v>
      </c>
      <c r="E3" s="83"/>
      <c r="F3" s="83"/>
      <c r="G3" s="83"/>
      <c r="H3" s="83"/>
      <c r="I3" s="83"/>
    </row>
    <row r="4" spans="1:9" x14ac:dyDescent="0.3">
      <c r="A4" s="24"/>
      <c r="B4" s="25" t="s">
        <v>85</v>
      </c>
      <c r="C4" s="27">
        <v>2</v>
      </c>
      <c r="D4" s="83"/>
      <c r="E4" s="88" t="s">
        <v>108</v>
      </c>
      <c r="F4" s="99">
        <f>C3/C4/2</f>
        <v>5</v>
      </c>
      <c r="G4" s="83" t="s">
        <v>22</v>
      </c>
      <c r="H4" s="83"/>
      <c r="I4" s="83"/>
    </row>
    <row r="5" spans="1:9" x14ac:dyDescent="0.3">
      <c r="A5" s="24"/>
      <c r="B5" s="24" t="s">
        <v>26</v>
      </c>
      <c r="C5" s="27">
        <v>12</v>
      </c>
      <c r="D5" s="83" t="s">
        <v>113</v>
      </c>
      <c r="E5" s="84">
        <f>POWER(2,C5)</f>
        <v>4096</v>
      </c>
      <c r="F5" s="83" t="s">
        <v>110</v>
      </c>
      <c r="G5" s="83"/>
      <c r="H5" s="83"/>
      <c r="I5" s="83"/>
    </row>
    <row r="6" spans="1:9" x14ac:dyDescent="0.3">
      <c r="A6" s="10"/>
      <c r="B6" s="24" t="s">
        <v>23</v>
      </c>
      <c r="C6" s="31">
        <f>(C3/C4)/E5</f>
        <v>2.44140625E-3</v>
      </c>
      <c r="D6" s="83" t="s">
        <v>35</v>
      </c>
      <c r="E6" s="83"/>
      <c r="F6" s="83"/>
      <c r="G6" s="83"/>
      <c r="H6" s="83"/>
      <c r="I6" s="83"/>
    </row>
    <row r="7" spans="1:9" x14ac:dyDescent="0.3">
      <c r="A7" s="10"/>
      <c r="B7" s="24" t="s">
        <v>40</v>
      </c>
      <c r="C7" s="108">
        <v>2.4413999999999998E-3</v>
      </c>
      <c r="D7" s="146" t="str">
        <f>IF(C7&lt;0,"ERROR - ANALOG:GEN_SCALE must be +ve"," ")</f>
        <v xml:space="preserve"> </v>
      </c>
      <c r="E7" s="147"/>
      <c r="F7" s="147"/>
      <c r="G7" s="147"/>
      <c r="H7" s="83"/>
      <c r="I7" s="83"/>
    </row>
    <row r="8" spans="1:9" ht="10.5" customHeight="1" x14ac:dyDescent="0.3">
      <c r="A8" s="10"/>
      <c r="B8" s="10"/>
      <c r="C8" s="10"/>
      <c r="D8" s="83"/>
      <c r="E8" s="83"/>
      <c r="F8" s="83"/>
      <c r="G8" s="83"/>
      <c r="H8" s="83"/>
      <c r="I8" s="83"/>
    </row>
    <row r="9" spans="1:9" x14ac:dyDescent="0.3">
      <c r="A9" s="10" t="s">
        <v>109</v>
      </c>
      <c r="B9" s="10"/>
      <c r="C9" s="10"/>
      <c r="D9" s="83"/>
      <c r="E9" s="88" t="s">
        <v>112</v>
      </c>
      <c r="F9" s="99">
        <v>5</v>
      </c>
      <c r="G9" s="83" t="s">
        <v>22</v>
      </c>
      <c r="H9" s="83"/>
      <c r="I9" s="83"/>
    </row>
    <row r="10" spans="1:9" x14ac:dyDescent="0.3">
      <c r="A10" s="10"/>
      <c r="B10" s="26" t="s">
        <v>32</v>
      </c>
      <c r="C10" s="26" t="s">
        <v>31</v>
      </c>
      <c r="D10" s="150" t="s">
        <v>114</v>
      </c>
      <c r="E10" s="151"/>
      <c r="F10" s="152" t="s">
        <v>12</v>
      </c>
      <c r="G10" s="153"/>
      <c r="H10" s="83"/>
      <c r="I10" s="83"/>
    </row>
    <row r="11" spans="1:9" x14ac:dyDescent="0.3">
      <c r="A11" s="10"/>
      <c r="B11" s="36">
        <v>0</v>
      </c>
      <c r="C11" s="109">
        <v>350</v>
      </c>
      <c r="D11" s="105">
        <f t="shared" ref="D11:D20" si="0">(($F$9*2)/C11)*1000/1.1</f>
        <v>25.97402597402597</v>
      </c>
      <c r="E11" s="83"/>
      <c r="F11" s="148">
        <f>($C$6/$C$7)/C11</f>
        <v>2.8571501714472962E-3</v>
      </c>
      <c r="G11" s="149"/>
      <c r="H11" s="83"/>
      <c r="I11" s="83"/>
    </row>
    <row r="12" spans="1:9" x14ac:dyDescent="0.3">
      <c r="A12" s="10"/>
      <c r="B12" s="36">
        <v>1</v>
      </c>
      <c r="C12" s="109">
        <v>2000</v>
      </c>
      <c r="D12" s="105">
        <f t="shared" si="0"/>
        <v>4.545454545454545</v>
      </c>
      <c r="E12" s="83"/>
      <c r="F12" s="148">
        <f t="shared" ref="F12:F20" si="1">($C$6/$C$7)/C12</f>
        <v>5.0000128000327678E-4</v>
      </c>
      <c r="G12" s="149"/>
      <c r="H12" s="83"/>
      <c r="I12" s="83"/>
    </row>
    <row r="13" spans="1:9" x14ac:dyDescent="0.3">
      <c r="A13" s="10"/>
      <c r="B13" s="36">
        <v>2</v>
      </c>
      <c r="C13" s="109">
        <v>4000</v>
      </c>
      <c r="D13" s="105">
        <f t="shared" si="0"/>
        <v>2.2727272727272725</v>
      </c>
      <c r="E13" s="83"/>
      <c r="F13" s="148">
        <f t="shared" si="1"/>
        <v>2.5000064000163839E-4</v>
      </c>
      <c r="G13" s="149"/>
      <c r="H13" s="83"/>
      <c r="I13" s="83"/>
    </row>
    <row r="14" spans="1:9" x14ac:dyDescent="0.3">
      <c r="A14" s="10"/>
      <c r="B14" s="36">
        <v>3</v>
      </c>
      <c r="C14" s="109">
        <v>5700</v>
      </c>
      <c r="D14" s="105">
        <f t="shared" si="0"/>
        <v>1.594896331738437</v>
      </c>
      <c r="E14" s="83"/>
      <c r="F14" s="148">
        <f t="shared" si="1"/>
        <v>1.7543904561518486E-4</v>
      </c>
      <c r="G14" s="149"/>
      <c r="H14" s="83"/>
      <c r="I14" s="83"/>
    </row>
    <row r="15" spans="1:9" x14ac:dyDescent="0.3">
      <c r="A15" s="10"/>
      <c r="B15" s="36">
        <v>4</v>
      </c>
      <c r="C15" s="109">
        <v>8000</v>
      </c>
      <c r="D15" s="105">
        <f t="shared" si="0"/>
        <v>1.1363636363636362</v>
      </c>
      <c r="E15" s="83"/>
      <c r="F15" s="148">
        <f t="shared" si="1"/>
        <v>1.2500032000081919E-4</v>
      </c>
      <c r="G15" s="149"/>
      <c r="H15" s="83"/>
      <c r="I15" s="83"/>
    </row>
    <row r="16" spans="1:9" x14ac:dyDescent="0.3">
      <c r="A16" s="10"/>
      <c r="B16" s="36">
        <v>5</v>
      </c>
      <c r="C16" s="109">
        <v>9500</v>
      </c>
      <c r="D16" s="105">
        <f t="shared" si="0"/>
        <v>0.95693779904306209</v>
      </c>
      <c r="E16" s="83"/>
      <c r="F16" s="148">
        <f t="shared" si="1"/>
        <v>1.0526342736911091E-4</v>
      </c>
      <c r="G16" s="149"/>
      <c r="H16" s="83"/>
      <c r="I16" s="83"/>
    </row>
    <row r="17" spans="1:9" x14ac:dyDescent="0.3">
      <c r="A17" s="10"/>
      <c r="B17" s="36">
        <v>6</v>
      </c>
      <c r="C17" s="109">
        <v>11500</v>
      </c>
      <c r="D17" s="105">
        <f t="shared" si="0"/>
        <v>0.79051383399209485</v>
      </c>
      <c r="E17" s="83"/>
      <c r="F17" s="148">
        <f t="shared" si="1"/>
        <v>8.6956744348395962E-5</v>
      </c>
      <c r="G17" s="149"/>
      <c r="H17" s="83"/>
      <c r="I17" s="83"/>
    </row>
    <row r="18" spans="1:9" x14ac:dyDescent="0.3">
      <c r="A18" s="10"/>
      <c r="B18" s="36">
        <v>7</v>
      </c>
      <c r="C18" s="109">
        <v>13200</v>
      </c>
      <c r="D18" s="105">
        <f t="shared" si="0"/>
        <v>0.68870523415977958</v>
      </c>
      <c r="E18" s="83"/>
      <c r="F18" s="148">
        <f t="shared" si="1"/>
        <v>7.575776969746619E-5</v>
      </c>
      <c r="G18" s="149"/>
      <c r="H18" s="83"/>
      <c r="I18" s="83"/>
    </row>
    <row r="19" spans="1:9" x14ac:dyDescent="0.3">
      <c r="A19" s="10"/>
      <c r="B19" s="36">
        <v>8</v>
      </c>
      <c r="C19" s="109">
        <v>16600</v>
      </c>
      <c r="D19" s="105">
        <f t="shared" si="0"/>
        <v>0.547645125958379</v>
      </c>
      <c r="E19" s="83"/>
      <c r="F19" s="148">
        <f t="shared" si="1"/>
        <v>6.0241118072683956E-5</v>
      </c>
      <c r="G19" s="149"/>
      <c r="H19" s="83"/>
      <c r="I19" s="83"/>
    </row>
    <row r="20" spans="1:9" x14ac:dyDescent="0.3">
      <c r="A20" s="10"/>
      <c r="B20" s="36">
        <v>9</v>
      </c>
      <c r="C20" s="109">
        <v>18000</v>
      </c>
      <c r="D20" s="105">
        <f t="shared" si="0"/>
        <v>0.50505050505050508</v>
      </c>
      <c r="E20" s="83"/>
      <c r="F20" s="148">
        <f t="shared" si="1"/>
        <v>5.5555697778141866E-5</v>
      </c>
      <c r="G20" s="149"/>
      <c r="H20" s="83"/>
      <c r="I20" s="83"/>
    </row>
    <row r="21" spans="1:9" x14ac:dyDescent="0.3">
      <c r="A21" s="10"/>
      <c r="B21" s="10"/>
      <c r="C21" s="10"/>
      <c r="D21" s="83"/>
      <c r="E21" s="83"/>
      <c r="F21" s="83"/>
      <c r="G21" s="83"/>
      <c r="H21" s="83"/>
      <c r="I21" s="83"/>
    </row>
    <row r="22" spans="1:9" x14ac:dyDescent="0.3">
      <c r="A22" s="83"/>
      <c r="B22" s="83"/>
      <c r="C22" s="83"/>
      <c r="D22" s="83"/>
      <c r="E22" s="83"/>
      <c r="F22" s="83"/>
      <c r="G22" s="83"/>
      <c r="H22" s="83"/>
      <c r="I22" s="83"/>
    </row>
    <row r="23" spans="1:9" x14ac:dyDescent="0.3">
      <c r="A23" s="83"/>
      <c r="B23" s="83"/>
      <c r="C23" s="83"/>
      <c r="D23" s="83"/>
      <c r="E23" s="83"/>
      <c r="F23" s="83"/>
      <c r="G23" s="83"/>
      <c r="H23" s="83"/>
      <c r="I23" s="83"/>
    </row>
  </sheetData>
  <mergeCells count="13">
    <mergeCell ref="D7:G7"/>
    <mergeCell ref="F14:G14"/>
    <mergeCell ref="F19:G19"/>
    <mergeCell ref="F20:G20"/>
    <mergeCell ref="F15:G15"/>
    <mergeCell ref="F16:G16"/>
    <mergeCell ref="F17:G17"/>
    <mergeCell ref="F18:G18"/>
    <mergeCell ref="D10:E10"/>
    <mergeCell ref="F10:G10"/>
    <mergeCell ref="F11:G11"/>
    <mergeCell ref="F12:G12"/>
    <mergeCell ref="F13:G13"/>
  </mergeCells>
  <phoneticPr fontId="0" type="noConversion"/>
  <conditionalFormatting sqref="D7">
    <cfRule type="containsText" dxfId="0" priority="1" operator="containsText" text="ERROR">
      <formula>NOT(ISERROR(SEARCH("ERROR",D7)))</formula>
    </cfRule>
  </conditionalFormatting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selection activeCell="F8" sqref="F8"/>
    </sheetView>
  </sheetViews>
  <sheetFormatPr defaultColWidth="9.7109375" defaultRowHeight="18.75" x14ac:dyDescent="0.2"/>
  <cols>
    <col min="1" max="256" width="16.42578125" style="39" customWidth="1"/>
    <col min="257" max="16384" width="9.7109375" style="39"/>
  </cols>
  <sheetData>
    <row r="1" spans="1:9" x14ac:dyDescent="0.2">
      <c r="A1" s="37" t="s">
        <v>39</v>
      </c>
      <c r="B1" s="38"/>
      <c r="C1" s="38"/>
      <c r="D1" s="38"/>
      <c r="E1" s="38"/>
      <c r="F1" s="38"/>
      <c r="G1" s="38"/>
      <c r="H1" s="38"/>
    </row>
    <row r="2" spans="1:9" x14ac:dyDescent="0.2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">
      <c r="A3" s="38"/>
      <c r="B3" s="25" t="s">
        <v>25</v>
      </c>
      <c r="C3" s="40">
        <v>20</v>
      </c>
      <c r="D3" s="38" t="s">
        <v>73</v>
      </c>
      <c r="E3" s="38"/>
      <c r="F3" s="38"/>
      <c r="G3" s="38"/>
      <c r="H3" s="38"/>
      <c r="I3" s="38"/>
    </row>
    <row r="4" spans="1:9" x14ac:dyDescent="0.2">
      <c r="A4" s="38"/>
      <c r="B4" s="25" t="s">
        <v>85</v>
      </c>
      <c r="C4" s="41">
        <v>8</v>
      </c>
      <c r="D4" s="38"/>
      <c r="E4" s="25" t="s">
        <v>64</v>
      </c>
      <c r="F4" s="40">
        <f>C3/C4/2</f>
        <v>1.25</v>
      </c>
      <c r="G4" s="38" t="s">
        <v>22</v>
      </c>
      <c r="H4" s="38"/>
      <c r="I4" s="38"/>
    </row>
    <row r="5" spans="1:9" x14ac:dyDescent="0.2">
      <c r="A5" s="38"/>
      <c r="B5" s="25" t="s">
        <v>26</v>
      </c>
      <c r="C5" s="41">
        <v>12</v>
      </c>
      <c r="D5" s="38" t="s">
        <v>71</v>
      </c>
      <c r="E5" s="42"/>
      <c r="F5" s="29">
        <f>POWER(2,C5)</f>
        <v>4096</v>
      </c>
      <c r="G5" s="30" t="s">
        <v>27</v>
      </c>
      <c r="H5" s="38"/>
      <c r="I5" s="38"/>
    </row>
    <row r="6" spans="1:9" ht="19.5" thickBot="1" x14ac:dyDescent="0.25">
      <c r="A6" s="38"/>
      <c r="B6" s="25" t="s">
        <v>23</v>
      </c>
      <c r="C6" s="43">
        <f>(C3/C4)/POWER(2,C5)</f>
        <v>6.103515625E-4</v>
      </c>
      <c r="D6" s="38" t="s">
        <v>35</v>
      </c>
      <c r="E6" s="38"/>
      <c r="F6" s="38"/>
      <c r="G6" s="38"/>
      <c r="H6" s="38"/>
      <c r="I6" s="38"/>
    </row>
    <row r="7" spans="1:9" x14ac:dyDescent="0.2">
      <c r="A7" s="38"/>
      <c r="B7" s="38"/>
      <c r="C7" s="38"/>
      <c r="D7" s="38"/>
      <c r="E7" s="154" t="s">
        <v>49</v>
      </c>
      <c r="F7" s="155"/>
      <c r="G7" s="156"/>
      <c r="H7" s="44"/>
      <c r="I7" s="38"/>
    </row>
    <row r="8" spans="1:9" x14ac:dyDescent="0.2">
      <c r="A8" s="38"/>
      <c r="B8" s="25" t="s">
        <v>40</v>
      </c>
      <c r="C8" s="45">
        <v>1</v>
      </c>
      <c r="D8" s="38"/>
      <c r="E8" s="46" t="s">
        <v>65</v>
      </c>
      <c r="F8" s="47">
        <v>0.02</v>
      </c>
      <c r="G8" s="48" t="s">
        <v>22</v>
      </c>
      <c r="H8" s="38"/>
      <c r="I8" s="38"/>
    </row>
    <row r="9" spans="1:9" x14ac:dyDescent="0.2">
      <c r="A9" s="38"/>
      <c r="B9" s="38"/>
      <c r="C9" s="38"/>
      <c r="D9" s="38"/>
      <c r="E9" s="46" t="s">
        <v>66</v>
      </c>
      <c r="F9" s="49">
        <f>POWER(2,C5)/2+ROUND(F8/C6,0)</f>
        <v>2081</v>
      </c>
      <c r="G9" s="48" t="s">
        <v>48</v>
      </c>
      <c r="H9" s="38"/>
      <c r="I9" s="38"/>
    </row>
    <row r="10" spans="1:9" ht="19.5" thickBot="1" x14ac:dyDescent="0.25">
      <c r="A10" s="38"/>
      <c r="B10" s="38"/>
      <c r="C10" s="38"/>
      <c r="D10" s="38"/>
      <c r="E10" s="50" t="s">
        <v>67</v>
      </c>
      <c r="F10" s="51">
        <f>(F9-POWER(2,C5)/2)*(C19)</f>
        <v>50.35400390625</v>
      </c>
      <c r="G10" s="52" t="s">
        <v>47</v>
      </c>
      <c r="H10" s="38"/>
      <c r="I10" s="38"/>
    </row>
    <row r="11" spans="1:9" x14ac:dyDescent="0.2">
      <c r="A11" s="38"/>
      <c r="B11" s="53"/>
      <c r="C11" s="38"/>
      <c r="D11" s="38"/>
      <c r="E11" s="38"/>
      <c r="F11" s="54"/>
      <c r="G11" s="38"/>
      <c r="H11" s="38"/>
      <c r="I11" s="38"/>
    </row>
    <row r="12" spans="1:9" x14ac:dyDescent="0.2">
      <c r="A12" s="38"/>
      <c r="B12" s="53" t="s">
        <v>43</v>
      </c>
      <c r="C12" s="38"/>
      <c r="D12" s="38"/>
      <c r="E12" s="38"/>
      <c r="F12" s="38"/>
      <c r="G12" s="38"/>
      <c r="H12" s="38"/>
      <c r="I12" s="38"/>
    </row>
    <row r="13" spans="1:9" x14ac:dyDescent="0.2">
      <c r="A13" s="38"/>
      <c r="B13" s="53" t="s">
        <v>45</v>
      </c>
      <c r="C13" s="38"/>
      <c r="D13" s="38"/>
      <c r="E13" s="38"/>
      <c r="F13" s="38"/>
      <c r="G13" s="38"/>
      <c r="H13" s="38"/>
      <c r="I13" s="38"/>
    </row>
    <row r="14" spans="1:9" x14ac:dyDescent="0.2">
      <c r="A14" s="38"/>
      <c r="B14" s="25" t="s">
        <v>41</v>
      </c>
      <c r="C14" s="55">
        <v>50</v>
      </c>
      <c r="D14" s="38" t="s">
        <v>74</v>
      </c>
      <c r="E14" s="38"/>
      <c r="F14" s="38"/>
      <c r="G14" s="38"/>
      <c r="H14" s="38"/>
      <c r="I14" s="38"/>
    </row>
    <row r="15" spans="1:9" x14ac:dyDescent="0.2">
      <c r="A15" s="38"/>
      <c r="B15" s="25" t="s">
        <v>42</v>
      </c>
      <c r="C15" s="55">
        <v>10</v>
      </c>
      <c r="D15" s="38" t="s">
        <v>35</v>
      </c>
      <c r="E15" s="38"/>
      <c r="F15" s="38"/>
      <c r="G15" s="38"/>
      <c r="H15" s="38"/>
      <c r="I15" s="38"/>
    </row>
    <row r="16" spans="1:9" x14ac:dyDescent="0.2">
      <c r="A16" s="38"/>
      <c r="B16" s="25" t="s">
        <v>46</v>
      </c>
      <c r="C16" s="56">
        <v>2E-3</v>
      </c>
      <c r="D16" s="38" t="s">
        <v>75</v>
      </c>
      <c r="E16" s="38"/>
      <c r="F16" s="38"/>
      <c r="G16" s="38"/>
      <c r="H16" s="38"/>
      <c r="I16" s="38"/>
    </row>
    <row r="17" spans="1:9" x14ac:dyDescent="0.2">
      <c r="A17" s="38"/>
      <c r="B17" s="25" t="s">
        <v>44</v>
      </c>
      <c r="C17" s="55">
        <v>0</v>
      </c>
      <c r="D17" s="38" t="s">
        <v>76</v>
      </c>
      <c r="E17" s="38"/>
      <c r="F17" s="38"/>
      <c r="G17" s="38"/>
      <c r="H17" s="38"/>
      <c r="I17" s="38"/>
    </row>
    <row r="18" spans="1:9" x14ac:dyDescent="0.2">
      <c r="A18" s="38"/>
      <c r="B18" s="38"/>
      <c r="C18" s="57">
        <f>(C16*C15)*(IF(C17&lt;&gt;0,C17,1))/C14</f>
        <v>4.0000000000000002E-4</v>
      </c>
      <c r="D18" s="38" t="s">
        <v>77</v>
      </c>
      <c r="E18" s="38"/>
      <c r="F18" s="38"/>
      <c r="G18" s="38"/>
      <c r="H18" s="38"/>
      <c r="I18" s="38"/>
    </row>
    <row r="19" spans="1:9" x14ac:dyDescent="0.2">
      <c r="A19" s="38"/>
      <c r="B19" s="25" t="s">
        <v>12</v>
      </c>
      <c r="C19" s="110">
        <f>C6/C18/C8</f>
        <v>1.52587890625</v>
      </c>
      <c r="D19" s="38"/>
      <c r="E19" s="38"/>
      <c r="F19" s="38"/>
      <c r="G19" s="38"/>
      <c r="H19" s="38"/>
      <c r="I19" s="38"/>
    </row>
    <row r="20" spans="1:9" x14ac:dyDescent="0.2">
      <c r="A20" s="38"/>
      <c r="B20" s="38"/>
      <c r="C20" s="38"/>
      <c r="D20" s="38"/>
      <c r="E20" s="38"/>
      <c r="F20" s="38"/>
      <c r="G20" s="38"/>
      <c r="H20" s="38"/>
      <c r="I20" s="38"/>
    </row>
    <row r="21" spans="1:9" x14ac:dyDescent="0.2">
      <c r="A21" s="38"/>
      <c r="B21" s="38"/>
      <c r="C21" s="38"/>
      <c r="D21" s="38"/>
      <c r="E21" s="38"/>
      <c r="F21" s="38"/>
      <c r="G21" s="38"/>
      <c r="H21" s="38"/>
      <c r="I21" s="38"/>
    </row>
    <row r="22" spans="1:9" x14ac:dyDescent="0.2">
      <c r="A22" s="38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38"/>
      <c r="B23" s="38"/>
      <c r="C23" s="38"/>
      <c r="D23" s="38"/>
      <c r="E23" s="38"/>
      <c r="F23" s="38"/>
      <c r="G23" s="38"/>
      <c r="H23" s="38"/>
      <c r="I23" s="38"/>
    </row>
  </sheetData>
  <mergeCells count="1">
    <mergeCell ref="E7:G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selection activeCell="C8" sqref="C8"/>
    </sheetView>
  </sheetViews>
  <sheetFormatPr defaultColWidth="9.7109375" defaultRowHeight="18.75" x14ac:dyDescent="0.3"/>
  <cols>
    <col min="1" max="256" width="16.42578125" style="23" customWidth="1"/>
    <col min="257" max="16384" width="9.7109375" style="23"/>
  </cols>
  <sheetData>
    <row r="1" spans="1:8" x14ac:dyDescent="0.3">
      <c r="A1" s="165" t="s">
        <v>68</v>
      </c>
      <c r="B1" s="166"/>
      <c r="C1" s="166"/>
      <c r="D1" s="166"/>
      <c r="E1" s="166"/>
      <c r="F1" s="166"/>
      <c r="G1" s="166"/>
      <c r="H1" s="166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x14ac:dyDescent="0.3">
      <c r="A3" s="10"/>
      <c r="B3" s="24" t="s">
        <v>25</v>
      </c>
      <c r="C3" s="26">
        <v>20</v>
      </c>
      <c r="D3" s="10" t="s">
        <v>73</v>
      </c>
      <c r="E3" s="10"/>
      <c r="F3" s="10"/>
      <c r="G3" s="10"/>
      <c r="H3" s="10"/>
    </row>
    <row r="4" spans="1:8" x14ac:dyDescent="0.3">
      <c r="A4" s="10"/>
      <c r="B4" s="24" t="s">
        <v>24</v>
      </c>
      <c r="C4" s="26">
        <v>1</v>
      </c>
      <c r="D4" s="10"/>
      <c r="E4" s="24" t="s">
        <v>64</v>
      </c>
      <c r="F4" s="26">
        <f>C3/C4/2</f>
        <v>10</v>
      </c>
      <c r="G4" s="10" t="s">
        <v>22</v>
      </c>
      <c r="H4" s="10"/>
    </row>
    <row r="5" spans="1:8" x14ac:dyDescent="0.3">
      <c r="A5" s="10"/>
      <c r="B5" s="24" t="s">
        <v>26</v>
      </c>
      <c r="C5" s="27">
        <v>12</v>
      </c>
      <c r="D5" s="10" t="s">
        <v>71</v>
      </c>
      <c r="E5" s="28"/>
      <c r="F5" s="29">
        <f>POWER(2,C5)</f>
        <v>4096</v>
      </c>
      <c r="G5" s="30" t="s">
        <v>27</v>
      </c>
      <c r="H5" s="10"/>
    </row>
    <row r="6" spans="1:8" x14ac:dyDescent="0.3">
      <c r="A6" s="10"/>
      <c r="B6" s="24" t="s">
        <v>23</v>
      </c>
      <c r="C6" s="59">
        <f>C3/(POWER(2,C5))/C4</f>
        <v>4.8828125E-3</v>
      </c>
      <c r="D6" s="10" t="s">
        <v>72</v>
      </c>
      <c r="E6" s="10"/>
      <c r="F6" s="10"/>
      <c r="G6" s="10"/>
      <c r="H6" s="10"/>
    </row>
    <row r="7" spans="1:8" ht="19.5" thickBot="1" x14ac:dyDescent="0.35">
      <c r="A7" s="10"/>
      <c r="B7" s="10"/>
      <c r="C7" s="26"/>
      <c r="D7" s="10"/>
      <c r="E7" s="10"/>
      <c r="F7" s="10"/>
      <c r="G7" s="10"/>
      <c r="H7" s="10"/>
    </row>
    <row r="8" spans="1:8" x14ac:dyDescent="0.3">
      <c r="A8" s="10"/>
      <c r="B8" s="24" t="s">
        <v>40</v>
      </c>
      <c r="C8" s="60">
        <v>1</v>
      </c>
      <c r="D8" s="10"/>
      <c r="E8" s="159" t="s">
        <v>29</v>
      </c>
      <c r="F8" s="160"/>
      <c r="G8" s="161"/>
      <c r="H8" s="10"/>
    </row>
    <row r="9" spans="1:8" ht="19.5" thickBot="1" x14ac:dyDescent="0.35">
      <c r="A9" s="10"/>
      <c r="B9" s="24" t="s">
        <v>140</v>
      </c>
      <c r="C9" s="83">
        <f>(POWER(2,C5)/2)-1</f>
        <v>2047</v>
      </c>
      <c r="D9" s="10"/>
      <c r="E9" s="162" t="s">
        <v>92</v>
      </c>
      <c r="F9" s="163"/>
      <c r="G9" s="164"/>
      <c r="H9" s="10"/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x14ac:dyDescent="0.3">
      <c r="A11" s="10"/>
      <c r="B11" s="24" t="s">
        <v>42</v>
      </c>
      <c r="C11" s="27">
        <v>10</v>
      </c>
      <c r="D11" s="10" t="s">
        <v>35</v>
      </c>
      <c r="E11" s="10"/>
      <c r="F11" s="10"/>
      <c r="G11" s="10"/>
      <c r="H11" s="10"/>
    </row>
    <row r="12" spans="1:8" x14ac:dyDescent="0.3">
      <c r="A12" s="10"/>
      <c r="B12" s="24" t="s">
        <v>34</v>
      </c>
      <c r="C12" s="27">
        <v>30</v>
      </c>
      <c r="D12" s="10" t="s">
        <v>70</v>
      </c>
      <c r="E12" s="10"/>
      <c r="F12" s="10"/>
      <c r="G12" s="10"/>
      <c r="H12" s="10"/>
    </row>
    <row r="13" spans="1:8" x14ac:dyDescent="0.3">
      <c r="A13" s="10"/>
      <c r="B13" s="10"/>
      <c r="C13" s="10"/>
      <c r="D13" s="10"/>
      <c r="E13" s="10"/>
      <c r="F13" s="10"/>
      <c r="G13" s="10"/>
      <c r="H13" s="10"/>
    </row>
    <row r="14" spans="1:8" x14ac:dyDescent="0.3">
      <c r="A14" s="26" t="s">
        <v>8</v>
      </c>
      <c r="B14" s="26" t="s">
        <v>38</v>
      </c>
      <c r="C14" s="26" t="s">
        <v>33</v>
      </c>
      <c r="D14" s="26"/>
      <c r="E14" s="10"/>
      <c r="F14" s="10"/>
      <c r="G14" s="10"/>
      <c r="H14" s="10"/>
    </row>
    <row r="15" spans="1:8" s="63" customFormat="1" x14ac:dyDescent="0.3">
      <c r="A15" s="61" t="s">
        <v>1</v>
      </c>
      <c r="B15" s="61" t="s">
        <v>9</v>
      </c>
      <c r="C15" s="61" t="s">
        <v>36</v>
      </c>
      <c r="D15" s="61" t="s">
        <v>10</v>
      </c>
      <c r="E15" s="62" t="s">
        <v>11</v>
      </c>
      <c r="F15" s="157" t="s">
        <v>12</v>
      </c>
      <c r="G15" s="158"/>
      <c r="H15" s="62"/>
    </row>
    <row r="16" spans="1:8" x14ac:dyDescent="0.3">
      <c r="A16" s="10" t="s">
        <v>13</v>
      </c>
      <c r="B16" s="64">
        <v>0.65500000000000003</v>
      </c>
      <c r="C16" s="65">
        <f t="shared" ref="C16:C21" si="0">0.000927/2.5</f>
        <v>3.7080000000000001E-4</v>
      </c>
      <c r="D16" s="27">
        <v>4000</v>
      </c>
      <c r="E16" s="27">
        <v>1</v>
      </c>
      <c r="F16" s="66">
        <f>-adc_sens/gen_scale/(Fx*(excitation-C16*C12)*Fxch*fxGain/1000000)</f>
        <v>-0.18657443471415314</v>
      </c>
      <c r="G16" s="10" t="s">
        <v>4</v>
      </c>
      <c r="H16" s="10"/>
    </row>
    <row r="17" spans="1:9" x14ac:dyDescent="0.3">
      <c r="A17" s="10" t="s">
        <v>14</v>
      </c>
      <c r="B17" s="64">
        <v>0.65</v>
      </c>
      <c r="C17" s="65">
        <f t="shared" si="0"/>
        <v>3.7080000000000001E-4</v>
      </c>
      <c r="D17" s="27">
        <v>4000</v>
      </c>
      <c r="E17" s="27">
        <v>1</v>
      </c>
      <c r="F17" s="66">
        <f>-adc_sens/gen_scale/(Fy*(excitation-C17*C12)*Fych*fygain/1000000)</f>
        <v>-0.18800962267349278</v>
      </c>
      <c r="G17" s="10" t="s">
        <v>4</v>
      </c>
      <c r="H17" s="10"/>
    </row>
    <row r="18" spans="1:9" x14ac:dyDescent="0.3">
      <c r="A18" s="10" t="s">
        <v>15</v>
      </c>
      <c r="B18" s="64">
        <v>0.16700000000000001</v>
      </c>
      <c r="C18" s="65">
        <f>0.000463/2.5</f>
        <v>1.852E-4</v>
      </c>
      <c r="D18" s="27">
        <v>4000</v>
      </c>
      <c r="E18" s="27">
        <v>1</v>
      </c>
      <c r="F18" s="66">
        <f>-adc_sens/gen_scale/(Fz*(excitation-C18*C12)*Fzch*fzgain/1000000)</f>
        <v>-0.73136630220732668</v>
      </c>
      <c r="G18" s="10" t="s">
        <v>4</v>
      </c>
      <c r="H18" s="10"/>
    </row>
    <row r="19" spans="1:9" x14ac:dyDescent="0.3">
      <c r="A19" s="10" t="s">
        <v>16</v>
      </c>
      <c r="B19" s="64">
        <v>1.3480000000000001</v>
      </c>
      <c r="C19" s="65">
        <f t="shared" si="0"/>
        <v>3.7080000000000001E-4</v>
      </c>
      <c r="D19" s="27">
        <v>4000</v>
      </c>
      <c r="E19" s="27">
        <v>1</v>
      </c>
      <c r="F19" s="66">
        <f>-adc_sens/gen_scale/(Mx*(excitation-C19*C12)*Mxch*mxgain/1000000)*1000</f>
        <v>-90.657459004280639</v>
      </c>
      <c r="G19" s="10" t="s">
        <v>17</v>
      </c>
      <c r="H19" s="10"/>
    </row>
    <row r="20" spans="1:9" x14ac:dyDescent="0.3">
      <c r="A20" s="10" t="s">
        <v>18</v>
      </c>
      <c r="B20" s="64">
        <v>1.3520000000000001</v>
      </c>
      <c r="C20" s="65">
        <f t="shared" si="0"/>
        <v>3.7080000000000001E-4</v>
      </c>
      <c r="D20" s="27">
        <v>4000</v>
      </c>
      <c r="E20" s="27">
        <v>1</v>
      </c>
      <c r="F20" s="66">
        <f>-adc_sens/gen_scale/(My*(excitation-C20*C12)*Mych*mygain/1000000)*1000</f>
        <v>-90.389241669948433</v>
      </c>
      <c r="G20" s="10" t="s">
        <v>17</v>
      </c>
      <c r="H20" s="10"/>
    </row>
    <row r="21" spans="1:9" x14ac:dyDescent="0.3">
      <c r="A21" s="10" t="s">
        <v>19</v>
      </c>
      <c r="B21" s="64">
        <v>2.552</v>
      </c>
      <c r="C21" s="65">
        <f t="shared" si="0"/>
        <v>3.7080000000000001E-4</v>
      </c>
      <c r="D21" s="27">
        <v>4000</v>
      </c>
      <c r="E21" s="27">
        <v>1</v>
      </c>
      <c r="F21" s="66">
        <f>-adc_sens/gen_scale/(Mz*(excitation-C21*C12)*Mzch*mzgain/1000000)*1000</f>
        <v>-47.886463455239152</v>
      </c>
      <c r="G21" s="10" t="s">
        <v>17</v>
      </c>
      <c r="H21" s="10"/>
    </row>
    <row r="22" spans="1:9" x14ac:dyDescent="0.3">
      <c r="A22" s="10"/>
      <c r="B22" s="10"/>
      <c r="C22" s="10"/>
      <c r="D22" s="10"/>
      <c r="E22" s="10"/>
      <c r="F22" s="67"/>
      <c r="G22" s="10"/>
      <c r="H22" s="10"/>
    </row>
    <row r="23" spans="1:9" s="63" customFormat="1" x14ac:dyDescent="0.3">
      <c r="A23" s="23"/>
      <c r="B23" s="23"/>
      <c r="C23" s="23"/>
      <c r="D23" s="23"/>
      <c r="E23" s="23"/>
      <c r="F23" s="23"/>
      <c r="G23" s="23"/>
      <c r="H23" s="23"/>
      <c r="I23" s="23"/>
    </row>
  </sheetData>
  <mergeCells count="4">
    <mergeCell ref="F15:G15"/>
    <mergeCell ref="E8:G8"/>
    <mergeCell ref="E9:G9"/>
    <mergeCell ref="A1:H1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&amp;F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selection activeCell="F8" sqref="F8:H10"/>
    </sheetView>
  </sheetViews>
  <sheetFormatPr defaultColWidth="9.7109375" defaultRowHeight="18.75" x14ac:dyDescent="0.2"/>
  <cols>
    <col min="1" max="1" width="6.140625" style="91" customWidth="1"/>
    <col min="2" max="257" width="16.42578125" style="68" customWidth="1"/>
    <col min="258" max="16384" width="9.7109375" style="68"/>
  </cols>
  <sheetData>
    <row r="1" spans="2:9" x14ac:dyDescent="0.2">
      <c r="B1" s="167" t="s">
        <v>79</v>
      </c>
      <c r="C1" s="137"/>
      <c r="D1" s="137"/>
      <c r="E1" s="137"/>
      <c r="F1" s="137"/>
      <c r="G1" s="137"/>
      <c r="H1" s="137"/>
      <c r="I1" s="137"/>
    </row>
    <row r="2" spans="2:9" x14ac:dyDescent="0.2">
      <c r="B2" s="30"/>
      <c r="C2" s="30"/>
      <c r="D2" s="30"/>
      <c r="E2" s="30"/>
      <c r="F2" s="30"/>
      <c r="G2" s="30"/>
      <c r="H2" s="30"/>
      <c r="I2" s="30"/>
    </row>
    <row r="3" spans="2:9" x14ac:dyDescent="0.2">
      <c r="B3" s="30"/>
      <c r="C3" s="69" t="s">
        <v>25</v>
      </c>
      <c r="D3" s="70">
        <v>20</v>
      </c>
      <c r="E3" s="30" t="s">
        <v>73</v>
      </c>
      <c r="F3" s="30"/>
      <c r="G3" s="30"/>
      <c r="H3" s="30"/>
      <c r="I3" s="30"/>
    </row>
    <row r="4" spans="2:9" x14ac:dyDescent="0.3">
      <c r="B4" s="30"/>
      <c r="C4" s="69" t="s">
        <v>24</v>
      </c>
      <c r="D4" s="26">
        <v>1</v>
      </c>
      <c r="E4" s="30"/>
      <c r="F4" s="69" t="s">
        <v>64</v>
      </c>
      <c r="G4" s="70">
        <f>D3/D4/2</f>
        <v>10</v>
      </c>
      <c r="H4" s="30" t="s">
        <v>22</v>
      </c>
      <c r="I4" s="30"/>
    </row>
    <row r="5" spans="2:9" x14ac:dyDescent="0.2">
      <c r="B5" s="30"/>
      <c r="C5" s="69" t="s">
        <v>26</v>
      </c>
      <c r="D5" s="71">
        <v>12</v>
      </c>
      <c r="E5" s="30" t="s">
        <v>71</v>
      </c>
      <c r="F5" s="30"/>
      <c r="G5" s="29">
        <f>POWER(2,D5)</f>
        <v>4096</v>
      </c>
      <c r="H5" s="30" t="s">
        <v>27</v>
      </c>
      <c r="I5" s="30"/>
    </row>
    <row r="6" spans="2:9" x14ac:dyDescent="0.2">
      <c r="B6" s="30"/>
      <c r="C6" s="69" t="s">
        <v>23</v>
      </c>
      <c r="D6" s="72">
        <f>D3/(POWER(2,D5))/D4</f>
        <v>4.8828125E-3</v>
      </c>
      <c r="E6" s="30" t="s">
        <v>72</v>
      </c>
      <c r="F6" s="30"/>
      <c r="G6" s="30"/>
      <c r="H6" s="30"/>
      <c r="I6" s="30"/>
    </row>
    <row r="7" spans="2:9" ht="19.5" thickBot="1" x14ac:dyDescent="0.25">
      <c r="B7" s="30"/>
      <c r="C7" s="30"/>
      <c r="D7" s="70"/>
      <c r="E7" s="30"/>
      <c r="F7" s="70"/>
      <c r="G7" s="70"/>
      <c r="H7" s="70"/>
      <c r="I7" s="30"/>
    </row>
    <row r="8" spans="2:9" x14ac:dyDescent="0.2">
      <c r="B8" s="30"/>
      <c r="C8" s="69" t="s">
        <v>40</v>
      </c>
      <c r="D8" s="73">
        <v>1</v>
      </c>
      <c r="E8" s="30"/>
      <c r="F8" s="170" t="s">
        <v>145</v>
      </c>
      <c r="G8" s="171"/>
      <c r="H8" s="172"/>
      <c r="I8" s="74"/>
    </row>
    <row r="9" spans="2:9" x14ac:dyDescent="0.2">
      <c r="B9" s="30"/>
      <c r="C9" s="69" t="s">
        <v>140</v>
      </c>
      <c r="D9" s="30">
        <f>(POWER(2,D5)/2)-1</f>
        <v>2047</v>
      </c>
      <c r="E9" s="30"/>
      <c r="F9" s="173"/>
      <c r="G9" s="174"/>
      <c r="H9" s="175"/>
      <c r="I9" s="74"/>
    </row>
    <row r="10" spans="2:9" ht="19.5" thickBot="1" x14ac:dyDescent="0.25">
      <c r="B10" s="30"/>
      <c r="C10" s="30"/>
      <c r="D10" s="30"/>
      <c r="E10" s="30"/>
      <c r="F10" s="176"/>
      <c r="G10" s="177"/>
      <c r="H10" s="178"/>
      <c r="I10" s="74"/>
    </row>
    <row r="11" spans="2:9" x14ac:dyDescent="0.2">
      <c r="B11" s="30"/>
      <c r="C11" s="25" t="s">
        <v>42</v>
      </c>
      <c r="D11" s="71">
        <v>10</v>
      </c>
      <c r="E11" s="38" t="s">
        <v>35</v>
      </c>
      <c r="F11" s="30"/>
      <c r="G11" s="30"/>
      <c r="H11" s="30"/>
      <c r="I11" s="30"/>
    </row>
    <row r="12" spans="2:9" x14ac:dyDescent="0.2">
      <c r="B12" s="30"/>
      <c r="C12" s="25" t="s">
        <v>34</v>
      </c>
      <c r="D12" s="71">
        <v>30</v>
      </c>
      <c r="E12" s="38" t="s">
        <v>70</v>
      </c>
      <c r="F12" s="30"/>
      <c r="G12" s="30"/>
      <c r="H12" s="30"/>
      <c r="I12" s="30"/>
    </row>
    <row r="13" spans="2:9" x14ac:dyDescent="0.2">
      <c r="B13" s="30"/>
      <c r="C13" s="30"/>
      <c r="D13" s="30"/>
      <c r="E13" s="30"/>
      <c r="F13" s="30"/>
      <c r="G13" s="30"/>
      <c r="H13" s="30"/>
      <c r="I13" s="30"/>
    </row>
    <row r="14" spans="2:9" x14ac:dyDescent="0.2">
      <c r="B14" s="70"/>
      <c r="C14" s="30"/>
      <c r="D14" s="70" t="s">
        <v>33</v>
      </c>
      <c r="E14" s="70"/>
      <c r="F14" s="30"/>
      <c r="G14" s="30"/>
      <c r="H14" s="30"/>
      <c r="I14" s="30"/>
    </row>
    <row r="15" spans="2:9" x14ac:dyDescent="0.2">
      <c r="B15" s="168" t="s">
        <v>12</v>
      </c>
      <c r="C15" s="181"/>
      <c r="D15" s="70" t="s">
        <v>36</v>
      </c>
      <c r="E15" s="70" t="s">
        <v>10</v>
      </c>
      <c r="F15" s="30" t="s">
        <v>11</v>
      </c>
      <c r="G15" s="168" t="s">
        <v>69</v>
      </c>
      <c r="H15" s="169"/>
      <c r="I15" s="30"/>
    </row>
    <row r="16" spans="2:9" x14ac:dyDescent="0.2">
      <c r="B16" s="179">
        <v>-0.187</v>
      </c>
      <c r="C16" s="180"/>
      <c r="D16" s="75">
        <f>0.000927/2.5</f>
        <v>3.7080000000000001E-4</v>
      </c>
      <c r="E16" s="71">
        <v>4000</v>
      </c>
      <c r="F16" s="71">
        <v>1</v>
      </c>
      <c r="G16" s="76">
        <f>-adc_sens/gen_scale/(B16*(excitation-D16*$D$12)*Fxch*fxGain/1000000)</f>
        <v>0.65350938362444011</v>
      </c>
      <c r="H16" s="30" t="s">
        <v>13</v>
      </c>
      <c r="I16" s="30"/>
    </row>
    <row r="17" spans="2:9" x14ac:dyDescent="0.2">
      <c r="B17" s="179">
        <v>-0.1888</v>
      </c>
      <c r="C17" s="180"/>
      <c r="D17" s="75">
        <f>0.000927/2.5</f>
        <v>3.7080000000000001E-4</v>
      </c>
      <c r="E17" s="71">
        <v>4000</v>
      </c>
      <c r="F17" s="71">
        <v>1</v>
      </c>
      <c r="G17" s="76">
        <f>-adc_sens/gen_scale/(B17*(excitation-D17*$D$12)*Fych*fygain/1000000)</f>
        <v>0.64727889161954621</v>
      </c>
      <c r="H17" s="30" t="s">
        <v>14</v>
      </c>
      <c r="I17" s="30"/>
    </row>
    <row r="18" spans="2:9" x14ac:dyDescent="0.2">
      <c r="B18" s="179">
        <v>-0.73850000000000005</v>
      </c>
      <c r="C18" s="180"/>
      <c r="D18" s="75">
        <f>0.000463/2.5</f>
        <v>1.852E-4</v>
      </c>
      <c r="E18" s="71">
        <v>4000</v>
      </c>
      <c r="F18" s="71">
        <v>1</v>
      </c>
      <c r="G18" s="76">
        <f>-adc_sens/gen_scale/(B18*(excitation-D18*$D$12)*Fzch*fzgain/1000000)</f>
        <v>0.16538682798730339</v>
      </c>
      <c r="H18" s="30" t="s">
        <v>15</v>
      </c>
      <c r="I18" s="30"/>
    </row>
    <row r="19" spans="2:9" x14ac:dyDescent="0.2">
      <c r="B19" s="179">
        <v>-91.082999999999998</v>
      </c>
      <c r="C19" s="180"/>
      <c r="D19" s="75">
        <f>0.000927/2.5</f>
        <v>3.7080000000000001E-4</v>
      </c>
      <c r="E19" s="71">
        <v>4000</v>
      </c>
      <c r="F19" s="71">
        <v>1</v>
      </c>
      <c r="G19" s="76">
        <f>-adc_sens/gen_scale/(B19*(excitation-D19*$D$12)*Mxch*mxgain/1000000)*1000</f>
        <v>1.3417021259485338</v>
      </c>
      <c r="H19" s="30" t="s">
        <v>16</v>
      </c>
      <c r="I19" s="30"/>
    </row>
    <row r="20" spans="2:9" x14ac:dyDescent="0.2">
      <c r="B20" s="179">
        <v>-90.100988000000001</v>
      </c>
      <c r="C20" s="180"/>
      <c r="D20" s="75">
        <f>0.000927/2.5</f>
        <v>3.7080000000000001E-4</v>
      </c>
      <c r="E20" s="71">
        <v>4000</v>
      </c>
      <c r="F20" s="71">
        <v>1</v>
      </c>
      <c r="G20" s="76">
        <f>-adc_sens/gen_scale/(B20*(excitation-D20*$D$12)*Mych*mygain/1000000)*1000</f>
        <v>1.3563253572510248</v>
      </c>
      <c r="H20" s="30" t="s">
        <v>18</v>
      </c>
      <c r="I20" s="30"/>
    </row>
    <row r="21" spans="2:9" x14ac:dyDescent="0.2">
      <c r="B21" s="179">
        <v>-47.874000000000002</v>
      </c>
      <c r="C21" s="180"/>
      <c r="D21" s="75">
        <f>0.000927/2.5</f>
        <v>3.7080000000000001E-4</v>
      </c>
      <c r="E21" s="71">
        <v>4000</v>
      </c>
      <c r="F21" s="71">
        <v>1</v>
      </c>
      <c r="G21" s="76">
        <f>-adc_sens/gen_scale/(B21*(excitation-D21*$D$12)*Mzch*mzgain/1000000)*1000</f>
        <v>2.5526643843792098</v>
      </c>
      <c r="H21" s="30" t="s">
        <v>19</v>
      </c>
      <c r="I21" s="30"/>
    </row>
    <row r="22" spans="2:9" x14ac:dyDescent="0.2">
      <c r="B22" s="30"/>
      <c r="C22" s="30"/>
      <c r="D22" s="30"/>
      <c r="E22" s="30"/>
      <c r="F22" s="30"/>
      <c r="G22" s="77"/>
      <c r="H22" s="30"/>
      <c r="I22" s="30"/>
    </row>
  </sheetData>
  <mergeCells count="10">
    <mergeCell ref="B21:C21"/>
    <mergeCell ref="B15:C15"/>
    <mergeCell ref="B16:C16"/>
    <mergeCell ref="B17:C17"/>
    <mergeCell ref="B18:C18"/>
    <mergeCell ref="B1:I1"/>
    <mergeCell ref="G15:H15"/>
    <mergeCell ref="F8:H10"/>
    <mergeCell ref="B19:C19"/>
    <mergeCell ref="B20:C20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&amp;F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C8" sqref="C8"/>
    </sheetView>
  </sheetViews>
  <sheetFormatPr defaultColWidth="9.7109375" defaultRowHeight="18.75" x14ac:dyDescent="0.3"/>
  <cols>
    <col min="1" max="256" width="16.42578125" style="23" customWidth="1"/>
    <col min="257" max="16384" width="9.7109375" style="23"/>
  </cols>
  <sheetData>
    <row r="1" spans="1:8" x14ac:dyDescent="0.3">
      <c r="A1" s="165" t="s">
        <v>80</v>
      </c>
      <c r="B1" s="166"/>
      <c r="C1" s="166"/>
      <c r="D1" s="166"/>
      <c r="E1" s="166"/>
      <c r="F1" s="166"/>
      <c r="G1" s="166"/>
      <c r="H1" s="166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x14ac:dyDescent="0.3">
      <c r="A3" s="10"/>
      <c r="B3" s="24" t="s">
        <v>25</v>
      </c>
      <c r="C3" s="70">
        <v>20</v>
      </c>
      <c r="D3" s="10" t="s">
        <v>73</v>
      </c>
      <c r="E3" s="10"/>
      <c r="F3" s="10"/>
      <c r="G3" s="10"/>
      <c r="H3" s="10"/>
    </row>
    <row r="4" spans="1:8" x14ac:dyDescent="0.3">
      <c r="A4" s="10"/>
      <c r="B4" s="24" t="s">
        <v>24</v>
      </c>
      <c r="C4" s="26">
        <v>1</v>
      </c>
      <c r="D4" s="10"/>
      <c r="E4" s="24" t="s">
        <v>64</v>
      </c>
      <c r="F4" s="26">
        <f>C3/C4/2</f>
        <v>10</v>
      </c>
      <c r="G4" s="10" t="s">
        <v>22</v>
      </c>
      <c r="H4" s="10"/>
    </row>
    <row r="5" spans="1:8" x14ac:dyDescent="0.3">
      <c r="A5" s="10"/>
      <c r="B5" s="24" t="s">
        <v>26</v>
      </c>
      <c r="C5" s="27">
        <v>12</v>
      </c>
      <c r="D5" s="10" t="s">
        <v>71</v>
      </c>
      <c r="E5" s="10"/>
      <c r="F5" s="34">
        <f>POWER(2,C5)</f>
        <v>4096</v>
      </c>
      <c r="G5" s="10" t="s">
        <v>27</v>
      </c>
      <c r="H5" s="10"/>
    </row>
    <row r="6" spans="1:8" x14ac:dyDescent="0.3">
      <c r="A6" s="10"/>
      <c r="B6" s="24" t="s">
        <v>23</v>
      </c>
      <c r="C6" s="59">
        <f>C3/(POWER(2,C5))/C4</f>
        <v>4.8828125E-3</v>
      </c>
      <c r="D6" s="10" t="s">
        <v>72</v>
      </c>
      <c r="E6" s="10"/>
      <c r="F6" s="10"/>
      <c r="G6" s="10"/>
      <c r="H6" s="10"/>
    </row>
    <row r="7" spans="1:8" ht="19.5" thickBot="1" x14ac:dyDescent="0.35">
      <c r="A7" s="10"/>
      <c r="B7" s="10"/>
      <c r="C7" s="26"/>
      <c r="D7" s="10"/>
      <c r="E7" s="10"/>
      <c r="F7" s="10"/>
      <c r="G7" s="10"/>
      <c r="H7" s="10"/>
    </row>
    <row r="8" spans="1:8" x14ac:dyDescent="0.3">
      <c r="A8" s="10"/>
      <c r="B8" s="24" t="s">
        <v>40</v>
      </c>
      <c r="C8" s="60">
        <v>1</v>
      </c>
      <c r="D8" s="10"/>
      <c r="E8" s="159" t="s">
        <v>29</v>
      </c>
      <c r="F8" s="160"/>
      <c r="G8" s="161"/>
      <c r="H8" s="10"/>
    </row>
    <row r="9" spans="1:8" ht="19.5" thickBot="1" x14ac:dyDescent="0.35">
      <c r="A9" s="10"/>
      <c r="B9" s="24" t="s">
        <v>140</v>
      </c>
      <c r="C9" s="10">
        <f>(POWER(2,C5)/2)-1</f>
        <v>2047</v>
      </c>
      <c r="D9" s="10"/>
      <c r="E9" s="162" t="s">
        <v>92</v>
      </c>
      <c r="F9" s="163"/>
      <c r="G9" s="164"/>
      <c r="H9" s="10"/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x14ac:dyDescent="0.3">
      <c r="A11" s="10"/>
      <c r="B11" s="24" t="s">
        <v>42</v>
      </c>
      <c r="C11" s="27">
        <v>10</v>
      </c>
      <c r="D11" s="10" t="s">
        <v>35</v>
      </c>
      <c r="E11" s="10"/>
      <c r="F11" s="10"/>
      <c r="G11" s="10"/>
      <c r="H11" s="10"/>
    </row>
    <row r="12" spans="1:8" x14ac:dyDescent="0.3">
      <c r="A12" s="10"/>
      <c r="B12" s="24" t="s">
        <v>34</v>
      </c>
      <c r="C12" s="27">
        <v>30</v>
      </c>
      <c r="D12" s="10" t="s">
        <v>70</v>
      </c>
      <c r="E12" s="10"/>
      <c r="F12" s="10"/>
      <c r="G12" s="10"/>
      <c r="H12" s="10"/>
    </row>
    <row r="13" spans="1:8" x14ac:dyDescent="0.3">
      <c r="A13" s="10"/>
      <c r="B13" s="10"/>
      <c r="C13" s="10"/>
      <c r="D13" s="10"/>
      <c r="E13" s="10"/>
      <c r="F13" s="10"/>
      <c r="G13" s="10"/>
      <c r="H13" s="10"/>
    </row>
    <row r="14" spans="1:8" x14ac:dyDescent="0.3">
      <c r="A14" s="10"/>
      <c r="B14" s="10"/>
      <c r="C14" s="26" t="s">
        <v>33</v>
      </c>
      <c r="D14" s="26"/>
      <c r="E14" s="10"/>
      <c r="F14" s="10"/>
      <c r="G14" s="10"/>
      <c r="H14" s="10"/>
    </row>
    <row r="15" spans="1:8" s="63" customFormat="1" x14ac:dyDescent="0.3">
      <c r="A15" s="62"/>
      <c r="B15" s="62"/>
      <c r="C15" s="61" t="s">
        <v>36</v>
      </c>
      <c r="D15" s="61" t="s">
        <v>10</v>
      </c>
      <c r="E15" s="62" t="s">
        <v>11</v>
      </c>
      <c r="F15" s="182" t="s">
        <v>12</v>
      </c>
      <c r="G15" s="183"/>
      <c r="H15" s="62"/>
    </row>
    <row r="16" spans="1:8" x14ac:dyDescent="0.3">
      <c r="A16" s="10"/>
      <c r="B16" s="10"/>
      <c r="C16" s="65">
        <f t="shared" ref="C16:C21" si="0">0.000927/2.5</f>
        <v>3.7080000000000001E-4</v>
      </c>
      <c r="D16" s="27">
        <v>4000</v>
      </c>
      <c r="E16" s="27">
        <v>1</v>
      </c>
      <c r="F16" s="66">
        <f>-adc_sens/gen_scale/((excitation-C16*$C$12)*Fxch*fxGain/1000000)</f>
        <v>-0.12220625473777029</v>
      </c>
      <c r="G16" s="10" t="s">
        <v>4</v>
      </c>
      <c r="H16" s="10"/>
    </row>
    <row r="17" spans="1:10" x14ac:dyDescent="0.3">
      <c r="A17" s="10"/>
      <c r="B17" s="10"/>
      <c r="C17" s="65">
        <f t="shared" si="0"/>
        <v>3.7080000000000001E-4</v>
      </c>
      <c r="D17" s="27">
        <v>4000</v>
      </c>
      <c r="E17" s="27">
        <v>1</v>
      </c>
      <c r="F17" s="66">
        <f>-adc_sens/gen_scale/((excitation-C17*$C$12)*Fych*fygain/1000000)</f>
        <v>-0.12220625473777029</v>
      </c>
      <c r="G17" s="10" t="s">
        <v>4</v>
      </c>
      <c r="H17" s="10"/>
    </row>
    <row r="18" spans="1:10" x14ac:dyDescent="0.3">
      <c r="A18" s="10"/>
      <c r="B18" s="10"/>
      <c r="C18" s="65">
        <f>0.000463/2.5</f>
        <v>1.852E-4</v>
      </c>
      <c r="D18" s="27">
        <v>4000</v>
      </c>
      <c r="E18" s="27">
        <v>1</v>
      </c>
      <c r="F18" s="66">
        <f>-adc_sens/gen_scale/((excitation-C18*$C$12)*Fzch*fzgain/1000000)</f>
        <v>-0.12213817246862357</v>
      </c>
      <c r="G18" s="10" t="s">
        <v>4</v>
      </c>
      <c r="H18" s="10"/>
    </row>
    <row r="19" spans="1:10" s="63" customFormat="1" x14ac:dyDescent="0.3">
      <c r="A19" s="62"/>
      <c r="B19" s="62"/>
      <c r="C19" s="65">
        <f t="shared" si="0"/>
        <v>3.7080000000000001E-4</v>
      </c>
      <c r="D19" s="27">
        <v>4000</v>
      </c>
      <c r="E19" s="27">
        <v>1</v>
      </c>
      <c r="F19" s="66">
        <f>-adc_sens/gen_scale/((excitation-C19*$C$12)*Mxch*mxgain/1000000)</f>
        <v>-0.12220625473777029</v>
      </c>
      <c r="G19" s="10" t="s">
        <v>4</v>
      </c>
      <c r="H19" s="10"/>
      <c r="I19" s="23"/>
      <c r="J19" s="23"/>
    </row>
    <row r="20" spans="1:10" x14ac:dyDescent="0.3">
      <c r="A20" s="10"/>
      <c r="B20" s="10"/>
      <c r="C20" s="65">
        <f t="shared" si="0"/>
        <v>3.7080000000000001E-4</v>
      </c>
      <c r="D20" s="27">
        <v>4000</v>
      </c>
      <c r="E20" s="27">
        <v>1</v>
      </c>
      <c r="F20" s="66">
        <f>-adc_sens/gen_scale/((excitation-C20*$C$12)*Mych*mygain/1000000)</f>
        <v>-0.12220625473777029</v>
      </c>
      <c r="G20" s="10" t="s">
        <v>4</v>
      </c>
      <c r="H20" s="10"/>
    </row>
    <row r="21" spans="1:10" x14ac:dyDescent="0.3">
      <c r="A21" s="10"/>
      <c r="B21" s="10"/>
      <c r="C21" s="65">
        <f t="shared" si="0"/>
        <v>3.7080000000000001E-4</v>
      </c>
      <c r="D21" s="27">
        <v>4000</v>
      </c>
      <c r="E21" s="27">
        <v>1</v>
      </c>
      <c r="F21" s="66">
        <f>-adc_sens/gen_scale/((excitation-C21*$C$12)*Mzch*mzgain/1000000)</f>
        <v>-0.12220625473777029</v>
      </c>
      <c r="G21" s="10" t="s">
        <v>4</v>
      </c>
      <c r="H21" s="10"/>
    </row>
    <row r="22" spans="1:10" x14ac:dyDescent="0.3">
      <c r="A22" s="10"/>
      <c r="B22" s="10"/>
      <c r="C22" s="10"/>
      <c r="D22" s="10"/>
      <c r="E22" s="10"/>
      <c r="F22" s="10"/>
      <c r="G22" s="10"/>
      <c r="H22" s="10"/>
    </row>
  </sheetData>
  <mergeCells count="4">
    <mergeCell ref="F15:G15"/>
    <mergeCell ref="E8:G8"/>
    <mergeCell ref="E9:G9"/>
    <mergeCell ref="A1:H1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&amp;F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83</vt:i4>
      </vt:variant>
    </vt:vector>
  </HeadingPairs>
  <TitlesOfParts>
    <vt:vector size="94" baseType="lpstr">
      <vt:lpstr>C3D Scale</vt:lpstr>
      <vt:lpstr>Help</vt:lpstr>
      <vt:lpstr>Parameters</vt:lpstr>
      <vt:lpstr>Calculations</vt:lpstr>
      <vt:lpstr>MA-400</vt:lpstr>
      <vt:lpstr>Load Cell</vt:lpstr>
      <vt:lpstr>AMTI-2</vt:lpstr>
      <vt:lpstr>AMTI-2a</vt:lpstr>
      <vt:lpstr>AMTI-4</vt:lpstr>
      <vt:lpstr>Bertec-2</vt:lpstr>
      <vt:lpstr>Kistler-3</vt:lpstr>
      <vt:lpstr>'AMTI-2a'!adc_sens</vt:lpstr>
      <vt:lpstr>'AMTI-4'!adc_sens</vt:lpstr>
      <vt:lpstr>'Bertec-2'!adc_sens</vt:lpstr>
      <vt:lpstr>adc_sens</vt:lpstr>
      <vt:lpstr>'AMTI-2a'!excitation</vt:lpstr>
      <vt:lpstr>'AMTI-4'!excitation</vt:lpstr>
      <vt:lpstr>excitation</vt:lpstr>
      <vt:lpstr>'AMTI-4'!Fx</vt:lpstr>
      <vt:lpstr>'Bertec-2'!Fx</vt:lpstr>
      <vt:lpstr>Fx</vt:lpstr>
      <vt:lpstr>'AMTI-2a'!Fxch</vt:lpstr>
      <vt:lpstr>'AMTI-4'!Fxch</vt:lpstr>
      <vt:lpstr>'Bertec-2'!Fxch</vt:lpstr>
      <vt:lpstr>Fxch</vt:lpstr>
      <vt:lpstr>'AMTI-2a'!fxGain</vt:lpstr>
      <vt:lpstr>'AMTI-4'!fxGain</vt:lpstr>
      <vt:lpstr>'Bertec-2'!fxGain</vt:lpstr>
      <vt:lpstr>fxGain</vt:lpstr>
      <vt:lpstr>'AMTI-4'!Fy</vt:lpstr>
      <vt:lpstr>'Bertec-2'!Fy</vt:lpstr>
      <vt:lpstr>Fy</vt:lpstr>
      <vt:lpstr>'AMTI-2a'!Fych</vt:lpstr>
      <vt:lpstr>'AMTI-4'!Fych</vt:lpstr>
      <vt:lpstr>'Bertec-2'!Fych</vt:lpstr>
      <vt:lpstr>Fych</vt:lpstr>
      <vt:lpstr>'AMTI-2a'!fygain</vt:lpstr>
      <vt:lpstr>'AMTI-4'!fygain</vt:lpstr>
      <vt:lpstr>'Bertec-2'!fygain</vt:lpstr>
      <vt:lpstr>fygain</vt:lpstr>
      <vt:lpstr>'AMTI-4'!Fz</vt:lpstr>
      <vt:lpstr>'Bertec-2'!Fz</vt:lpstr>
      <vt:lpstr>Fz</vt:lpstr>
      <vt:lpstr>'AMTI-2a'!Fzch</vt:lpstr>
      <vt:lpstr>'AMTI-4'!Fzch</vt:lpstr>
      <vt:lpstr>'Bertec-2'!Fzch</vt:lpstr>
      <vt:lpstr>Fzch</vt:lpstr>
      <vt:lpstr>'AMTI-2a'!fzgain</vt:lpstr>
      <vt:lpstr>'AMTI-4'!fzgain</vt:lpstr>
      <vt:lpstr>'Bertec-2'!fzgain</vt:lpstr>
      <vt:lpstr>fzgain</vt:lpstr>
      <vt:lpstr>gain</vt:lpstr>
      <vt:lpstr>'AMTI-2a'!gen_scale</vt:lpstr>
      <vt:lpstr>'AMTI-4'!gen_scale</vt:lpstr>
      <vt:lpstr>'Bertec-2'!gen_scale</vt:lpstr>
      <vt:lpstr>gen_scale</vt:lpstr>
      <vt:lpstr>'AMTI-4'!Mx</vt:lpstr>
      <vt:lpstr>'Bertec-2'!Mx</vt:lpstr>
      <vt:lpstr>Mx</vt:lpstr>
      <vt:lpstr>'AMTI-2a'!Mxch</vt:lpstr>
      <vt:lpstr>'AMTI-4'!Mxch</vt:lpstr>
      <vt:lpstr>'Bertec-2'!Mxch</vt:lpstr>
      <vt:lpstr>Mxch</vt:lpstr>
      <vt:lpstr>'AMTI-2a'!mxgain</vt:lpstr>
      <vt:lpstr>'AMTI-4'!mxgain</vt:lpstr>
      <vt:lpstr>'Bertec-2'!mxgain</vt:lpstr>
      <vt:lpstr>mxgain</vt:lpstr>
      <vt:lpstr>'AMTI-4'!My</vt:lpstr>
      <vt:lpstr>'Bertec-2'!My</vt:lpstr>
      <vt:lpstr>My</vt:lpstr>
      <vt:lpstr>'AMTI-2a'!Mych</vt:lpstr>
      <vt:lpstr>'AMTI-4'!Mych</vt:lpstr>
      <vt:lpstr>'Bertec-2'!Mych</vt:lpstr>
      <vt:lpstr>Mych</vt:lpstr>
      <vt:lpstr>'AMTI-2a'!mygain</vt:lpstr>
      <vt:lpstr>'AMTI-4'!mygain</vt:lpstr>
      <vt:lpstr>'Bertec-2'!mygain</vt:lpstr>
      <vt:lpstr>mygain</vt:lpstr>
      <vt:lpstr>'AMTI-4'!Mz</vt:lpstr>
      <vt:lpstr>'Bertec-2'!Mz</vt:lpstr>
      <vt:lpstr>Mz</vt:lpstr>
      <vt:lpstr>'AMTI-2a'!Mzch</vt:lpstr>
      <vt:lpstr>'AMTI-4'!Mzch</vt:lpstr>
      <vt:lpstr>'Bertec-2'!Mzch</vt:lpstr>
      <vt:lpstr>Mzch</vt:lpstr>
      <vt:lpstr>'AMTI-2a'!mzgain</vt:lpstr>
      <vt:lpstr>'AMTI-4'!mzgain</vt:lpstr>
      <vt:lpstr>'Bertec-2'!mzgain</vt:lpstr>
      <vt:lpstr>mzgain</vt:lpstr>
      <vt:lpstr>'C3D Scale'!Print_Area</vt:lpstr>
      <vt:lpstr>'MA-400'!Print_Area</vt:lpstr>
      <vt:lpstr>range</vt:lpstr>
      <vt:lpstr>sensitivity</vt:lpstr>
      <vt:lpstr>volts</vt:lpstr>
    </vt:vector>
  </TitlesOfParts>
  <Company>Motion Lab Systems, Inc.</Company>
  <LinksUpToDate>false</LinksUpToDate>
  <SharedDoc>false</SharedDoc>
  <HyperlinkBase>http://www.emgsrus.com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C3D Scale</dc:title>
  <dc:subject>C3D analog scale factors</dc:subject>
  <dc:creator>Edmund Cramp</dc:creator>
  <cp:keywords>Kistler, AMIT, Bertec, Force Plate, C3D parameter</cp:keywords>
  <dc:description>These worksheets from Motion Lab Systems provide information to enable analog scale factors to be calculated for force plates and other analog devices that generate data for C3D files.</dc:description>
  <cp:lastModifiedBy>Edmund Cramp</cp:lastModifiedBy>
  <cp:lastPrinted>2000-06-28T22:42:00Z</cp:lastPrinted>
  <dcterms:created xsi:type="dcterms:W3CDTF">1997-10-11T15:08:45Z</dcterms:created>
  <dcterms:modified xsi:type="dcterms:W3CDTF">2020-04-22T19:34:10Z</dcterms:modified>
</cp:coreProperties>
</file>