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.joubert\Investec\PB117 - SPF Project - Documents\Delivery\09 Credit Process\Requirements\Calculations\"/>
    </mc:Choice>
  </mc:AlternateContent>
  <bookViews>
    <workbookView xWindow="0" yWindow="-120" windowWidth="14370" windowHeight="9450" tabRatio="822" activeTab="6"/>
  </bookViews>
  <sheets>
    <sheet name="Inputs" sheetId="6" r:id="rId1"/>
    <sheet name="Cashflow Dynamic" sheetId="16" r:id="rId2"/>
    <sheet name="Rent Schedule" sheetId="17" r:id="rId3"/>
    <sheet name="Sources and Uses" sheetId="9" r:id="rId4"/>
    <sheet name="Sensitivity Analysis" sheetId="15" r:id="rId5"/>
    <sheet name="Sensitivities &amp; Bank Breakevens" sheetId="12" r:id="rId6"/>
    <sheet name="Credit Tables" sheetId="13" r:id="rId7"/>
    <sheet name="Process" sheetId="14" state="hidden" r:id="rId8"/>
    <sheet name="Chesham" sheetId="1" state="hidden" r:id="rId9"/>
    <sheet name="Costs spent to date" sheetId="2" state="hidden" r:id="rId10"/>
  </sheets>
  <externalReferences>
    <externalReference r:id="rId11"/>
  </externalReferences>
  <definedNames>
    <definedName name="__IntlFixup" hidden="1">TRUE</definedName>
    <definedName name="__IntlFixupTable" localSheetId="1" hidden="1">#REF!</definedName>
    <definedName name="__IntlFixupTable" hidden="1">#REF!</definedName>
    <definedName name="_dus2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_r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_Table1_In1" localSheetId="1" hidden="1">#REF!</definedName>
    <definedName name="_Table1_In1" hidden="1">#REF!</definedName>
    <definedName name="a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aaa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aaaa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aaaaaaa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Acquisition_Costs">Inputs!$B$2</definedName>
    <definedName name="Acquisition_Costs_Equity">'Sources and Uses'!$D$5</definedName>
    <definedName name="Acquisition_Costs_SnrDebt">'Sources and Uses'!$E$5</definedName>
    <definedName name="alto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amc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anscount" hidden="1">2</definedName>
    <definedName name="Arrangement_Fee_Equity">'Sources and Uses'!$D$13</definedName>
    <definedName name="Arrangement_Fee_Percent">Inputs!$B$18</definedName>
    <definedName name="Arrangement_Fee_SnrDebt">'Sources and Uses'!$E$13</definedName>
    <definedName name="Arrangement_Fee_Value">Inputs!$H$6</definedName>
    <definedName name="Bank_Income_Total">'Sources and Uses'!$C$23</definedName>
    <definedName name="BBE_Exit_Yield">'Sensitivity Analysis'!$D$8</definedName>
    <definedName name="BBE_Rent_PA">'Sensitivity Analysis'!$D$9</definedName>
    <definedName name="BBE_Sale_Pound_PSF">'Sensitivity Analysis'!#REF!</definedName>
    <definedName name="Build_Cost_per_Bed">'Sensitivities &amp; Bank Breakevens'!$C$17</definedName>
    <definedName name="Build_Cost_Pound_PSF">'Sensitivities &amp; Bank Breakevens'!#REF!</definedName>
    <definedName name="Cap_Guarantee_Percent_Build_Cost">Inputs!$H$15</definedName>
    <definedName name="Cap_Guarantee_Percent_Loan_Amt">Inputs!$H$14</definedName>
    <definedName name="Cap_Value_Pound_PSF_Bank_BreakEven">'Credit Tables'!$E$7</definedName>
    <definedName name="Cap_Value_Pound_PSF_Incl_Guarantee">'Credit Tables'!$F$7</definedName>
    <definedName name="Capital_Guarantee">Inputs!$E$14</definedName>
    <definedName name="CGPCT" localSheetId="8">Chesham!#REF!</definedName>
    <definedName name="changedbname2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changedname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Construction_Costs">Inputs!$B$3</definedName>
    <definedName name="Construction_Costs_Equity">'Sources and Uses'!$D$6</definedName>
    <definedName name="Construction_Costs_SnrDebt">'Sources and Uses'!$E$6</definedName>
    <definedName name="Contingency">Inputs!$B$4</definedName>
    <definedName name="Contingency_Equity">'Sources and Uses'!$D$7</definedName>
    <definedName name="Contingency_SnrDebt">'Sources and Uses'!$E$7</definedName>
    <definedName name="Cost_Overrun_Guarantee">Inputs!$E$15</definedName>
    <definedName name="Debt_IRR">'Cashflow Dynamic'!$B$56</definedName>
    <definedName name="Debt_Yield_Bank_BreakEven">'Credit Tables'!$E$5</definedName>
    <definedName name="Debt_Yield_Incl_Guarantee">'Credit Tables'!$F$5</definedName>
    <definedName name="Dev_All_In_InterestRate">Inputs!$B$16</definedName>
    <definedName name="Development_Margin">Inputs!$B$14</definedName>
    <definedName name="Development_Period_Mnths">Inputs!$E$6</definedName>
    <definedName name="dontknow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Düs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Düs1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End_Date">Inputs!$E$4</definedName>
    <definedName name="Equity_IRR">'Cashflow Dynamic'!$B$43</definedName>
    <definedName name="Equity_Release">'Sensitivities &amp; Bank Breakevens'!$G$9</definedName>
    <definedName name="er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Exit_Fee_Percent">Inputs!$B$19</definedName>
    <definedName name="Exit_Fee_Value">Inputs!$H$11</definedName>
    <definedName name="Free_Cashflow">'Sensitivities &amp; Bank Breakevens'!$G$8</definedName>
    <definedName name="Gross_MV">'Rent Schedule'!$C$17</definedName>
    <definedName name="Gross_Rental">'Rent Schedule'!$C$13</definedName>
    <definedName name="Gross_Yield">'Rent Schedule'!$H$15</definedName>
    <definedName name="ICR">'Sensitivities &amp; Bank Breakevens'!$G$6</definedName>
    <definedName name="ICR_Bank_BreakEven">'Credit Tables'!$E$6</definedName>
    <definedName name="ICR_BBE">'Sensitivities &amp; Bank Breakevens'!$C$13</definedName>
    <definedName name="ICR_BBE_Incl_Guarantee">'Sensitivities &amp; Bank Breakevens'!$D$13</definedName>
    <definedName name="ICR_Incl_Guarantee">'Credit Tables'!$F$6</definedName>
    <definedName name="Interest_pa">'Sensitivities &amp; Bank Breakevens'!$G$5</definedName>
    <definedName name="Interest_Roll">'Cashflow Dynamic'!$C$59</definedName>
    <definedName name="Interest_Rollup_Equity">'Sources and Uses'!$D$11</definedName>
    <definedName name="Interest_Rollup_SnrDebt">'Sources and Uses'!$E$11</definedName>
    <definedName name="Interest_Serviced">'Cashflow Dynamic'!$C$58</definedName>
    <definedName name="Interest_Serviced_From">Inputs!$E$9</definedName>
    <definedName name="Interest_Shortfall_Guarantee_Amount">Inputs!$E$16</definedName>
    <definedName name="Invest_All_In_InterestRate">Inputs!$B$27</definedName>
    <definedName name="Investment_Margin">Inputs!$B$25</definedName>
    <definedName name="Investment_Period_Term">Inputs!$B$23</definedName>
    <definedName name="IRU_PPC_Mnths">Inputs!$E$8</definedName>
    <definedName name="Julie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LIBOR">Inputs!$B$15</definedName>
    <definedName name="limcount" hidden="1">1</definedName>
    <definedName name="lll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LTC">Inputs!$B$21</definedName>
    <definedName name="LTC_Bank_BreakEven">'Credit Tables'!$E$3</definedName>
    <definedName name="LTC_Incl_Guarantee">'Credit Tables'!$F$3</definedName>
    <definedName name="LTNDV_Bank_BreakEven">'Credit Tables'!$E$4</definedName>
    <definedName name="LTNDV_Incl_Guarantee">'Credit Tables'!$F$4</definedName>
    <definedName name="Marketing_Costs">Inputs!$B$7</definedName>
    <definedName name="Marketing_Lettings_Equity">'Sources and Uses'!$D$10</definedName>
    <definedName name="Marketing_Lettings_SnrDebt">'Sources and Uses'!$E$10</definedName>
    <definedName name="minequity" localSheetId="8">Chesham!#REF!</definedName>
    <definedName name="nab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NDV">'Rent Schedule'!$C$19</definedName>
    <definedName name="NDV_per_Bed">'Sensitivities &amp; Bank Breakevens'!$C$16</definedName>
    <definedName name="NDV_per_Unit">'Sensitivities &amp; Bank Breakevens'!$C$20</definedName>
    <definedName name="NDV_per_Unit_Incl_Guarantee">'Sensitivities &amp; Bank Breakevens'!$D$20</definedName>
    <definedName name="Net_MV">'Rent Schedule'!$C$19</definedName>
    <definedName name="Net_Yield_Rental_Percent">'Rent Schedule'!$H$14</definedName>
    <definedName name="newname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newname2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NIY">'Rent Schedule'!$E$17</definedName>
    <definedName name="NOI">'Rent Schedule'!$C$15</definedName>
    <definedName name="NOI_Percent">'Sensitivities &amp; Bank Breakevens'!$D$9</definedName>
    <definedName name="Non_UtilFee_Equity">'Sources and Uses'!$D$12</definedName>
    <definedName name="Non_UtilFee_Percent">Inputs!$B$17</definedName>
    <definedName name="Non_UtilFee_SnrDebt">'Sources and Uses'!$E$12</definedName>
    <definedName name="Non_Utilisation_Fee_Value">'Cashflow Dynamic'!$C$51</definedName>
    <definedName name="O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OLIVIER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Other_Costs">Inputs!$B$5</definedName>
    <definedName name="Other_Costs_Equity">'Sources and Uses'!$D$8</definedName>
    <definedName name="Other_Costs_SnrDebt">'Sources and Uses'!$E$8</definedName>
    <definedName name="POC">'Sources and Uses'!$C$16</definedName>
    <definedName name="Practical_Completion_Date">Inputs!$E$7</definedName>
    <definedName name="prepdate">'[1]Asset Management'!$Q$1</definedName>
    <definedName name="Professional_Fees">Inputs!$B$6</definedName>
    <definedName name="Professional_Fees_Equity">'Sources and Uses'!$D$9</definedName>
    <definedName name="Professional_Fees_SnrDebt">'Sources and Uses'!$E$9</definedName>
    <definedName name="Project_Profit">'Sources and Uses'!$C$15</definedName>
    <definedName name="Purchasers_Cost_Percent">'Rent Schedule'!$E$18</definedName>
    <definedName name="Rent_ICR">'Sensitivities &amp; Bank Breakevens'!#REF!</definedName>
    <definedName name="Rent_Pound_PSF_Bank_BreakEven">'Credit Tables'!#REF!</definedName>
    <definedName name="Rent_Pound_PSF_Incl_Guarantee">'Credit Tables'!#REF!</definedName>
    <definedName name="Repayment_Type">Inputs!$E$10</definedName>
    <definedName name="sencount" hidden="1">1</definedName>
    <definedName name="Specify_Amort_Amts">Inputs!$E$11</definedName>
    <definedName name="ST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Start_Date">Inputs!$E$2</definedName>
    <definedName name="Term">Inputs!$E$3</definedName>
    <definedName name="Tier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tom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torre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Total_Costs">Inputs!$B$8</definedName>
    <definedName name="Total_Costs_InclFees">Inputs!$H$7</definedName>
    <definedName name="Total_Debt">Inputs!$H$9</definedName>
    <definedName name="Total_Equity_Facility">Inputs!$H$10</definedName>
    <definedName name="Total_Equity_Sources_Uses">'Sources and Uses'!$D$14</definedName>
    <definedName name="Total_Interest">'Cashflow Dynamic'!$C$50</definedName>
    <definedName name="Total_No_Beds">'Rent Schedule'!$C$9</definedName>
    <definedName name="Total_ProjectCosts">'Sources and Uses'!$C$14</definedName>
    <definedName name="Total_SnrDebt_Sources_Uses">'Sources and Uses'!$E$14</definedName>
    <definedName name="v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Validation_Acquisition_Costs">'Cashflow Dynamic'!$C$15</definedName>
    <definedName name="Validation_ContingencyCosts">'Cashflow Dynamic'!$C$17</definedName>
    <definedName name="Validation_ContsructionCosts">'Cashflow Dynamic'!$C$16</definedName>
    <definedName name="Validation_MarketingCosts">'Cashflow Dynamic'!$C$20</definedName>
    <definedName name="Validation_OtherCosts">'Cashflow Dynamic'!$C$18</definedName>
    <definedName name="Validation_ProfessionalFees">'Cashflow Dynamic'!$C$19</definedName>
    <definedName name="Validation_Total_Costs">'Cashflow Dynamic'!$C$22</definedName>
    <definedName name="Validation_Total_Equity">'Cashflow Dynamic'!$C$36</definedName>
    <definedName name="Validation_Total_Revenue">'Cashflow Dynamic'!$C$11</definedName>
    <definedName name="W" localSheetId="1" hidden="1">#REF!</definedName>
    <definedName name="W" hidden="1">#REF!</definedName>
    <definedName name="wrn.AJDSuite." hidden="1">{"AJD",#N/A,TRUE,"Summary";"AJD",#N/A,TRUE,"CFCONC-outputs";"AJD",#N/A,TRUE,"P&amp;LCONC-outputs";"AJD",#N/A,TRUE,"BSCONC-outputs";"AJD",#N/A,TRUE,"FSCONC-outputs"}</definedName>
    <definedName name="wrn.AJDSuite._1" hidden="1">{"AJD",#N/A,TRUE,"Summary";"AJD",#N/A,TRUE,"CFCONC-outputs";"AJD",#N/A,TRUE,"P&amp;LCONC-outputs";"AJD",#N/A,TRUE,"BSCONC-outputs";"AJD",#N/A,TRUE,"FSCONC-outputs"}</definedName>
    <definedName name="wrn.Construction._.Costs." hidden="1">{"Const Costs Dev",#N/A,FALSE,"Construction Cost Inputs";"Const Costs orig ccy",#N/A,FALSE,"Construction Cost Inputs";"Const Costs USD",#N/A,FALSE,"Construction Cost Inputs"}</definedName>
    <definedName name="wrn.Construction._.Costs._1" hidden="1">{"Const Costs Dev",#N/A,FALSE,"Construction Cost Inputs";"Const Costs orig ccy",#N/A,FALSE,"Construction Cost Inputs";"Const Costs USD",#N/A,FALSE,"Construction Cost Inputs"}</definedName>
    <definedName name="wrn.Executive." hidden="1">{#N/A,#N/A,FALSE,"yields";#N/A,#N/A,FALSE,"landassum";#N/A,#N/A,FALSE,"eq_year";#N/A,#N/A,FALSE,"k1_ass";#N/A,#N/A,FALSE,"k1_year";#N/A,#N/A,FALSE,"h4_ass";#N/A,#N/A,FALSE,"h4_year";#N/A,#N/A,FALSE,"h5_ass";#N/A,#N/A,FALSE,"h5_year";#N/A,#N/A,FALSE,"h6_ass";#N/A,#N/A,FALSE,"h6_year";#N/A,#N/A,FALSE,"h7_ass";#N/A,#N/A,FALSE,"h7_year"}</definedName>
    <definedName name="wrn.Executive._1" hidden="1">{#N/A,#N/A,FALSE,"yields";#N/A,#N/A,FALSE,"landassum";#N/A,#N/A,FALSE,"eq_year";#N/A,#N/A,FALSE,"k1_ass";#N/A,#N/A,FALSE,"k1_year";#N/A,#N/A,FALSE,"h4_ass";#N/A,#N/A,FALSE,"h4_year";#N/A,#N/A,FALSE,"h5_ass";#N/A,#N/A,FALSE,"h5_year";#N/A,#N/A,FALSE,"h6_ass";#N/A,#N/A,FALSE,"h6_year";#N/A,#N/A,FALSE,"h7_ass";#N/A,#N/A,FALSE,"h7_year"}</definedName>
    <definedName name="wrn.Financing._.Inputs." hidden="1">{"BuildIn 2 Funding Assump",#N/A,FALSE,"Building Inputs";"BuildIn Capex plus Extras",#N/A,FALSE,"Building Inputs"}</definedName>
    <definedName name="wrn.Financing._.Inputs._1" hidden="1">{"BuildIn 2 Funding Assump",#N/A,FALSE,"Building Inputs";"BuildIn Capex plus Extras",#N/A,FALSE,"Building Inputs"}</definedName>
    <definedName name="wrn.OpCostIn.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OpCostIn._1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People._.and._.projects." hidden="1">{#N/A,#N/A,TRUE,"Total by Employee";#N/A,#N/A,TRUE,"USA Participants";#N/A,#N/A,TRUE,"Topham, Michael";#N/A,#N/A,TRUE,"Jones, Neil";#N/A,#N/A,TRUE,"Herre, Jurgen";#N/A,#N/A,TRUE,"O'Donnell, Simon";#N/A,#N/A,TRUE,"Cummings, Nick";#N/A,#N/A,TRUE,"HAP PM";#N/A,#N/A,TRUE,"Reynolds, Andrew";#N/A,#N/A,TRUE,"Warman, John";#N/A,#N/A,TRUE,"Lewis, Philip";#N/A,#N/A,TRUE,"Wyper, Jay";#N/A,#N/A,TRUE,"Fernandez, Ed";#N/A,#N/A,TRUE,"Mays, Lee";#N/A,#N/A,TRUE,"Ramos, Miguel";#N/A,#N/A,TRUE,"de Dampierre, Olivier";#N/A,#N/A,TRUE,"Albrand, Patrick";#N/A,#N/A,TRUE,"Gauchot, Maurice";#N/A,#N/A,TRUE,"Oursin, Jean Philippe";#N/A,#N/A,TRUE,"Bosque, Patrick ";#N/A,#N/A,TRUE,"Catella, Riccardo";#N/A,#N/A,TRUE,"Catella, Manfredi";#N/A,#N/A,TRUE,"Wambach, Karl Franz";#N/A,#N/A,TRUE,"McKinnon, Doug";#N/A,#N/A,TRUE,"Huber, Lars";#N/A,#N/A,TRUE,"Overhead Summary";#N/A,#N/A,TRUE,"HAP-Alpha";#N/A,#N/A,TRUE,"HAP-Bedfont";#N/A,#N/A,TRUE,"HAP-Stamford";#N/A,#N/A,TRUE,"HAP-Stansted";#N/A,#N/A,TRUE,"HAP-Cardiff";#N/A,#N/A,TRUE,"HUK-QVS";#N/A,#N/A,TRUE,"S-Retail Mall";#N/A,#N/A,TRUE,"S-Phase II";#N/A,#N/A,TRUE,"S-Res Land Sales";#N/A,#N/A,TRUE,"S-Torre DM";#N/A,#N/A,TRUE,"S-T3";#N/A,#N/A,TRUE,"F-PB6";#N/A,#N/A,TRUE,"F-CB16";#N/A,#N/A,TRUE,"F-Le Gauguin";#N/A,#N/A,TRUE,"F-Danton";#N/A,#N/A,TRUE,"F-Renault";#N/A,#N/A,TRUE,"I-Eginardo";#N/A,#N/A,TRUE,"I-5Q";#N/A,#N/A,TRUE,"G-Hofgarten";#N/A,#N/A,TRUE,"G-Rosmarin";#N/A,#N/A,TRUE,"G-Benrather";#N/A,#N/A,TRUE,"G-Uptown";#N/A,#N/A,TRUE,"P-Metropolitan"}</definedName>
    <definedName name="wrn.Project._.Summaries." hidden="1">{#N/A,#N/A,FALSE,"NWC PS";#N/A,#N/A,FALSE,"NWC Overview";#N/A,#N/A,FALSE,"HCA PS";#N/A,#N/A,FALSE,"HCA Overview";#N/A,#N/A,FALSE,"Aegon PS";#N/A,#N/A,FALSE,"Aegon Overview";#N/A,#N/A,FALSE,"ODC PS";#N/A,#N/A,FALSE,"ODC Overview";#N/A,#N/A,FALSE,"USBP PS";#N/A,#N/A,FALSE,"USBP Overview";#N/A,#N/A,FALSE,"29 Wacker PS";#N/A,#N/A,FALSE,"29 Overview";#N/A,#N/A,FALSE,"303 Wacker PS";#N/A,#N/A,FALSE,"303 Overview";#N/A,#N/A,FALSE,"Chancellory PS";#N/A,#N/A,FALSE,"Chancellory Overview";#N/A,#N/A,FALSE,"EWT PS";#N/A,#N/A,FALSE,"EWT Overview";#N/A,#N/A,FALSE,"NCC PS";#N/A,#N/A,FALSE,"NCC Overview";#N/A,#N/A,FALSE,"Centennial PS";#N/A,#N/A,FALSE,"Centennial Overview";#N/A,#N/A,FALSE,"225 PS";#N/A,#N/A,FALSE,"225 Overview";#N/A,#N/A,FALSE,"TFNP PS";#N/A,#N/A,FALSE,"TFNP Overview"}</definedName>
    <definedName name="wrn.SUN1." hidden="1">{#N/A,#N/A,FALSE,"Assumptions";#N/A,#N/A,FALSE,"office";#N/A,#N/A,FALSE,"monthly"}</definedName>
    <definedName name="wrn.SUN1._1" hidden="1">{#N/A,#N/A,FALSE,"Assumptions";#N/A,#N/A,FALSE,"office";#N/A,#N/A,FALSE,"monthly"}</definedName>
    <definedName name="wrn.Super._.Executive." hidden="1">{#N/A,#N/A,FALSE,"yields";#N/A,#N/A,FALSE,"k1_ass";#N/A,#N/A,FALSE,"h4_ass";#N/A,#N/A,FALSE,"h5_ass";#N/A,#N/A,FALSE,"h6_ass";#N/A,#N/A,FALSE,"h7_ass"}</definedName>
    <definedName name="wrn.Super._.Executive._1" hidden="1">{#N/A,#N/A,FALSE,"yields";#N/A,#N/A,FALSE,"k1_ass";#N/A,#N/A,FALSE,"h4_ass";#N/A,#N/A,FALSE,"h5_ass";#N/A,#N/A,FALSE,"h6_ass";#N/A,#N/A,FALSE,"h7_ass"}</definedName>
    <definedName name="wrn.Worcester._.Model._._._.Full." hidden="1">{"Title",#N/A,TRUE,"Title";"Assumptions",#N/A,TRUE,"Assumptions";"Cash Flow",#N/A,TRUE,"Cash Flow";"Profit and Loss",#N/A,TRUE,"Profit and Loss";"Balance Sheet",#N/A,TRUE,"Balance Sheet";"Operating Expenditure",#N/A,TRUE,"Operational Expenditure";"Preoperating Expenditure",#N/A,TRUE,"Pre-operating Expenditure";"Revenue",#N/A,TRUE,"Revenue";"Senior Debt",#N/A,TRUE,"Senior Debt";"Subordinated Debt",#N/A,TRUE,"Subordinated Debt";"Debt Service",#N/A,TRUE,"Debt Service";"Depreciation",#N/A,TRUE,"Depreciation charges";"Taxation",#N/A,TRUE,"Taxation";"Dividends",#N/A,TRUE,"Dividends";"Inputs",#N/A,TRUE,"Inputs"}</definedName>
    <definedName name="wrn.Worcester._.Model._._._.Full._1" hidden="1">{"Title",#N/A,TRUE,"Title";"Assumptions",#N/A,TRUE,"Assumptions";"Cash Flow",#N/A,TRUE,"Cash Flow";"Profit and Loss",#N/A,TRUE,"Profit and Loss";"Balance Sheet",#N/A,TRUE,"Balance Sheet";"Operating Expenditure",#N/A,TRUE,"Operational Expenditure";"Preoperating Expenditure",#N/A,TRUE,"Pre-operating Expenditure";"Revenue",#N/A,TRUE,"Revenue";"Senior Debt",#N/A,TRUE,"Senior Debt";"Subordinated Debt",#N/A,TRUE,"Subordinated Debt";"Debt Service",#N/A,TRUE,"Debt Service";"Depreciation",#N/A,TRUE,"Depreciation charges";"Taxation",#N/A,TRUE,"Taxation";"Dividends",#N/A,TRUE,"Dividends";"Inputs",#N/A,TRUE,"Inputs"}</definedName>
    <definedName name="wrn.work._.rev._.sal._.uss." hidden="1">{"work rev sal uss",#N/A,TRUE,"WORKSHEET REV &amp; SAL"}</definedName>
    <definedName name="wrn.Work._.sal._.RS." hidden="1">{"WORK REV SAL R$",#N/A,TRUE,"WORKSHEET REV &amp; SAL"}</definedName>
    <definedName name="Yield_Increments">'Sensitivity Analysis'!$J$4</definedName>
  </definedNames>
  <calcPr calcId="162913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6" l="1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BM52" i="16"/>
  <c r="BN52" i="16"/>
  <c r="BO52" i="16"/>
  <c r="BP52" i="16"/>
  <c r="F52" i="16"/>
  <c r="B9" i="16" l="1"/>
  <c r="B8" i="16"/>
  <c r="G21" i="6"/>
  <c r="G20" i="6"/>
  <c r="D11" i="6"/>
  <c r="G19" i="6"/>
  <c r="B26" i="6" l="1"/>
  <c r="B27" i="6" s="1"/>
  <c r="G5" i="15" l="1"/>
  <c r="H16" i="6"/>
  <c r="B23" i="6"/>
  <c r="G4" i="15" l="1"/>
  <c r="F4" i="16" l="1"/>
  <c r="G4" i="17" l="1"/>
  <c r="G5" i="17"/>
  <c r="G6" i="17"/>
  <c r="G7" i="17"/>
  <c r="G8" i="17"/>
  <c r="AG22" i="16"/>
  <c r="BE22" i="16"/>
  <c r="BB22" i="16"/>
  <c r="AS22" i="16"/>
  <c r="AM22" i="16"/>
  <c r="AH22" i="16"/>
  <c r="AJ22" i="16"/>
  <c r="AP22" i="16"/>
  <c r="AR22" i="16"/>
  <c r="AX22" i="16"/>
  <c r="AZ22" i="16"/>
  <c r="BF22" i="16"/>
  <c r="BH22" i="16"/>
  <c r="BN22" i="16"/>
  <c r="BP22" i="16"/>
  <c r="F31" i="16"/>
  <c r="F30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AD22" i="16"/>
  <c r="AE22" i="16"/>
  <c r="AF22" i="16"/>
  <c r="AI22" i="16"/>
  <c r="AK22" i="16"/>
  <c r="AL22" i="16"/>
  <c r="AN22" i="16"/>
  <c r="AO22" i="16"/>
  <c r="AO25" i="16" s="1"/>
  <c r="AQ22" i="16"/>
  <c r="AT22" i="16"/>
  <c r="AT25" i="16" s="1"/>
  <c r="AU22" i="16"/>
  <c r="AV22" i="16"/>
  <c r="AV25" i="16" s="1"/>
  <c r="AW22" i="16"/>
  <c r="AW25" i="16" s="1"/>
  <c r="AY22" i="16"/>
  <c r="BA22" i="16"/>
  <c r="BC22" i="16"/>
  <c r="BD22" i="16"/>
  <c r="BG22" i="16"/>
  <c r="BI22" i="16"/>
  <c r="BJ22" i="16"/>
  <c r="BK22" i="16"/>
  <c r="BL22" i="16"/>
  <c r="BM22" i="16"/>
  <c r="BM25" i="16" s="1"/>
  <c r="BO22" i="16"/>
  <c r="BO25" i="16" s="1"/>
  <c r="BG25" i="16" l="1"/>
  <c r="B11" i="16"/>
  <c r="AI25" i="16"/>
  <c r="AN25" i="16"/>
  <c r="BL25" i="16"/>
  <c r="BD25" i="16"/>
  <c r="AQ25" i="16"/>
  <c r="BP25" i="16"/>
  <c r="BN25" i="16"/>
  <c r="AH25" i="16"/>
  <c r="BH25" i="16"/>
  <c r="AL25" i="16"/>
  <c r="BF25" i="16"/>
  <c r="AZ25" i="16"/>
  <c r="BB25" i="16"/>
  <c r="AX25" i="16"/>
  <c r="BE25" i="16"/>
  <c r="BJ25" i="16"/>
  <c r="AR25" i="16"/>
  <c r="AG25" i="16"/>
  <c r="AP25" i="16"/>
  <c r="AJ25" i="16"/>
  <c r="AY25" i="16"/>
  <c r="BI25" i="16"/>
  <c r="BA25" i="16"/>
  <c r="AK25" i="16"/>
  <c r="AS25" i="16"/>
  <c r="AF25" i="16"/>
  <c r="BK25" i="16"/>
  <c r="BC25" i="16"/>
  <c r="AU25" i="16"/>
  <c r="AM25" i="16"/>
  <c r="AE25" i="16"/>
  <c r="AD25" i="16"/>
  <c r="C9" i="17" l="1"/>
  <c r="D9" i="17"/>
  <c r="E9" i="17"/>
  <c r="G3" i="17"/>
  <c r="G9" i="17" s="1"/>
  <c r="C13" i="17" s="1"/>
  <c r="C8" i="12" l="1"/>
  <c r="C14" i="17"/>
  <c r="C17" i="12"/>
  <c r="C15" i="12"/>
  <c r="C15" i="17"/>
  <c r="D4" i="15" l="1"/>
  <c r="K14" i="15"/>
  <c r="C9" i="12"/>
  <c r="D9" i="12"/>
  <c r="C17" i="17"/>
  <c r="C18" i="17" l="1"/>
  <c r="C19" i="17"/>
  <c r="G6" i="15" l="1"/>
  <c r="C16" i="12"/>
  <c r="H14" i="17"/>
  <c r="G3" i="16" l="1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AC11" i="16"/>
  <c r="AB11" i="16"/>
  <c r="AA11" i="16"/>
  <c r="Z11" i="16"/>
  <c r="Y11" i="16"/>
  <c r="X11" i="16"/>
  <c r="W11" i="16"/>
  <c r="V11" i="16"/>
  <c r="U11" i="16"/>
  <c r="T11" i="16"/>
  <c r="T25" i="16" s="1"/>
  <c r="S11" i="16"/>
  <c r="R11" i="16"/>
  <c r="Q11" i="16"/>
  <c r="P11" i="16"/>
  <c r="O11" i="16"/>
  <c r="N11" i="16"/>
  <c r="M11" i="16"/>
  <c r="L11" i="16"/>
  <c r="L25" i="16" s="1"/>
  <c r="K11" i="16"/>
  <c r="K25" i="16" s="1"/>
  <c r="J11" i="16"/>
  <c r="I11" i="16"/>
  <c r="H11" i="16"/>
  <c r="G11" i="16"/>
  <c r="F11" i="16"/>
  <c r="G23" i="16" l="1"/>
  <c r="N25" i="16"/>
  <c r="BO23" i="16"/>
  <c r="M23" i="16"/>
  <c r="U23" i="16"/>
  <c r="AC23" i="16"/>
  <c r="AK23" i="16"/>
  <c r="AS23" i="16"/>
  <c r="BA23" i="16"/>
  <c r="BI23" i="16"/>
  <c r="BP23" i="16"/>
  <c r="N23" i="16"/>
  <c r="V23" i="16"/>
  <c r="AD23" i="16"/>
  <c r="AL23" i="16"/>
  <c r="AT23" i="16"/>
  <c r="BB23" i="16"/>
  <c r="BJ23" i="16"/>
  <c r="O23" i="16"/>
  <c r="W23" i="16"/>
  <c r="AE23" i="16"/>
  <c r="AM23" i="16"/>
  <c r="AU23" i="16"/>
  <c r="BC23" i="16"/>
  <c r="BK23" i="16"/>
  <c r="H23" i="16"/>
  <c r="P23" i="16"/>
  <c r="X23" i="16"/>
  <c r="AF23" i="16"/>
  <c r="AN23" i="16"/>
  <c r="AV23" i="16"/>
  <c r="BD23" i="16"/>
  <c r="BL23" i="16"/>
  <c r="R23" i="16"/>
  <c r="AH23" i="16"/>
  <c r="AP23" i="16"/>
  <c r="BF23" i="16"/>
  <c r="K23" i="16"/>
  <c r="AA23" i="16"/>
  <c r="AQ23" i="16"/>
  <c r="BG23" i="16"/>
  <c r="BN23" i="16"/>
  <c r="T23" i="16"/>
  <c r="AJ23" i="16"/>
  <c r="AZ23" i="16"/>
  <c r="I23" i="16"/>
  <c r="Q23" i="16"/>
  <c r="Y23" i="16"/>
  <c r="AG23" i="16"/>
  <c r="AO23" i="16"/>
  <c r="AW23" i="16"/>
  <c r="BE23" i="16"/>
  <c r="J23" i="16"/>
  <c r="Z23" i="16"/>
  <c r="AX23" i="16"/>
  <c r="BM23" i="16"/>
  <c r="S23" i="16"/>
  <c r="AI23" i="16"/>
  <c r="AY23" i="16"/>
  <c r="L23" i="16"/>
  <c r="AB23" i="16"/>
  <c r="AR23" i="16"/>
  <c r="BH23" i="16"/>
  <c r="AB25" i="16"/>
  <c r="C11" i="16"/>
  <c r="G25" i="16"/>
  <c r="O25" i="16"/>
  <c r="W25" i="16"/>
  <c r="P25" i="16"/>
  <c r="X25" i="16"/>
  <c r="J25" i="16"/>
  <c r="R25" i="16"/>
  <c r="I25" i="16"/>
  <c r="Q25" i="16"/>
  <c r="Y25" i="16"/>
  <c r="AC25" i="16"/>
  <c r="Z25" i="16"/>
  <c r="C22" i="16"/>
  <c r="H3" i="16"/>
  <c r="G4" i="16"/>
  <c r="H25" i="16"/>
  <c r="S25" i="16"/>
  <c r="AA25" i="16"/>
  <c r="M25" i="16"/>
  <c r="U25" i="16"/>
  <c r="F23" i="16"/>
  <c r="F25" i="16"/>
  <c r="V25" i="16"/>
  <c r="AR26" i="16" l="1"/>
  <c r="AD26" i="16"/>
  <c r="BC26" i="16"/>
  <c r="AP26" i="16"/>
  <c r="BE26" i="16"/>
  <c r="AN26" i="16"/>
  <c r="BM26" i="16"/>
  <c r="AH26" i="16"/>
  <c r="AZ26" i="16"/>
  <c r="AL26" i="16"/>
  <c r="BK26" i="16"/>
  <c r="AX26" i="16"/>
  <c r="BG26" i="16"/>
  <c r="BP26" i="16"/>
  <c r="BN26" i="16"/>
  <c r="AJ26" i="16"/>
  <c r="BH26" i="16"/>
  <c r="AT26" i="16"/>
  <c r="AF26" i="16"/>
  <c r="BF26" i="16"/>
  <c r="AG26" i="16"/>
  <c r="BB26" i="16"/>
  <c r="BI26" i="16"/>
  <c r="AK26" i="16"/>
  <c r="BJ26" i="16"/>
  <c r="AV26" i="16"/>
  <c r="AW26" i="16"/>
  <c r="AO26" i="16"/>
  <c r="BA26" i="16"/>
  <c r="BL26" i="16"/>
  <c r="AU26" i="16"/>
  <c r="AS26" i="16"/>
  <c r="AE26" i="16"/>
  <c r="BD26" i="16"/>
  <c r="BO26" i="16"/>
  <c r="AQ26" i="16"/>
  <c r="AM26" i="16"/>
  <c r="AY26" i="16"/>
  <c r="AI26" i="16"/>
  <c r="H4" i="16"/>
  <c r="I3" i="16"/>
  <c r="W26" i="16"/>
  <c r="O26" i="16"/>
  <c r="G26" i="16"/>
  <c r="V26" i="16"/>
  <c r="F26" i="16"/>
  <c r="N26" i="16"/>
  <c r="AC26" i="16"/>
  <c r="U26" i="16"/>
  <c r="M26" i="16"/>
  <c r="AB26" i="16"/>
  <c r="T26" i="16"/>
  <c r="L26" i="16"/>
  <c r="Q26" i="16"/>
  <c r="H26" i="16"/>
  <c r="AA26" i="16"/>
  <c r="S26" i="16"/>
  <c r="K26" i="16"/>
  <c r="I26" i="16"/>
  <c r="P26" i="16"/>
  <c r="Z26" i="16"/>
  <c r="R26" i="16"/>
  <c r="J26" i="16"/>
  <c r="Y26" i="16"/>
  <c r="X26" i="16"/>
  <c r="J3" i="16" l="1"/>
  <c r="I4" i="16"/>
  <c r="H15" i="6"/>
  <c r="J4" i="16" l="1"/>
  <c r="K3" i="16"/>
  <c r="C2" i="13"/>
  <c r="F21" i="15"/>
  <c r="L3" i="16" l="1"/>
  <c r="K4" i="16"/>
  <c r="H23" i="15"/>
  <c r="I23" i="15" s="1"/>
  <c r="J23" i="15" s="1"/>
  <c r="K23" i="15" s="1"/>
  <c r="L23" i="15" s="1"/>
  <c r="M23" i="15" s="1"/>
  <c r="N23" i="15" s="1"/>
  <c r="O23" i="15" s="1"/>
  <c r="P23" i="15" s="1"/>
  <c r="L4" i="16" l="1"/>
  <c r="M3" i="16"/>
  <c r="M4" i="16" l="1"/>
  <c r="N3" i="16"/>
  <c r="O3" i="16" l="1"/>
  <c r="N4" i="16"/>
  <c r="M27" i="15"/>
  <c r="G15" i="15"/>
  <c r="G16" i="15" s="1"/>
  <c r="C6" i="13"/>
  <c r="D5" i="15"/>
  <c r="P27" i="15"/>
  <c r="H27" i="15"/>
  <c r="L27" i="15"/>
  <c r="N27" i="15" l="1"/>
  <c r="K15" i="15"/>
  <c r="O4" i="16"/>
  <c r="P3" i="16"/>
  <c r="G27" i="15"/>
  <c r="O27" i="15"/>
  <c r="I27" i="15"/>
  <c r="J27" i="15"/>
  <c r="K27" i="15"/>
  <c r="G17" i="15"/>
  <c r="K16" i="15"/>
  <c r="H14" i="15"/>
  <c r="J14" i="15"/>
  <c r="I14" i="15"/>
  <c r="Q3" i="16" l="1"/>
  <c r="P4" i="16"/>
  <c r="G18" i="15"/>
  <c r="J18" i="15" s="1"/>
  <c r="K17" i="15"/>
  <c r="J15" i="15"/>
  <c r="J16" i="15"/>
  <c r="J17" i="15"/>
  <c r="I16" i="15"/>
  <c r="I17" i="15"/>
  <c r="I15" i="15"/>
  <c r="H16" i="15"/>
  <c r="H17" i="15"/>
  <c r="H15" i="15"/>
  <c r="G31" i="15"/>
  <c r="H31" i="15" s="1"/>
  <c r="I31" i="15" s="1"/>
  <c r="J31" i="15" s="1"/>
  <c r="K31" i="15" s="1"/>
  <c r="L31" i="15" s="1"/>
  <c r="M31" i="15" s="1"/>
  <c r="N31" i="15" s="1"/>
  <c r="O31" i="15" s="1"/>
  <c r="P31" i="15" s="1"/>
  <c r="C3" i="13"/>
  <c r="R3" i="16" l="1"/>
  <c r="Q4" i="16"/>
  <c r="I18" i="15"/>
  <c r="H18" i="15"/>
  <c r="G19" i="15"/>
  <c r="K18" i="15"/>
  <c r="C10" i="9"/>
  <c r="C9" i="9"/>
  <c r="C8" i="9"/>
  <c r="C7" i="9"/>
  <c r="C6" i="9"/>
  <c r="C5" i="9"/>
  <c r="S3" i="16" l="1"/>
  <c r="R4" i="16"/>
  <c r="G20" i="15"/>
  <c r="K19" i="15"/>
  <c r="H19" i="15"/>
  <c r="J19" i="15"/>
  <c r="I19" i="15"/>
  <c r="T3" i="16" l="1"/>
  <c r="S4" i="16"/>
  <c r="K20" i="15"/>
  <c r="I20" i="15"/>
  <c r="H20" i="15"/>
  <c r="J20" i="15"/>
  <c r="E7" i="6"/>
  <c r="E4" i="6"/>
  <c r="B16" i="6"/>
  <c r="B8" i="6"/>
  <c r="B22" i="16" s="1"/>
  <c r="R58" i="16" l="1"/>
  <c r="S58" i="16"/>
  <c r="E9" i="6"/>
  <c r="F59" i="16"/>
  <c r="F58" i="16"/>
  <c r="G58" i="16"/>
  <c r="G39" i="16"/>
  <c r="H58" i="16"/>
  <c r="H39" i="16"/>
  <c r="I58" i="16"/>
  <c r="I39" i="16"/>
  <c r="J58" i="16"/>
  <c r="K58" i="16"/>
  <c r="L58" i="16"/>
  <c r="M58" i="16"/>
  <c r="N58" i="16"/>
  <c r="O58" i="16"/>
  <c r="P58" i="16"/>
  <c r="Q58" i="16"/>
  <c r="U3" i="16"/>
  <c r="T4" i="16"/>
  <c r="T58" i="16" s="1"/>
  <c r="H3" i="6"/>
  <c r="V3" i="16" l="1"/>
  <c r="U4" i="16"/>
  <c r="U58" i="16" s="1"/>
  <c r="W3" i="16" l="1"/>
  <c r="V4" i="16"/>
  <c r="V58" i="16" s="1"/>
  <c r="E149" i="1"/>
  <c r="X3" i="16" l="1"/>
  <c r="W4" i="16"/>
  <c r="W58" i="16" s="1"/>
  <c r="C30" i="1"/>
  <c r="Y3" i="16" l="1"/>
  <c r="X4" i="16"/>
  <c r="X58" i="16" s="1"/>
  <c r="F71" i="1"/>
  <c r="F97" i="1"/>
  <c r="M72" i="1"/>
  <c r="N72" i="1"/>
  <c r="O72" i="1" s="1"/>
  <c r="F66" i="1"/>
  <c r="Q148" i="1"/>
  <c r="F148" i="1" s="1"/>
  <c r="Z3" i="16" l="1"/>
  <c r="Y4" i="16"/>
  <c r="Y58" i="16" s="1"/>
  <c r="P72" i="1"/>
  <c r="Q72" i="1"/>
  <c r="AO88" i="1"/>
  <c r="N137" i="1"/>
  <c r="AA3" i="16" l="1"/>
  <c r="Z4" i="16"/>
  <c r="Z58" i="16" s="1"/>
  <c r="M97" i="1"/>
  <c r="AB3" i="16" l="1"/>
  <c r="AA4" i="16"/>
  <c r="AA58" i="16" s="1"/>
  <c r="D30" i="1"/>
  <c r="E30" i="1"/>
  <c r="F30" i="1"/>
  <c r="G30" i="1"/>
  <c r="AC3" i="16" l="1"/>
  <c r="AD3" i="16" s="1"/>
  <c r="AB4" i="16"/>
  <c r="O172" i="1"/>
  <c r="Q172" i="1" s="1"/>
  <c r="R172" i="1" s="1"/>
  <c r="S172" i="1" s="1"/>
  <c r="T172" i="1" s="1"/>
  <c r="U172" i="1" s="1"/>
  <c r="V172" i="1" s="1"/>
  <c r="W172" i="1" s="1"/>
  <c r="X172" i="1" s="1"/>
  <c r="Y172" i="1" s="1"/>
  <c r="Z172" i="1" s="1"/>
  <c r="AA172" i="1" s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P170" i="1"/>
  <c r="P173" i="1" s="1"/>
  <c r="N168" i="1"/>
  <c r="Q158" i="1"/>
  <c r="K156" i="1"/>
  <c r="AW155" i="1"/>
  <c r="AV153" i="1"/>
  <c r="AW152" i="1"/>
  <c r="AV152" i="1"/>
  <c r="P151" i="1"/>
  <c r="O150" i="1"/>
  <c r="Q150" i="1" s="1"/>
  <c r="E150" i="1"/>
  <c r="O149" i="1"/>
  <c r="AV148" i="1"/>
  <c r="M148" i="1"/>
  <c r="AW147" i="1"/>
  <c r="AV147" i="1"/>
  <c r="N146" i="1"/>
  <c r="O145" i="1"/>
  <c r="Q145" i="1" s="1"/>
  <c r="N143" i="1"/>
  <c r="N144" i="1" s="1"/>
  <c r="O144" i="1" s="1"/>
  <c r="P144" i="1" s="1"/>
  <c r="O142" i="1"/>
  <c r="M142" i="1"/>
  <c r="O141" i="1"/>
  <c r="M141" i="1"/>
  <c r="AV140" i="1"/>
  <c r="M140" i="1"/>
  <c r="AW140" i="1" s="1"/>
  <c r="AW139" i="1"/>
  <c r="AV139" i="1"/>
  <c r="N138" i="1"/>
  <c r="M138" i="1"/>
  <c r="O137" i="1"/>
  <c r="M137" i="1"/>
  <c r="M136" i="1"/>
  <c r="M135" i="1"/>
  <c r="M129" i="1"/>
  <c r="M128" i="1"/>
  <c r="M127" i="1"/>
  <c r="M126" i="1"/>
  <c r="M125" i="1"/>
  <c r="M124" i="1"/>
  <c r="M123" i="1"/>
  <c r="M122" i="1"/>
  <c r="M121" i="1"/>
  <c r="M120" i="1"/>
  <c r="G120" i="1"/>
  <c r="G121" i="1" s="1"/>
  <c r="M115" i="1"/>
  <c r="G115" i="1"/>
  <c r="G119" i="1" s="1"/>
  <c r="M110" i="1"/>
  <c r="M109" i="1"/>
  <c r="M108" i="1"/>
  <c r="F107" i="1"/>
  <c r="M107" i="1" s="1"/>
  <c r="M106" i="1"/>
  <c r="M105" i="1"/>
  <c r="M101" i="1"/>
  <c r="M96" i="1"/>
  <c r="M95" i="1"/>
  <c r="M94" i="1"/>
  <c r="N93" i="1"/>
  <c r="O93" i="1" s="1"/>
  <c r="M93" i="1"/>
  <c r="O92" i="1"/>
  <c r="M92" i="1"/>
  <c r="AW90" i="1"/>
  <c r="AV90" i="1"/>
  <c r="AW89" i="1"/>
  <c r="AV89" i="1"/>
  <c r="AV88" i="1"/>
  <c r="M88" i="1"/>
  <c r="AW88" i="1" s="1"/>
  <c r="N87" i="1"/>
  <c r="G87" i="1"/>
  <c r="E87" i="1"/>
  <c r="D87" i="1"/>
  <c r="C87" i="1"/>
  <c r="N86" i="1"/>
  <c r="G86" i="1"/>
  <c r="E86" i="1"/>
  <c r="D86" i="1"/>
  <c r="C86" i="1"/>
  <c r="N85" i="1"/>
  <c r="G85" i="1"/>
  <c r="E85" i="1"/>
  <c r="D85" i="1"/>
  <c r="C85" i="1"/>
  <c r="N84" i="1"/>
  <c r="G84" i="1"/>
  <c r="E84" i="1"/>
  <c r="D84" i="1"/>
  <c r="C84" i="1"/>
  <c r="N83" i="1"/>
  <c r="G83" i="1"/>
  <c r="E83" i="1"/>
  <c r="D83" i="1"/>
  <c r="C83" i="1"/>
  <c r="N82" i="1"/>
  <c r="G82" i="1"/>
  <c r="E82" i="1"/>
  <c r="D82" i="1"/>
  <c r="C82" i="1"/>
  <c r="N81" i="1"/>
  <c r="G81" i="1"/>
  <c r="E81" i="1"/>
  <c r="D81" i="1"/>
  <c r="C81" i="1"/>
  <c r="N80" i="1"/>
  <c r="G80" i="1"/>
  <c r="E80" i="1"/>
  <c r="D80" i="1"/>
  <c r="C80" i="1"/>
  <c r="N79" i="1"/>
  <c r="G79" i="1"/>
  <c r="G91" i="1" s="1"/>
  <c r="E79" i="1"/>
  <c r="D79" i="1"/>
  <c r="C79" i="1"/>
  <c r="N78" i="1"/>
  <c r="G78" i="1"/>
  <c r="E78" i="1"/>
  <c r="D78" i="1"/>
  <c r="C78" i="1"/>
  <c r="N77" i="1"/>
  <c r="G77" i="1"/>
  <c r="E77" i="1"/>
  <c r="D77" i="1"/>
  <c r="C77" i="1"/>
  <c r="O76" i="1"/>
  <c r="L52" i="1" s="1"/>
  <c r="E76" i="1"/>
  <c r="D76" i="1"/>
  <c r="C76" i="1"/>
  <c r="AW75" i="1"/>
  <c r="AV75" i="1"/>
  <c r="AW74" i="1"/>
  <c r="AV74" i="1"/>
  <c r="AW73" i="1"/>
  <c r="AV73" i="1"/>
  <c r="N71" i="1"/>
  <c r="M71" i="1"/>
  <c r="N70" i="1"/>
  <c r="M70" i="1"/>
  <c r="N69" i="1"/>
  <c r="M69" i="1"/>
  <c r="O68" i="1"/>
  <c r="M68" i="1"/>
  <c r="M66" i="1"/>
  <c r="F65" i="1"/>
  <c r="M65" i="1" s="1"/>
  <c r="N64" i="1"/>
  <c r="N65" i="1" s="1"/>
  <c r="N66" i="1" s="1"/>
  <c r="O66" i="1" s="1"/>
  <c r="F64" i="1"/>
  <c r="O63" i="1"/>
  <c r="P63" i="1" s="1"/>
  <c r="O62" i="1"/>
  <c r="E62" i="1"/>
  <c r="AW60" i="1"/>
  <c r="AV60" i="1"/>
  <c r="AW59" i="1"/>
  <c r="AV59" i="1"/>
  <c r="C59" i="1"/>
  <c r="AV58" i="1"/>
  <c r="AW57" i="1"/>
  <c r="AV57" i="1"/>
  <c r="D55" i="1"/>
  <c r="C4" i="1" s="1"/>
  <c r="O53" i="1"/>
  <c r="P53" i="1" s="1"/>
  <c r="I53" i="1"/>
  <c r="J53" i="1" s="1"/>
  <c r="F53" i="1"/>
  <c r="G53" i="1" s="1"/>
  <c r="O52" i="1"/>
  <c r="P52" i="1" s="1"/>
  <c r="I52" i="1"/>
  <c r="J52" i="1" s="1"/>
  <c r="F52" i="1"/>
  <c r="G52" i="1" s="1"/>
  <c r="O51" i="1"/>
  <c r="I51" i="1"/>
  <c r="J51" i="1" s="1"/>
  <c r="F51" i="1"/>
  <c r="O50" i="1"/>
  <c r="Q50" i="1" s="1"/>
  <c r="I50" i="1"/>
  <c r="J50" i="1" s="1"/>
  <c r="F50" i="1"/>
  <c r="G50" i="1" s="1"/>
  <c r="O49" i="1"/>
  <c r="I49" i="1"/>
  <c r="J49" i="1" s="1"/>
  <c r="F49" i="1"/>
  <c r="G49" i="1" s="1"/>
  <c r="O48" i="1"/>
  <c r="P48" i="1" s="1"/>
  <c r="I48" i="1"/>
  <c r="J48" i="1" s="1"/>
  <c r="F48" i="1"/>
  <c r="G48" i="1" s="1"/>
  <c r="O47" i="1"/>
  <c r="Q47" i="1" s="1"/>
  <c r="I47" i="1"/>
  <c r="J47" i="1" s="1"/>
  <c r="F47" i="1"/>
  <c r="G47" i="1" s="1"/>
  <c r="O46" i="1"/>
  <c r="I46" i="1"/>
  <c r="J46" i="1" s="1"/>
  <c r="F46" i="1"/>
  <c r="G46" i="1" s="1"/>
  <c r="O45" i="1"/>
  <c r="P45" i="1" s="1"/>
  <c r="I45" i="1"/>
  <c r="J45" i="1" s="1"/>
  <c r="F45" i="1"/>
  <c r="G45" i="1" s="1"/>
  <c r="O44" i="1"/>
  <c r="Q44" i="1" s="1"/>
  <c r="I44" i="1"/>
  <c r="J44" i="1" s="1"/>
  <c r="F44" i="1"/>
  <c r="G44" i="1" s="1"/>
  <c r="O43" i="1"/>
  <c r="Q43" i="1" s="1"/>
  <c r="I43" i="1"/>
  <c r="J43" i="1" s="1"/>
  <c r="F43" i="1"/>
  <c r="G43" i="1" s="1"/>
  <c r="O42" i="1"/>
  <c r="Q42" i="1" s="1"/>
  <c r="J42" i="1"/>
  <c r="F42" i="1"/>
  <c r="R41" i="1"/>
  <c r="R72" i="1" s="1"/>
  <c r="B34" i="1"/>
  <c r="B33" i="1"/>
  <c r="B32" i="1"/>
  <c r="B31" i="1"/>
  <c r="D14" i="1"/>
  <c r="F149" i="1" s="1"/>
  <c r="M149" i="1" s="1"/>
  <c r="C3" i="1"/>
  <c r="L2" i="1"/>
  <c r="AB51" i="16" l="1"/>
  <c r="AE3" i="16"/>
  <c r="AC4" i="16"/>
  <c r="Q137" i="1"/>
  <c r="O138" i="1"/>
  <c r="P138" i="1" s="1"/>
  <c r="L48" i="1"/>
  <c r="G42" i="1"/>
  <c r="M42" i="1" s="1"/>
  <c r="E38" i="1"/>
  <c r="L51" i="1"/>
  <c r="Q48" i="1"/>
  <c r="L49" i="1"/>
  <c r="Q76" i="1"/>
  <c r="L42" i="1"/>
  <c r="L43" i="1"/>
  <c r="L44" i="1"/>
  <c r="L45" i="1"/>
  <c r="L53" i="1"/>
  <c r="Q52" i="1"/>
  <c r="Q167" i="1"/>
  <c r="M53" i="1"/>
  <c r="L6" i="1"/>
  <c r="P76" i="1"/>
  <c r="Q53" i="1"/>
  <c r="P149" i="1"/>
  <c r="Q149" i="1" s="1"/>
  <c r="Q63" i="1"/>
  <c r="P44" i="1"/>
  <c r="O70" i="1"/>
  <c r="P70" i="1" s="1"/>
  <c r="P137" i="1"/>
  <c r="R137" i="1" s="1"/>
  <c r="P43" i="1"/>
  <c r="P47" i="1"/>
  <c r="M49" i="1"/>
  <c r="P50" i="1"/>
  <c r="P68" i="1"/>
  <c r="Q68" i="1" s="1"/>
  <c r="O69" i="1"/>
  <c r="P69" i="1" s="1"/>
  <c r="F76" i="1"/>
  <c r="M43" i="1"/>
  <c r="M48" i="1"/>
  <c r="M44" i="1"/>
  <c r="P42" i="1"/>
  <c r="M47" i="1"/>
  <c r="O71" i="1"/>
  <c r="P71" i="1" s="1"/>
  <c r="P92" i="1"/>
  <c r="Q92" i="1" s="1"/>
  <c r="P141" i="1"/>
  <c r="Q45" i="1"/>
  <c r="L46" i="1"/>
  <c r="L47" i="1"/>
  <c r="L50" i="1"/>
  <c r="O64" i="1"/>
  <c r="O65" i="1"/>
  <c r="P65" i="1" s="1"/>
  <c r="O78" i="1"/>
  <c r="P78" i="1" s="1"/>
  <c r="O143" i="1"/>
  <c r="P143" i="1" s="1"/>
  <c r="P145" i="1"/>
  <c r="M46" i="1"/>
  <c r="N67" i="1"/>
  <c r="M45" i="1"/>
  <c r="M50" i="1"/>
  <c r="M52" i="1"/>
  <c r="M62" i="1"/>
  <c r="S41" i="1"/>
  <c r="S72" i="1" s="1"/>
  <c r="Q46" i="1"/>
  <c r="P46" i="1"/>
  <c r="P49" i="1"/>
  <c r="Q49" i="1"/>
  <c r="P62" i="1"/>
  <c r="F73" i="1"/>
  <c r="E64" i="1"/>
  <c r="M64" i="1"/>
  <c r="F55" i="1"/>
  <c r="G51" i="1"/>
  <c r="M51" i="1" s="1"/>
  <c r="Q51" i="1"/>
  <c r="P51" i="1"/>
  <c r="R52" i="1"/>
  <c r="P66" i="1"/>
  <c r="R66" i="1" s="1"/>
  <c r="R150" i="1"/>
  <c r="R145" i="1"/>
  <c r="R142" i="1"/>
  <c r="R141" i="1"/>
  <c r="R51" i="1"/>
  <c r="R47" i="1"/>
  <c r="R43" i="1"/>
  <c r="R63" i="1"/>
  <c r="R53" i="1"/>
  <c r="R50" i="1"/>
  <c r="R48" i="1"/>
  <c r="R49" i="1"/>
  <c r="R46" i="1"/>
  <c r="R44" i="1"/>
  <c r="R76" i="1"/>
  <c r="R68" i="1"/>
  <c r="R45" i="1"/>
  <c r="R42" i="1"/>
  <c r="D100" i="1"/>
  <c r="F100" i="1" s="1"/>
  <c r="G101" i="1"/>
  <c r="D89" i="1"/>
  <c r="O77" i="1"/>
  <c r="P77" i="1" s="1"/>
  <c r="G122" i="1"/>
  <c r="N101" i="1"/>
  <c r="P93" i="1"/>
  <c r="Q93" i="1" s="1"/>
  <c r="F77" i="1"/>
  <c r="M77" i="1" s="1"/>
  <c r="F78" i="1"/>
  <c r="M78" i="1" s="1"/>
  <c r="F79" i="1"/>
  <c r="M79" i="1" s="1"/>
  <c r="F80" i="1"/>
  <c r="M80" i="1" s="1"/>
  <c r="F81" i="1"/>
  <c r="M81" i="1" s="1"/>
  <c r="F82" i="1"/>
  <c r="M82" i="1" s="1"/>
  <c r="F83" i="1"/>
  <c r="M83" i="1" s="1"/>
  <c r="F84" i="1"/>
  <c r="M84" i="1" s="1"/>
  <c r="F85" i="1"/>
  <c r="M85" i="1" s="1"/>
  <c r="F86" i="1"/>
  <c r="M86" i="1" s="1"/>
  <c r="F87" i="1"/>
  <c r="M87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G116" i="1"/>
  <c r="AW148" i="1"/>
  <c r="O146" i="1"/>
  <c r="P146" i="1" s="1"/>
  <c r="Q142" i="1"/>
  <c r="P142" i="1"/>
  <c r="P150" i="1"/>
  <c r="Q175" i="1"/>
  <c r="Q168" i="1"/>
  <c r="F150" i="1"/>
  <c r="M150" i="1" s="1"/>
  <c r="AD4" i="16" l="1"/>
  <c r="AE4" i="16" s="1"/>
  <c r="AC51" i="16"/>
  <c r="AC31" i="16" s="1"/>
  <c r="AF3" i="16"/>
  <c r="R138" i="1"/>
  <c r="Q138" i="1"/>
  <c r="M76" i="1"/>
  <c r="F91" i="1"/>
  <c r="R149" i="1"/>
  <c r="R151" i="1"/>
  <c r="R93" i="1"/>
  <c r="Q62" i="1"/>
  <c r="Q78" i="1"/>
  <c r="R92" i="1"/>
  <c r="Q66" i="1"/>
  <c r="E37" i="1"/>
  <c r="Q70" i="1"/>
  <c r="R69" i="1"/>
  <c r="Q69" i="1"/>
  <c r="R62" i="1"/>
  <c r="L4" i="1"/>
  <c r="Q80" i="1"/>
  <c r="R78" i="1"/>
  <c r="Q144" i="1"/>
  <c r="R84" i="1"/>
  <c r="Q146" i="1"/>
  <c r="Q65" i="1"/>
  <c r="R65" i="1"/>
  <c r="R70" i="1"/>
  <c r="Q71" i="1"/>
  <c r="Q85" i="1"/>
  <c r="R71" i="1"/>
  <c r="R87" i="1"/>
  <c r="P64" i="1"/>
  <c r="R64" i="1" s="1"/>
  <c r="Q81" i="1"/>
  <c r="R79" i="1"/>
  <c r="R143" i="1"/>
  <c r="R144" i="1"/>
  <c r="S146" i="1"/>
  <c r="S145" i="1"/>
  <c r="S149" i="1"/>
  <c r="S141" i="1"/>
  <c r="S138" i="1"/>
  <c r="S150" i="1"/>
  <c r="S137" i="1"/>
  <c r="S142" i="1"/>
  <c r="S87" i="1"/>
  <c r="S86" i="1"/>
  <c r="S85" i="1"/>
  <c r="S84" i="1"/>
  <c r="S83" i="1"/>
  <c r="S82" i="1"/>
  <c r="S81" i="1"/>
  <c r="S80" i="1"/>
  <c r="S79" i="1"/>
  <c r="S78" i="1"/>
  <c r="S77" i="1"/>
  <c r="S76" i="1"/>
  <c r="S93" i="1"/>
  <c r="S92" i="1"/>
  <c r="S70" i="1"/>
  <c r="S68" i="1"/>
  <c r="S63" i="1"/>
  <c r="S52" i="1"/>
  <c r="S48" i="1"/>
  <c r="S44" i="1"/>
  <c r="S65" i="1"/>
  <c r="S62" i="1"/>
  <c r="S51" i="1"/>
  <c r="S49" i="1"/>
  <c r="S46" i="1"/>
  <c r="S69" i="1"/>
  <c r="S64" i="1"/>
  <c r="S47" i="1"/>
  <c r="S45" i="1"/>
  <c r="S42" i="1"/>
  <c r="S43" i="1"/>
  <c r="T41" i="1"/>
  <c r="T72" i="1" s="1"/>
  <c r="S71" i="1"/>
  <c r="S50" i="1"/>
  <c r="S66" i="1"/>
  <c r="S53" i="1"/>
  <c r="Q87" i="1"/>
  <c r="Q79" i="1"/>
  <c r="G123" i="1"/>
  <c r="O91" i="1"/>
  <c r="P91" i="1" s="1"/>
  <c r="R81" i="1"/>
  <c r="R77" i="1"/>
  <c r="M100" i="1"/>
  <c r="N103" i="1"/>
  <c r="Q84" i="1"/>
  <c r="O101" i="1"/>
  <c r="G102" i="1"/>
  <c r="R83" i="1"/>
  <c r="R80" i="1"/>
  <c r="R146" i="1"/>
  <c r="G117" i="1"/>
  <c r="Q83" i="1"/>
  <c r="N102" i="1"/>
  <c r="N94" i="1"/>
  <c r="N100" i="1"/>
  <c r="Q143" i="1"/>
  <c r="D104" i="1"/>
  <c r="F104" i="1" s="1"/>
  <c r="M104" i="1" s="1"/>
  <c r="D102" i="1"/>
  <c r="F102" i="1" s="1"/>
  <c r="M102" i="1" s="1"/>
  <c r="D103" i="1"/>
  <c r="F103" i="1" s="1"/>
  <c r="M103" i="1" s="1"/>
  <c r="Q82" i="1"/>
  <c r="Q86" i="1"/>
  <c r="F89" i="1"/>
  <c r="R85" i="1"/>
  <c r="R82" i="1"/>
  <c r="R86" i="1"/>
  <c r="Q77" i="1"/>
  <c r="F146" i="1"/>
  <c r="M146" i="1" s="1"/>
  <c r="F145" i="1"/>
  <c r="M145" i="1" s="1"/>
  <c r="M55" i="1"/>
  <c r="AE51" i="16" l="1"/>
  <c r="AE31" i="16" s="1"/>
  <c r="AD51" i="16"/>
  <c r="AD31" i="16" s="1"/>
  <c r="AG3" i="16"/>
  <c r="AF4" i="16"/>
  <c r="Q64" i="1"/>
  <c r="N114" i="1"/>
  <c r="O100" i="1"/>
  <c r="P100" i="1" s="1"/>
  <c r="F144" i="1"/>
  <c r="M144" i="1" s="1"/>
  <c r="F143" i="1"/>
  <c r="M58" i="1"/>
  <c r="G55" i="1"/>
  <c r="D16" i="1"/>
  <c r="L3" i="1"/>
  <c r="N95" i="1"/>
  <c r="O94" i="1"/>
  <c r="P94" i="1" s="1"/>
  <c r="F118" i="1"/>
  <c r="F111" i="1"/>
  <c r="F116" i="1"/>
  <c r="M116" i="1" s="1"/>
  <c r="S144" i="1"/>
  <c r="S143" i="1"/>
  <c r="E89" i="1"/>
  <c r="N104" i="1"/>
  <c r="N105" i="1"/>
  <c r="G103" i="1"/>
  <c r="O102" i="1"/>
  <c r="N106" i="1"/>
  <c r="G124" i="1"/>
  <c r="F117" i="1"/>
  <c r="M117" i="1" s="1"/>
  <c r="R91" i="1"/>
  <c r="P101" i="1"/>
  <c r="T101" i="1" s="1"/>
  <c r="R101" i="1"/>
  <c r="Q101" i="1"/>
  <c r="T146" i="1"/>
  <c r="T138" i="1"/>
  <c r="T137" i="1"/>
  <c r="T142" i="1"/>
  <c r="T149" i="1"/>
  <c r="T141" i="1"/>
  <c r="T145" i="1"/>
  <c r="T150" i="1"/>
  <c r="T71" i="1"/>
  <c r="T70" i="1"/>
  <c r="T92" i="1"/>
  <c r="T69" i="1"/>
  <c r="T53" i="1"/>
  <c r="T49" i="1"/>
  <c r="T45" i="1"/>
  <c r="T84" i="1"/>
  <c r="T82" i="1"/>
  <c r="T80" i="1"/>
  <c r="T77" i="1"/>
  <c r="T64" i="1"/>
  <c r="T47" i="1"/>
  <c r="T44" i="1"/>
  <c r="T42" i="1"/>
  <c r="T76" i="1"/>
  <c r="T68" i="1"/>
  <c r="T43" i="1"/>
  <c r="U41" i="1"/>
  <c r="T86" i="1"/>
  <c r="T85" i="1"/>
  <c r="T83" i="1"/>
  <c r="T81" i="1"/>
  <c r="T79" i="1"/>
  <c r="T66" i="1"/>
  <c r="T52" i="1"/>
  <c r="T50" i="1"/>
  <c r="T93" i="1"/>
  <c r="T87" i="1"/>
  <c r="T78" i="1"/>
  <c r="T63" i="1"/>
  <c r="T51" i="1"/>
  <c r="T48" i="1"/>
  <c r="T65" i="1"/>
  <c r="T62" i="1"/>
  <c r="T46" i="1"/>
  <c r="F114" i="1"/>
  <c r="Q91" i="1"/>
  <c r="G118" i="1"/>
  <c r="F119" i="1"/>
  <c r="M119" i="1" s="1"/>
  <c r="F98" i="1"/>
  <c r="M91" i="1"/>
  <c r="S101" i="1"/>
  <c r="S91" i="1"/>
  <c r="AF51" i="16" l="1"/>
  <c r="AF31" i="16" s="1"/>
  <c r="AH3" i="16"/>
  <c r="AG4" i="16"/>
  <c r="M118" i="1"/>
  <c r="U72" i="1"/>
  <c r="U92" i="1"/>
  <c r="U101" i="1"/>
  <c r="U113" i="1"/>
  <c r="U141" i="1"/>
  <c r="U99" i="1"/>
  <c r="U112" i="1"/>
  <c r="U98" i="1"/>
  <c r="U111" i="1"/>
  <c r="U93" i="1"/>
  <c r="U137" i="1"/>
  <c r="U138" i="1"/>
  <c r="T91" i="1"/>
  <c r="J89" i="1"/>
  <c r="R100" i="1"/>
  <c r="S94" i="1"/>
  <c r="Q94" i="1"/>
  <c r="T94" i="1"/>
  <c r="Q102" i="1"/>
  <c r="T100" i="1"/>
  <c r="S100" i="1"/>
  <c r="R94" i="1"/>
  <c r="Q100" i="1"/>
  <c r="U100" i="1" s="1"/>
  <c r="U150" i="1"/>
  <c r="U149" i="1"/>
  <c r="U142" i="1"/>
  <c r="U146" i="1"/>
  <c r="U145" i="1"/>
  <c r="U87" i="1"/>
  <c r="U86" i="1"/>
  <c r="U85" i="1"/>
  <c r="U84" i="1"/>
  <c r="U83" i="1"/>
  <c r="U82" i="1"/>
  <c r="U81" i="1"/>
  <c r="U80" i="1"/>
  <c r="U79" i="1"/>
  <c r="U78" i="1"/>
  <c r="U77" i="1"/>
  <c r="U76" i="1"/>
  <c r="U62" i="1"/>
  <c r="U50" i="1"/>
  <c r="U46" i="1"/>
  <c r="U42" i="1"/>
  <c r="U69" i="1"/>
  <c r="U68" i="1"/>
  <c r="U45" i="1"/>
  <c r="U43" i="1"/>
  <c r="U66" i="1"/>
  <c r="U52" i="1"/>
  <c r="U71" i="1"/>
  <c r="U70" i="1"/>
  <c r="U65" i="1"/>
  <c r="U63" i="1"/>
  <c r="U53" i="1"/>
  <c r="U51" i="1"/>
  <c r="U48" i="1"/>
  <c r="U44" i="1"/>
  <c r="U49" i="1"/>
  <c r="V41" i="1"/>
  <c r="U64" i="1"/>
  <c r="U47" i="1"/>
  <c r="T144" i="1"/>
  <c r="T143" i="1"/>
  <c r="N109" i="1"/>
  <c r="O106" i="1"/>
  <c r="S106" i="1" s="1"/>
  <c r="N107" i="1"/>
  <c r="C9" i="1"/>
  <c r="C10" i="1" s="1"/>
  <c r="G125" i="1"/>
  <c r="P102" i="1"/>
  <c r="T102" i="1" s="1"/>
  <c r="S102" i="1"/>
  <c r="R102" i="1"/>
  <c r="M143" i="1"/>
  <c r="F139" i="1"/>
  <c r="M114" i="1"/>
  <c r="G104" i="1"/>
  <c r="O103" i="1"/>
  <c r="O105" i="1"/>
  <c r="S105" i="1" s="1"/>
  <c r="N108" i="1"/>
  <c r="O95" i="1"/>
  <c r="N134" i="1"/>
  <c r="U134" i="1" s="1"/>
  <c r="N132" i="1"/>
  <c r="U132" i="1" s="1"/>
  <c r="N130" i="1"/>
  <c r="U130" i="1" s="1"/>
  <c r="N129" i="1"/>
  <c r="N116" i="1"/>
  <c r="O114" i="1"/>
  <c r="S114" i="1" s="1"/>
  <c r="N136" i="1"/>
  <c r="N127" i="1"/>
  <c r="N126" i="1"/>
  <c r="N122" i="1"/>
  <c r="N125" i="1"/>
  <c r="N121" i="1"/>
  <c r="N133" i="1"/>
  <c r="U133" i="1" s="1"/>
  <c r="N128" i="1"/>
  <c r="N124" i="1"/>
  <c r="N120" i="1"/>
  <c r="N115" i="1"/>
  <c r="N135" i="1"/>
  <c r="N118" i="1"/>
  <c r="O118" i="1" s="1"/>
  <c r="P118" i="1" s="1"/>
  <c r="N123" i="1"/>
  <c r="N119" i="1"/>
  <c r="N131" i="1"/>
  <c r="U131" i="1" s="1"/>
  <c r="N117" i="1"/>
  <c r="U102" i="1" l="1"/>
  <c r="U94" i="1"/>
  <c r="AG51" i="16"/>
  <c r="AG31" i="16" s="1"/>
  <c r="AH4" i="16"/>
  <c r="AH59" i="16" s="1"/>
  <c r="AI3" i="16"/>
  <c r="D15" i="1"/>
  <c r="D17" i="1" s="1"/>
  <c r="V72" i="1"/>
  <c r="V100" i="1"/>
  <c r="V112" i="1"/>
  <c r="V93" i="1"/>
  <c r="V113" i="1"/>
  <c r="V131" i="1"/>
  <c r="V134" i="1"/>
  <c r="V92" i="1"/>
  <c r="V130" i="1"/>
  <c r="V99" i="1"/>
  <c r="V102" i="1"/>
  <c r="V98" i="1"/>
  <c r="V101" i="1"/>
  <c r="V111" i="1"/>
  <c r="V141" i="1"/>
  <c r="V94" i="1"/>
  <c r="V132" i="1"/>
  <c r="V133" i="1"/>
  <c r="V137" i="1"/>
  <c r="V138" i="1"/>
  <c r="U91" i="1"/>
  <c r="V91" i="1"/>
  <c r="O97" i="1"/>
  <c r="R106" i="1"/>
  <c r="Q114" i="1"/>
  <c r="Q106" i="1"/>
  <c r="R105" i="1"/>
  <c r="Q105" i="1"/>
  <c r="O123" i="1"/>
  <c r="P123" i="1" s="1"/>
  <c r="O121" i="1"/>
  <c r="P121" i="1" s="1"/>
  <c r="P95" i="1"/>
  <c r="T95" i="1"/>
  <c r="O122" i="1"/>
  <c r="P122" i="1" s="1"/>
  <c r="P114" i="1"/>
  <c r="T114" i="1" s="1"/>
  <c r="R95" i="1"/>
  <c r="O125" i="1"/>
  <c r="P125" i="1" s="1"/>
  <c r="G126" i="1"/>
  <c r="M153" i="1"/>
  <c r="U144" i="1"/>
  <c r="U143" i="1"/>
  <c r="R114" i="1"/>
  <c r="O119" i="1"/>
  <c r="R119" i="1" s="1"/>
  <c r="O115" i="1"/>
  <c r="Q115" i="1" s="1"/>
  <c r="O116" i="1"/>
  <c r="P116" i="1" s="1"/>
  <c r="Q95" i="1"/>
  <c r="P105" i="1"/>
  <c r="T105" i="1" s="1"/>
  <c r="O124" i="1"/>
  <c r="P124" i="1" s="1"/>
  <c r="C6" i="1"/>
  <c r="P106" i="1"/>
  <c r="T106" i="1" s="1"/>
  <c r="L7" i="1"/>
  <c r="V146" i="1"/>
  <c r="V149" i="1"/>
  <c r="V145" i="1"/>
  <c r="V150" i="1"/>
  <c r="V142" i="1"/>
  <c r="V87" i="1"/>
  <c r="V86" i="1"/>
  <c r="V85" i="1"/>
  <c r="V84" i="1"/>
  <c r="V83" i="1"/>
  <c r="V82" i="1"/>
  <c r="V81" i="1"/>
  <c r="V80" i="1"/>
  <c r="V79" i="1"/>
  <c r="V71" i="1"/>
  <c r="V66" i="1"/>
  <c r="V65" i="1"/>
  <c r="V64" i="1"/>
  <c r="V51" i="1"/>
  <c r="V47" i="1"/>
  <c r="V43" i="1"/>
  <c r="V76" i="1"/>
  <c r="V52" i="1"/>
  <c r="V70" i="1"/>
  <c r="V63" i="1"/>
  <c r="V53" i="1"/>
  <c r="V50" i="1"/>
  <c r="V48" i="1"/>
  <c r="V78" i="1"/>
  <c r="V62" i="1"/>
  <c r="V49" i="1"/>
  <c r="V46" i="1"/>
  <c r="V44" i="1"/>
  <c r="V77" i="1"/>
  <c r="V42" i="1"/>
  <c r="V69" i="1"/>
  <c r="V45" i="1"/>
  <c r="W41" i="1"/>
  <c r="V68" i="1"/>
  <c r="O120" i="1"/>
  <c r="P120" i="1" s="1"/>
  <c r="P103" i="1"/>
  <c r="S103" i="1"/>
  <c r="R103" i="1"/>
  <c r="Q103" i="1"/>
  <c r="T103" i="1"/>
  <c r="O107" i="1"/>
  <c r="P107" i="1" s="1"/>
  <c r="O117" i="1"/>
  <c r="Q118" i="1"/>
  <c r="R118" i="1"/>
  <c r="S118" i="1"/>
  <c r="T118" i="1"/>
  <c r="O136" i="1"/>
  <c r="P136" i="1" s="1"/>
  <c r="S95" i="1"/>
  <c r="O96" i="1"/>
  <c r="P96" i="1" s="1"/>
  <c r="N110" i="1"/>
  <c r="O108" i="1"/>
  <c r="P108" i="1" s="1"/>
  <c r="O104" i="1"/>
  <c r="G110" i="1"/>
  <c r="L5" i="1"/>
  <c r="O109" i="1"/>
  <c r="V103" i="1" l="1"/>
  <c r="U105" i="1"/>
  <c r="V106" i="1"/>
  <c r="AH51" i="16"/>
  <c r="AH31" i="16" s="1"/>
  <c r="AI4" i="16"/>
  <c r="AI59" i="16" s="1"/>
  <c r="AJ3" i="16"/>
  <c r="W72" i="1"/>
  <c r="W94" i="1"/>
  <c r="W99" i="1"/>
  <c r="W103" i="1"/>
  <c r="W111" i="1"/>
  <c r="W132" i="1"/>
  <c r="W98" i="1"/>
  <c r="W101" i="1"/>
  <c r="W133" i="1"/>
  <c r="W93" i="1"/>
  <c r="W97" i="1"/>
  <c r="W100" i="1"/>
  <c r="W113" i="1"/>
  <c r="W131" i="1"/>
  <c r="W134" i="1"/>
  <c r="W141" i="1"/>
  <c r="W92" i="1"/>
  <c r="W95" i="1"/>
  <c r="W106" i="1"/>
  <c r="W112" i="1"/>
  <c r="W130" i="1"/>
  <c r="W105" i="1"/>
  <c r="W136" i="1"/>
  <c r="W102" i="1"/>
  <c r="W137" i="1"/>
  <c r="W138" i="1"/>
  <c r="V105" i="1"/>
  <c r="P109" i="1"/>
  <c r="T97" i="1"/>
  <c r="U97" i="1"/>
  <c r="U103" i="1"/>
  <c r="U106" i="1"/>
  <c r="V136" i="1"/>
  <c r="V97" i="1"/>
  <c r="W91" i="1"/>
  <c r="V95" i="1"/>
  <c r="U95" i="1"/>
  <c r="V114" i="1"/>
  <c r="U114" i="1"/>
  <c r="W114" i="1"/>
  <c r="U118" i="1"/>
  <c r="V118" i="1"/>
  <c r="W118" i="1"/>
  <c r="S97" i="1"/>
  <c r="R97" i="1"/>
  <c r="P97" i="1"/>
  <c r="P117" i="1"/>
  <c r="Q124" i="1"/>
  <c r="S107" i="1"/>
  <c r="R124" i="1"/>
  <c r="T122" i="1"/>
  <c r="R109" i="1"/>
  <c r="Q107" i="1"/>
  <c r="T107" i="1"/>
  <c r="T124" i="1"/>
  <c r="T117" i="1"/>
  <c r="R107" i="1"/>
  <c r="S115" i="1"/>
  <c r="R125" i="1"/>
  <c r="S136" i="1"/>
  <c r="S124" i="1"/>
  <c r="R115" i="1"/>
  <c r="O110" i="1"/>
  <c r="Q125" i="1"/>
  <c r="T125" i="1"/>
  <c r="S125" i="1"/>
  <c r="S119" i="1"/>
  <c r="S122" i="1"/>
  <c r="S96" i="1"/>
  <c r="Q108" i="1"/>
  <c r="Q109" i="1"/>
  <c r="T108" i="1"/>
  <c r="S117" i="1"/>
  <c r="R116" i="1"/>
  <c r="R123" i="1"/>
  <c r="T109" i="1"/>
  <c r="L9" i="1"/>
  <c r="R108" i="1"/>
  <c r="T96" i="1"/>
  <c r="Q96" i="1"/>
  <c r="S120" i="1"/>
  <c r="T116" i="1"/>
  <c r="T123" i="1"/>
  <c r="R96" i="1"/>
  <c r="R120" i="1"/>
  <c r="S116" i="1"/>
  <c r="S123" i="1"/>
  <c r="P104" i="1"/>
  <c r="S104" i="1"/>
  <c r="Q104" i="1"/>
  <c r="R104" i="1"/>
  <c r="R136" i="1"/>
  <c r="P119" i="1"/>
  <c r="G127" i="1"/>
  <c r="O126" i="1"/>
  <c r="R122" i="1"/>
  <c r="W122" i="1" s="1"/>
  <c r="T121" i="1"/>
  <c r="W146" i="1"/>
  <c r="W145" i="1"/>
  <c r="W150" i="1"/>
  <c r="W142" i="1"/>
  <c r="W149" i="1"/>
  <c r="W87" i="1"/>
  <c r="W86" i="1"/>
  <c r="W85" i="1"/>
  <c r="W84" i="1"/>
  <c r="W83" i="1"/>
  <c r="W82" i="1"/>
  <c r="W81" i="1"/>
  <c r="W80" i="1"/>
  <c r="W79" i="1"/>
  <c r="W78" i="1"/>
  <c r="W77" i="1"/>
  <c r="W76" i="1"/>
  <c r="W69" i="1"/>
  <c r="W68" i="1"/>
  <c r="W63" i="1"/>
  <c r="W52" i="1"/>
  <c r="W48" i="1"/>
  <c r="W44" i="1"/>
  <c r="W70" i="1"/>
  <c r="W66" i="1"/>
  <c r="W53" i="1"/>
  <c r="W50" i="1"/>
  <c r="W71" i="1"/>
  <c r="W65" i="1"/>
  <c r="W62" i="1"/>
  <c r="W51" i="1"/>
  <c r="W49" i="1"/>
  <c r="W46" i="1"/>
  <c r="W64" i="1"/>
  <c r="W47" i="1"/>
  <c r="W45" i="1"/>
  <c r="W42" i="1"/>
  <c r="X41" i="1"/>
  <c r="W43" i="1"/>
  <c r="S121" i="1"/>
  <c r="S109" i="1"/>
  <c r="S108" i="1"/>
  <c r="T136" i="1"/>
  <c r="Q136" i="1"/>
  <c r="U136" i="1" s="1"/>
  <c r="R117" i="1"/>
  <c r="T120" i="1"/>
  <c r="W120" i="1"/>
  <c r="V143" i="1"/>
  <c r="V144" i="1"/>
  <c r="P115" i="1"/>
  <c r="R121" i="1"/>
  <c r="W121" i="1" s="1"/>
  <c r="V121" i="1" l="1"/>
  <c r="X114" i="1"/>
  <c r="X118" i="1"/>
  <c r="U120" i="1"/>
  <c r="W123" i="1"/>
  <c r="V109" i="1"/>
  <c r="W125" i="1"/>
  <c r="V125" i="1"/>
  <c r="U107" i="1"/>
  <c r="V124" i="1"/>
  <c r="AI51" i="16"/>
  <c r="AI31" i="16" s="1"/>
  <c r="AJ4" i="16"/>
  <c r="AJ59" i="16" s="1"/>
  <c r="AK3" i="16"/>
  <c r="P110" i="1"/>
  <c r="U125" i="1"/>
  <c r="V108" i="1"/>
  <c r="U108" i="1"/>
  <c r="V122" i="1"/>
  <c r="U124" i="1"/>
  <c r="V107" i="1"/>
  <c r="W109" i="1"/>
  <c r="W107" i="1"/>
  <c r="V123" i="1"/>
  <c r="U109" i="1"/>
  <c r="U123" i="1"/>
  <c r="U121" i="1"/>
  <c r="W108" i="1"/>
  <c r="W124" i="1"/>
  <c r="X72" i="1"/>
  <c r="X141" i="1"/>
  <c r="X93" i="1"/>
  <c r="X98" i="1"/>
  <c r="X102" i="1"/>
  <c r="X106" i="1"/>
  <c r="X123" i="1"/>
  <c r="X131" i="1"/>
  <c r="X94" i="1"/>
  <c r="X105" i="1"/>
  <c r="X108" i="1"/>
  <c r="X111" i="1"/>
  <c r="X132" i="1"/>
  <c r="X136" i="1"/>
  <c r="X101" i="1"/>
  <c r="X107" i="1"/>
  <c r="X122" i="1"/>
  <c r="X125" i="1"/>
  <c r="X133" i="1"/>
  <c r="X97" i="1"/>
  <c r="X100" i="1"/>
  <c r="X92" i="1"/>
  <c r="X113" i="1"/>
  <c r="X124" i="1"/>
  <c r="X134" i="1"/>
  <c r="X95" i="1"/>
  <c r="X112" i="1"/>
  <c r="X130" i="1"/>
  <c r="X99" i="1"/>
  <c r="X103" i="1"/>
  <c r="X121" i="1"/>
  <c r="X109" i="1"/>
  <c r="X120" i="1"/>
  <c r="X137" i="1"/>
  <c r="X138" i="1"/>
  <c r="X91" i="1"/>
  <c r="V120" i="1"/>
  <c r="U122" i="1"/>
  <c r="U96" i="1"/>
  <c r="V96" i="1"/>
  <c r="X96" i="1"/>
  <c r="W96" i="1"/>
  <c r="U117" i="1"/>
  <c r="V117" i="1"/>
  <c r="W117" i="1"/>
  <c r="X117" i="1"/>
  <c r="V116" i="1"/>
  <c r="X116" i="1"/>
  <c r="W116" i="1"/>
  <c r="U116" i="1"/>
  <c r="Q97" i="1"/>
  <c r="T115" i="1"/>
  <c r="X115" i="1" s="1"/>
  <c r="T104" i="1"/>
  <c r="T119" i="1"/>
  <c r="V119" i="1" s="1"/>
  <c r="T110" i="1"/>
  <c r="Q110" i="1"/>
  <c r="S110" i="1"/>
  <c r="R110" i="1"/>
  <c r="U110" i="1" s="1"/>
  <c r="G128" i="1"/>
  <c r="O127" i="1"/>
  <c r="X149" i="1"/>
  <c r="X145" i="1"/>
  <c r="X150" i="1"/>
  <c r="X142" i="1"/>
  <c r="X146" i="1"/>
  <c r="X71" i="1"/>
  <c r="X70" i="1"/>
  <c r="X87" i="1"/>
  <c r="X86" i="1"/>
  <c r="X53" i="1"/>
  <c r="X49" i="1"/>
  <c r="X45" i="1"/>
  <c r="X65" i="1"/>
  <c r="X63" i="1"/>
  <c r="X62" i="1"/>
  <c r="X51" i="1"/>
  <c r="X48" i="1"/>
  <c r="X46" i="1"/>
  <c r="X85" i="1"/>
  <c r="X83" i="1"/>
  <c r="X81" i="1"/>
  <c r="X79" i="1"/>
  <c r="X78" i="1"/>
  <c r="X64" i="1"/>
  <c r="X47" i="1"/>
  <c r="X44" i="1"/>
  <c r="X42" i="1"/>
  <c r="Y41" i="1"/>
  <c r="Y117" i="1" s="1"/>
  <c r="X77" i="1"/>
  <c r="X69" i="1"/>
  <c r="X68" i="1"/>
  <c r="X43" i="1"/>
  <c r="X84" i="1"/>
  <c r="X82" i="1"/>
  <c r="X80" i="1"/>
  <c r="X76" i="1"/>
  <c r="X66" i="1"/>
  <c r="X52" i="1"/>
  <c r="X50" i="1"/>
  <c r="W143" i="1"/>
  <c r="W144" i="1"/>
  <c r="P126" i="1"/>
  <c r="R126" i="1"/>
  <c r="S126" i="1"/>
  <c r="V110" i="1" l="1"/>
  <c r="V104" i="1"/>
  <c r="X104" i="1"/>
  <c r="AJ51" i="16"/>
  <c r="AJ31" i="16" s="1"/>
  <c r="AL3" i="16"/>
  <c r="AK4" i="16"/>
  <c r="AK59" i="16" s="1"/>
  <c r="Y72" i="1"/>
  <c r="Y92" i="1"/>
  <c r="Y97" i="1"/>
  <c r="Y101" i="1"/>
  <c r="Y105" i="1"/>
  <c r="Y109" i="1"/>
  <c r="Y113" i="1"/>
  <c r="Y122" i="1"/>
  <c r="Y130" i="1"/>
  <c r="Y95" i="1"/>
  <c r="Y99" i="1"/>
  <c r="Y102" i="1"/>
  <c r="Y112" i="1"/>
  <c r="Y120" i="1"/>
  <c r="Y123" i="1"/>
  <c r="Y141" i="1"/>
  <c r="Y94" i="1"/>
  <c r="Y98" i="1"/>
  <c r="Y108" i="1"/>
  <c r="Y111" i="1"/>
  <c r="Y115" i="1"/>
  <c r="Y132" i="1"/>
  <c r="Y136" i="1"/>
  <c r="Y93" i="1"/>
  <c r="Y100" i="1"/>
  <c r="Y107" i="1"/>
  <c r="Y125" i="1"/>
  <c r="Y131" i="1"/>
  <c r="Y133" i="1"/>
  <c r="Y106" i="1"/>
  <c r="Y124" i="1"/>
  <c r="Y134" i="1"/>
  <c r="Y104" i="1"/>
  <c r="Y110" i="1"/>
  <c r="Y103" i="1"/>
  <c r="Y121" i="1"/>
  <c r="Y137" i="1"/>
  <c r="Y138" i="1"/>
  <c r="Y91" i="1"/>
  <c r="Y114" i="1"/>
  <c r="Y118" i="1"/>
  <c r="V115" i="1"/>
  <c r="W115" i="1"/>
  <c r="Y96" i="1"/>
  <c r="X110" i="1"/>
  <c r="W110" i="1"/>
  <c r="U104" i="1"/>
  <c r="W104" i="1"/>
  <c r="Y116" i="1"/>
  <c r="U115" i="1"/>
  <c r="Y119" i="1"/>
  <c r="X119" i="1"/>
  <c r="U119" i="1"/>
  <c r="W119" i="1"/>
  <c r="T126" i="1"/>
  <c r="Y126" i="1" s="1"/>
  <c r="P127" i="1"/>
  <c r="T127" i="1"/>
  <c r="Q127" i="1"/>
  <c r="S127" i="1"/>
  <c r="R127" i="1"/>
  <c r="Y150" i="1"/>
  <c r="Y149" i="1"/>
  <c r="Y142" i="1"/>
  <c r="Y145" i="1"/>
  <c r="Y146" i="1"/>
  <c r="Y70" i="1"/>
  <c r="Y69" i="1"/>
  <c r="Y62" i="1"/>
  <c r="Y50" i="1"/>
  <c r="Y46" i="1"/>
  <c r="Y42" i="1"/>
  <c r="Y85" i="1"/>
  <c r="Y83" i="1"/>
  <c r="Y81" i="1"/>
  <c r="Y79" i="1"/>
  <c r="Y78" i="1"/>
  <c r="Y71" i="1"/>
  <c r="Y64" i="1"/>
  <c r="Y49" i="1"/>
  <c r="Y47" i="1"/>
  <c r="Y44" i="1"/>
  <c r="Y86" i="1"/>
  <c r="Y77" i="1"/>
  <c r="Y68" i="1"/>
  <c r="Y45" i="1"/>
  <c r="Y43" i="1"/>
  <c r="Y87" i="1"/>
  <c r="Y84" i="1"/>
  <c r="Y82" i="1"/>
  <c r="Y80" i="1"/>
  <c r="Y76" i="1"/>
  <c r="Y66" i="1"/>
  <c r="Y52" i="1"/>
  <c r="Y63" i="1"/>
  <c r="Y51" i="1"/>
  <c r="Y48" i="1"/>
  <c r="Y65" i="1"/>
  <c r="Y53" i="1"/>
  <c r="Z41" i="1"/>
  <c r="O128" i="1"/>
  <c r="G129" i="1"/>
  <c r="X143" i="1"/>
  <c r="X144" i="1"/>
  <c r="Y127" i="1" l="1"/>
  <c r="V127" i="1"/>
  <c r="AK51" i="16"/>
  <c r="AK31" i="16" s="1"/>
  <c r="AM3" i="16"/>
  <c r="AL4" i="16"/>
  <c r="AL59" i="16" s="1"/>
  <c r="Z72" i="1"/>
  <c r="Z95" i="1"/>
  <c r="Z100" i="1"/>
  <c r="Z104" i="1"/>
  <c r="Z108" i="1"/>
  <c r="Z112" i="1"/>
  <c r="Z121" i="1"/>
  <c r="Z125" i="1"/>
  <c r="Z141" i="1"/>
  <c r="Z92" i="1"/>
  <c r="Z103" i="1"/>
  <c r="Z106" i="1"/>
  <c r="Z109" i="1"/>
  <c r="Z124" i="1"/>
  <c r="Z127" i="1"/>
  <c r="Z130" i="1"/>
  <c r="Z134" i="1"/>
  <c r="Z99" i="1"/>
  <c r="Z102" i="1"/>
  <c r="Z105" i="1"/>
  <c r="Z120" i="1"/>
  <c r="Z123" i="1"/>
  <c r="Z126" i="1"/>
  <c r="Z94" i="1"/>
  <c r="Z98" i="1"/>
  <c r="Z101" i="1"/>
  <c r="Z115" i="1"/>
  <c r="Z132" i="1"/>
  <c r="Z107" i="1"/>
  <c r="Z113" i="1"/>
  <c r="Z131" i="1"/>
  <c r="Z133" i="1"/>
  <c r="Z93" i="1"/>
  <c r="Z111" i="1"/>
  <c r="Z122" i="1"/>
  <c r="Z136" i="1"/>
  <c r="Z97" i="1"/>
  <c r="Z110" i="1"/>
  <c r="Z138" i="1"/>
  <c r="Z137" i="1"/>
  <c r="Z91" i="1"/>
  <c r="Z114" i="1"/>
  <c r="Z118" i="1"/>
  <c r="Z116" i="1"/>
  <c r="Z117" i="1"/>
  <c r="Z96" i="1"/>
  <c r="U127" i="1"/>
  <c r="W126" i="1"/>
  <c r="U126" i="1"/>
  <c r="W127" i="1"/>
  <c r="V126" i="1"/>
  <c r="X127" i="1"/>
  <c r="X126" i="1"/>
  <c r="Z119" i="1"/>
  <c r="P128" i="1"/>
  <c r="T128" i="1"/>
  <c r="Q128" i="1"/>
  <c r="R128" i="1"/>
  <c r="S128" i="1"/>
  <c r="G130" i="1"/>
  <c r="G131" i="1" s="1"/>
  <c r="G132" i="1" s="1"/>
  <c r="G133" i="1" s="1"/>
  <c r="G134" i="1" s="1"/>
  <c r="G135" i="1" s="1"/>
  <c r="O135" i="1" s="1"/>
  <c r="O129" i="1"/>
  <c r="Y144" i="1"/>
  <c r="Y143" i="1"/>
  <c r="Z146" i="1"/>
  <c r="Z150" i="1"/>
  <c r="Z142" i="1"/>
  <c r="Z145" i="1"/>
  <c r="Z149" i="1"/>
  <c r="Z87" i="1"/>
  <c r="Z86" i="1"/>
  <c r="Z85" i="1"/>
  <c r="Z84" i="1"/>
  <c r="Z83" i="1"/>
  <c r="Z82" i="1"/>
  <c r="Z81" i="1"/>
  <c r="Z80" i="1"/>
  <c r="Z79" i="1"/>
  <c r="Z78" i="1"/>
  <c r="Z77" i="1"/>
  <c r="Z76" i="1"/>
  <c r="Z66" i="1"/>
  <c r="Z65" i="1"/>
  <c r="Z64" i="1"/>
  <c r="Z51" i="1"/>
  <c r="Z47" i="1"/>
  <c r="Z43" i="1"/>
  <c r="Z68" i="1"/>
  <c r="Z45" i="1"/>
  <c r="Z42" i="1"/>
  <c r="Z69" i="1"/>
  <c r="Z52" i="1"/>
  <c r="Z63" i="1"/>
  <c r="Z53" i="1"/>
  <c r="Z50" i="1"/>
  <c r="Z48" i="1"/>
  <c r="Z71" i="1"/>
  <c r="Z44" i="1"/>
  <c r="Z70" i="1"/>
  <c r="Z62" i="1"/>
  <c r="Z49" i="1"/>
  <c r="Z46" i="1"/>
  <c r="AA41" i="1"/>
  <c r="W128" i="1" l="1"/>
  <c r="X128" i="1"/>
  <c r="AL51" i="16"/>
  <c r="AL31" i="16" s="1"/>
  <c r="AM4" i="16"/>
  <c r="AM59" i="16" s="1"/>
  <c r="AN3" i="16"/>
  <c r="AA72" i="1"/>
  <c r="AA94" i="1"/>
  <c r="AA99" i="1"/>
  <c r="AA103" i="1"/>
  <c r="AA107" i="1"/>
  <c r="AA111" i="1"/>
  <c r="AA120" i="1"/>
  <c r="AA124" i="1"/>
  <c r="AA128" i="1"/>
  <c r="AA93" i="1"/>
  <c r="AA97" i="1"/>
  <c r="AA100" i="1"/>
  <c r="AA110" i="1"/>
  <c r="AA113" i="1"/>
  <c r="AA121" i="1"/>
  <c r="AA131" i="1"/>
  <c r="AA133" i="1"/>
  <c r="AA92" i="1"/>
  <c r="AA95" i="1"/>
  <c r="AA106" i="1"/>
  <c r="AA109" i="1"/>
  <c r="AA112" i="1"/>
  <c r="AA127" i="1"/>
  <c r="AA130" i="1"/>
  <c r="AA134" i="1"/>
  <c r="AA102" i="1"/>
  <c r="AA108" i="1"/>
  <c r="AA126" i="1"/>
  <c r="AA98" i="1"/>
  <c r="AA115" i="1"/>
  <c r="AA125" i="1"/>
  <c r="AA132" i="1"/>
  <c r="AA141" i="1"/>
  <c r="AA101" i="1"/>
  <c r="AA105" i="1"/>
  <c r="AA123" i="1"/>
  <c r="AA104" i="1"/>
  <c r="AA122" i="1"/>
  <c r="AA136" i="1"/>
  <c r="AA137" i="1"/>
  <c r="AA138" i="1"/>
  <c r="AA91" i="1"/>
  <c r="AA114" i="1"/>
  <c r="AA118" i="1"/>
  <c r="AA117" i="1"/>
  <c r="AA96" i="1"/>
  <c r="AA116" i="1"/>
  <c r="AA119" i="1"/>
  <c r="Y128" i="1"/>
  <c r="V128" i="1"/>
  <c r="Z128" i="1"/>
  <c r="U128" i="1"/>
  <c r="AA146" i="1"/>
  <c r="AA145" i="1"/>
  <c r="AA150" i="1"/>
  <c r="AA142" i="1"/>
  <c r="AA149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69" i="1"/>
  <c r="AA71" i="1"/>
  <c r="AA68" i="1"/>
  <c r="AA63" i="1"/>
  <c r="AA52" i="1"/>
  <c r="AA48" i="1"/>
  <c r="AA44" i="1"/>
  <c r="AA43" i="1"/>
  <c r="AA66" i="1"/>
  <c r="AA53" i="1"/>
  <c r="AA50" i="1"/>
  <c r="AA70" i="1"/>
  <c r="AA65" i="1"/>
  <c r="AA62" i="1"/>
  <c r="AA51" i="1"/>
  <c r="AA49" i="1"/>
  <c r="AA46" i="1"/>
  <c r="AB41" i="1"/>
  <c r="AA45" i="1"/>
  <c r="AA64" i="1"/>
  <c r="AA47" i="1"/>
  <c r="AA42" i="1"/>
  <c r="Z144" i="1"/>
  <c r="Z143" i="1"/>
  <c r="P129" i="1"/>
  <c r="T129" i="1"/>
  <c r="Q129" i="1"/>
  <c r="R129" i="1"/>
  <c r="S129" i="1"/>
  <c r="P135" i="1"/>
  <c r="T135" i="1" s="1"/>
  <c r="Q135" i="1"/>
  <c r="R135" i="1"/>
  <c r="S135" i="1"/>
  <c r="Z135" i="1" l="1"/>
  <c r="V129" i="1"/>
  <c r="AM51" i="16"/>
  <c r="AM31" i="16" s="1"/>
  <c r="AN4" i="16"/>
  <c r="AN59" i="16" s="1"/>
  <c r="AO3" i="16"/>
  <c r="Y129" i="1"/>
  <c r="V135" i="1"/>
  <c r="Q154" i="1"/>
  <c r="Q159" i="1" s="1"/>
  <c r="Q169" i="1" s="1"/>
  <c r="X129" i="1"/>
  <c r="AA135" i="1"/>
  <c r="Y135" i="1"/>
  <c r="U135" i="1"/>
  <c r="W129" i="1"/>
  <c r="AA129" i="1"/>
  <c r="W135" i="1"/>
  <c r="U129" i="1"/>
  <c r="AB72" i="1"/>
  <c r="AB141" i="1"/>
  <c r="AB93" i="1"/>
  <c r="AB98" i="1"/>
  <c r="AB102" i="1"/>
  <c r="AB106" i="1"/>
  <c r="AB110" i="1"/>
  <c r="AB115" i="1"/>
  <c r="AB123" i="1"/>
  <c r="AB127" i="1"/>
  <c r="AB131" i="1"/>
  <c r="AB101" i="1"/>
  <c r="AB104" i="1"/>
  <c r="AB107" i="1"/>
  <c r="AB122" i="1"/>
  <c r="AB125" i="1"/>
  <c r="AB128" i="1"/>
  <c r="AB132" i="1"/>
  <c r="AB136" i="1"/>
  <c r="AB97" i="1"/>
  <c r="AB100" i="1"/>
  <c r="AB103" i="1"/>
  <c r="AB113" i="1"/>
  <c r="AB121" i="1"/>
  <c r="AB124" i="1"/>
  <c r="AB133" i="1"/>
  <c r="AB92" i="1"/>
  <c r="AB95" i="1"/>
  <c r="AB99" i="1"/>
  <c r="AB94" i="1"/>
  <c r="AB109" i="1"/>
  <c r="AB120" i="1"/>
  <c r="AB108" i="1"/>
  <c r="AB126" i="1"/>
  <c r="AB112" i="1"/>
  <c r="AB130" i="1"/>
  <c r="AB134" i="1"/>
  <c r="AB105" i="1"/>
  <c r="AB111" i="1"/>
  <c r="AB129" i="1"/>
  <c r="AB135" i="1"/>
  <c r="AB137" i="1"/>
  <c r="AB138" i="1"/>
  <c r="AB91" i="1"/>
  <c r="AB114" i="1"/>
  <c r="AB118" i="1"/>
  <c r="AB96" i="1"/>
  <c r="AB116" i="1"/>
  <c r="AB117" i="1"/>
  <c r="AB119" i="1"/>
  <c r="X135" i="1"/>
  <c r="Z129" i="1"/>
  <c r="R154" i="1"/>
  <c r="AB150" i="1"/>
  <c r="AB146" i="1"/>
  <c r="AB149" i="1"/>
  <c r="AB142" i="1"/>
  <c r="AB145" i="1"/>
  <c r="AB71" i="1"/>
  <c r="AB70" i="1"/>
  <c r="AB87" i="1"/>
  <c r="AB86" i="1"/>
  <c r="AB85" i="1"/>
  <c r="AB84" i="1"/>
  <c r="AB83" i="1"/>
  <c r="AB82" i="1"/>
  <c r="AB81" i="1"/>
  <c r="AB80" i="1"/>
  <c r="AB79" i="1"/>
  <c r="AB53" i="1"/>
  <c r="AB49" i="1"/>
  <c r="AB45" i="1"/>
  <c r="AB77" i="1"/>
  <c r="AB69" i="1"/>
  <c r="AB66" i="1"/>
  <c r="AB52" i="1"/>
  <c r="AB50" i="1"/>
  <c r="AB76" i="1"/>
  <c r="AB65" i="1"/>
  <c r="AB63" i="1"/>
  <c r="AB62" i="1"/>
  <c r="AB51" i="1"/>
  <c r="AB48" i="1"/>
  <c r="AB46" i="1"/>
  <c r="AC41" i="1"/>
  <c r="AB64" i="1"/>
  <c r="AB47" i="1"/>
  <c r="AB44" i="1"/>
  <c r="AB42" i="1"/>
  <c r="AB78" i="1"/>
  <c r="AB68" i="1"/>
  <c r="AB43" i="1"/>
  <c r="AA144" i="1"/>
  <c r="AA143" i="1"/>
  <c r="AN51" i="16" l="1"/>
  <c r="AN31" i="16" s="1"/>
  <c r="AO4" i="16"/>
  <c r="AO59" i="16" s="1"/>
  <c r="AP3" i="16"/>
  <c r="AC72" i="1"/>
  <c r="AC92" i="1"/>
  <c r="AC97" i="1"/>
  <c r="AC101" i="1"/>
  <c r="AC105" i="1"/>
  <c r="AC109" i="1"/>
  <c r="AC113" i="1"/>
  <c r="AC122" i="1"/>
  <c r="AC126" i="1"/>
  <c r="AC130" i="1"/>
  <c r="AC94" i="1"/>
  <c r="AC98" i="1"/>
  <c r="AW98" i="1" s="1"/>
  <c r="AC108" i="1"/>
  <c r="AC111" i="1"/>
  <c r="AC115" i="1"/>
  <c r="AC129" i="1"/>
  <c r="AC135" i="1"/>
  <c r="AC93" i="1"/>
  <c r="AC104" i="1"/>
  <c r="AC107" i="1"/>
  <c r="AC110" i="1"/>
  <c r="AC125" i="1"/>
  <c r="AC128" i="1"/>
  <c r="AC131" i="1"/>
  <c r="AC132" i="1"/>
  <c r="AC136" i="1"/>
  <c r="AC141" i="1"/>
  <c r="AC100" i="1"/>
  <c r="AC103" i="1"/>
  <c r="AC121" i="1"/>
  <c r="AC127" i="1"/>
  <c r="AC102" i="1"/>
  <c r="AC120" i="1"/>
  <c r="AC95" i="1"/>
  <c r="AC106" i="1"/>
  <c r="AC124" i="1"/>
  <c r="AC133" i="1"/>
  <c r="AC99" i="1"/>
  <c r="AC112" i="1"/>
  <c r="AC123" i="1"/>
  <c r="AC134" i="1"/>
  <c r="AC137" i="1"/>
  <c r="AC138" i="1"/>
  <c r="AC91" i="1"/>
  <c r="AC118" i="1"/>
  <c r="AC114" i="1"/>
  <c r="AC117" i="1"/>
  <c r="AC116" i="1"/>
  <c r="AC96" i="1"/>
  <c r="AC119" i="1"/>
  <c r="Q170" i="1"/>
  <c r="AB144" i="1"/>
  <c r="AB143" i="1"/>
  <c r="R160" i="1"/>
  <c r="Q160" i="1"/>
  <c r="R159" i="1" s="1"/>
  <c r="AC150" i="1"/>
  <c r="AC149" i="1"/>
  <c r="AC145" i="1"/>
  <c r="AC142" i="1"/>
  <c r="AC146" i="1"/>
  <c r="AC87" i="1"/>
  <c r="AC86" i="1"/>
  <c r="AC62" i="1"/>
  <c r="AC50" i="1"/>
  <c r="AC46" i="1"/>
  <c r="AC42" i="1"/>
  <c r="AC76" i="1"/>
  <c r="AC65" i="1"/>
  <c r="AC63" i="1"/>
  <c r="AC53" i="1"/>
  <c r="AC51" i="1"/>
  <c r="AC48" i="1"/>
  <c r="AC84" i="1"/>
  <c r="AC82" i="1"/>
  <c r="AC80" i="1"/>
  <c r="AC70" i="1"/>
  <c r="AC64" i="1"/>
  <c r="AC49" i="1"/>
  <c r="AC47" i="1"/>
  <c r="AC44" i="1"/>
  <c r="AC78" i="1"/>
  <c r="AC71" i="1"/>
  <c r="AC68" i="1"/>
  <c r="AC45" i="1"/>
  <c r="AC43" i="1"/>
  <c r="AC85" i="1"/>
  <c r="AC83" i="1"/>
  <c r="AC81" i="1"/>
  <c r="AC79" i="1"/>
  <c r="AC77" i="1"/>
  <c r="AC69" i="1"/>
  <c r="AC66" i="1"/>
  <c r="AC52" i="1"/>
  <c r="AD41" i="1"/>
  <c r="AO51" i="16" l="1"/>
  <c r="AO31" i="16" s="1"/>
  <c r="AP4" i="16"/>
  <c r="AP59" i="16" s="1"/>
  <c r="AQ3" i="16"/>
  <c r="AV113" i="1"/>
  <c r="AW113" i="1"/>
  <c r="AD97" i="1"/>
  <c r="AD72" i="1"/>
  <c r="AD141" i="1"/>
  <c r="AW99" i="1"/>
  <c r="AV99" i="1"/>
  <c r="AW111" i="1"/>
  <c r="AV111" i="1"/>
  <c r="AW112" i="1"/>
  <c r="AV112" i="1"/>
  <c r="AV98" i="1"/>
  <c r="R167" i="1"/>
  <c r="R169" i="1" s="1"/>
  <c r="Q173" i="1"/>
  <c r="AC143" i="1"/>
  <c r="AC144" i="1"/>
  <c r="Q164" i="1"/>
  <c r="Q178" i="1" s="1"/>
  <c r="Q162" i="1"/>
  <c r="R158" i="1" s="1"/>
  <c r="AD149" i="1"/>
  <c r="AD137" i="1"/>
  <c r="AD145" i="1"/>
  <c r="AD138" i="1"/>
  <c r="AD146" i="1"/>
  <c r="AD129" i="1"/>
  <c r="AD116" i="1"/>
  <c r="AD110" i="1"/>
  <c r="AD109" i="1"/>
  <c r="AD104" i="1"/>
  <c r="AD102" i="1"/>
  <c r="AD95" i="1"/>
  <c r="AD128" i="1"/>
  <c r="AD127" i="1"/>
  <c r="AD126" i="1"/>
  <c r="AD122" i="1"/>
  <c r="AD135" i="1"/>
  <c r="AD125" i="1"/>
  <c r="AD121" i="1"/>
  <c r="AD142" i="1"/>
  <c r="AD136" i="1"/>
  <c r="AD124" i="1"/>
  <c r="AD120" i="1"/>
  <c r="AD115" i="1"/>
  <c r="AD107" i="1"/>
  <c r="AD96" i="1"/>
  <c r="AD93" i="1"/>
  <c r="AD150" i="1"/>
  <c r="AD108" i="1"/>
  <c r="AD101" i="1"/>
  <c r="AD94" i="1"/>
  <c r="AD91" i="1"/>
  <c r="AD117" i="1"/>
  <c r="AD106" i="1"/>
  <c r="AD92" i="1"/>
  <c r="AD123" i="1"/>
  <c r="AD118" i="1"/>
  <c r="AD105" i="1"/>
  <c r="AD103" i="1"/>
  <c r="AD100" i="1"/>
  <c r="AD70" i="1"/>
  <c r="AD69" i="1"/>
  <c r="AD66" i="1"/>
  <c r="AD65" i="1"/>
  <c r="AD64" i="1"/>
  <c r="AD51" i="1"/>
  <c r="AD47" i="1"/>
  <c r="AD43" i="1"/>
  <c r="AD86" i="1"/>
  <c r="AD84" i="1"/>
  <c r="AD82" i="1"/>
  <c r="AD80" i="1"/>
  <c r="AD62" i="1"/>
  <c r="AD49" i="1"/>
  <c r="AD46" i="1"/>
  <c r="AD44" i="1"/>
  <c r="AD119" i="1"/>
  <c r="AD114" i="1"/>
  <c r="AD87" i="1"/>
  <c r="AD78" i="1"/>
  <c r="AD71" i="1"/>
  <c r="AD68" i="1"/>
  <c r="AD45" i="1"/>
  <c r="AD42" i="1"/>
  <c r="AD85" i="1"/>
  <c r="AD83" i="1"/>
  <c r="AD81" i="1"/>
  <c r="AD79" i="1"/>
  <c r="AD77" i="1"/>
  <c r="AD52" i="1"/>
  <c r="AD76" i="1"/>
  <c r="AD53" i="1"/>
  <c r="AE41" i="1"/>
  <c r="AD50" i="1"/>
  <c r="AD63" i="1"/>
  <c r="AD48" i="1"/>
  <c r="AP51" i="16" l="1"/>
  <c r="AP31" i="16" s="1"/>
  <c r="AQ4" i="16"/>
  <c r="AQ59" i="16" s="1"/>
  <c r="AR3" i="16"/>
  <c r="AE97" i="1"/>
  <c r="AE72" i="1"/>
  <c r="AE141" i="1"/>
  <c r="R168" i="1"/>
  <c r="AD143" i="1"/>
  <c r="AD144" i="1"/>
  <c r="R162" i="1"/>
  <c r="S158" i="1" s="1"/>
  <c r="AE146" i="1"/>
  <c r="AE145" i="1"/>
  <c r="AE138" i="1"/>
  <c r="AE135" i="1"/>
  <c r="AE150" i="1"/>
  <c r="AE137" i="1"/>
  <c r="AE149" i="1"/>
  <c r="AE142" i="1"/>
  <c r="AE128" i="1"/>
  <c r="AE127" i="1"/>
  <c r="AE126" i="1"/>
  <c r="AE125" i="1"/>
  <c r="AE124" i="1"/>
  <c r="AE123" i="1"/>
  <c r="AE122" i="1"/>
  <c r="AE121" i="1"/>
  <c r="AE120" i="1"/>
  <c r="AE119" i="1"/>
  <c r="AE115" i="1"/>
  <c r="AE114" i="1"/>
  <c r="AE105" i="1"/>
  <c r="AE96" i="1"/>
  <c r="AE129" i="1"/>
  <c r="AE118" i="1"/>
  <c r="AE136" i="1"/>
  <c r="AE117" i="1"/>
  <c r="AE103" i="1"/>
  <c r="AE95" i="1"/>
  <c r="AE94" i="1"/>
  <c r="AE91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69" i="1"/>
  <c r="AE110" i="1"/>
  <c r="AE106" i="1"/>
  <c r="AE92" i="1"/>
  <c r="AE102" i="1"/>
  <c r="AE100" i="1"/>
  <c r="AE109" i="1"/>
  <c r="AE107" i="1"/>
  <c r="AE68" i="1"/>
  <c r="AE63" i="1"/>
  <c r="AE52" i="1"/>
  <c r="AE48" i="1"/>
  <c r="AE44" i="1"/>
  <c r="AE104" i="1"/>
  <c r="AE71" i="1"/>
  <c r="AE70" i="1"/>
  <c r="AE64" i="1"/>
  <c r="AE47" i="1"/>
  <c r="AE45" i="1"/>
  <c r="AE42" i="1"/>
  <c r="AE93" i="1"/>
  <c r="AE43" i="1"/>
  <c r="AE108" i="1"/>
  <c r="AE101" i="1"/>
  <c r="AE66" i="1"/>
  <c r="AE53" i="1"/>
  <c r="AE50" i="1"/>
  <c r="AF41" i="1"/>
  <c r="AE116" i="1"/>
  <c r="AE65" i="1"/>
  <c r="AE62" i="1"/>
  <c r="AE49" i="1"/>
  <c r="AE46" i="1"/>
  <c r="AE51" i="1"/>
  <c r="R164" i="1"/>
  <c r="R178" i="1" s="1"/>
  <c r="AQ51" i="16" l="1"/>
  <c r="AQ31" i="16" s="1"/>
  <c r="AS3" i="16"/>
  <c r="AR4" i="16"/>
  <c r="AR59" i="16" s="1"/>
  <c r="AF97" i="1"/>
  <c r="AF72" i="1"/>
  <c r="AF141" i="1"/>
  <c r="AE143" i="1"/>
  <c r="AE144" i="1"/>
  <c r="AF136" i="1"/>
  <c r="AF149" i="1"/>
  <c r="AF145" i="1"/>
  <c r="AF142" i="1"/>
  <c r="AF137" i="1"/>
  <c r="AF128" i="1"/>
  <c r="AF127" i="1"/>
  <c r="AF150" i="1"/>
  <c r="AF118" i="1"/>
  <c r="AF107" i="1"/>
  <c r="AF106" i="1"/>
  <c r="AF103" i="1"/>
  <c r="AF101" i="1"/>
  <c r="AF100" i="1"/>
  <c r="AF135" i="1"/>
  <c r="AF125" i="1"/>
  <c r="AF121" i="1"/>
  <c r="AF124" i="1"/>
  <c r="AF120" i="1"/>
  <c r="AF123" i="1"/>
  <c r="AF119" i="1"/>
  <c r="AF114" i="1"/>
  <c r="AF110" i="1"/>
  <c r="AF71" i="1"/>
  <c r="AF70" i="1"/>
  <c r="AF117" i="1"/>
  <c r="AF102" i="1"/>
  <c r="AF146" i="1"/>
  <c r="AF115" i="1"/>
  <c r="AF109" i="1"/>
  <c r="AF105" i="1"/>
  <c r="AF96" i="1"/>
  <c r="AF129" i="1"/>
  <c r="AF126" i="1"/>
  <c r="AF122" i="1"/>
  <c r="AF116" i="1"/>
  <c r="AF108" i="1"/>
  <c r="AF104" i="1"/>
  <c r="AF95" i="1"/>
  <c r="AF93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53" i="1"/>
  <c r="AF49" i="1"/>
  <c r="AF45" i="1"/>
  <c r="AF68" i="1"/>
  <c r="AF43" i="1"/>
  <c r="AF66" i="1"/>
  <c r="AF52" i="1"/>
  <c r="AF50" i="1"/>
  <c r="AG41" i="1"/>
  <c r="AF92" i="1"/>
  <c r="AF69" i="1"/>
  <c r="AF65" i="1"/>
  <c r="AF63" i="1"/>
  <c r="AF62" i="1"/>
  <c r="AF51" i="1"/>
  <c r="AF48" i="1"/>
  <c r="AF46" i="1"/>
  <c r="AF138" i="1"/>
  <c r="AF94" i="1"/>
  <c r="AF91" i="1"/>
  <c r="AF64" i="1"/>
  <c r="AF47" i="1"/>
  <c r="AF42" i="1"/>
  <c r="AF44" i="1"/>
  <c r="R170" i="1"/>
  <c r="R175" i="1" s="1"/>
  <c r="S151" i="1" s="1"/>
  <c r="AR51" i="16" l="1"/>
  <c r="AR31" i="16" s="1"/>
  <c r="AT3" i="16"/>
  <c r="AS4" i="16"/>
  <c r="AS59" i="16" s="1"/>
  <c r="AG97" i="1"/>
  <c r="AG72" i="1"/>
  <c r="AG141" i="1"/>
  <c r="S154" i="1"/>
  <c r="AF143" i="1"/>
  <c r="AF144" i="1"/>
  <c r="R173" i="1"/>
  <c r="S167" i="1"/>
  <c r="AG150" i="1"/>
  <c r="AG149" i="1"/>
  <c r="AG146" i="1"/>
  <c r="AG142" i="1"/>
  <c r="AG129" i="1"/>
  <c r="AG128" i="1"/>
  <c r="AG145" i="1"/>
  <c r="AG137" i="1"/>
  <c r="AG138" i="1"/>
  <c r="AG136" i="1"/>
  <c r="AG135" i="1"/>
  <c r="AG117" i="1"/>
  <c r="AG108" i="1"/>
  <c r="AG94" i="1"/>
  <c r="AG124" i="1"/>
  <c r="AG120" i="1"/>
  <c r="AG123" i="1"/>
  <c r="AG126" i="1"/>
  <c r="AG122" i="1"/>
  <c r="AG116" i="1"/>
  <c r="AG109" i="1"/>
  <c r="AG106" i="1"/>
  <c r="AG105" i="1"/>
  <c r="AG104" i="1"/>
  <c r="AG101" i="1"/>
  <c r="AG92" i="1"/>
  <c r="AG115" i="1"/>
  <c r="AG100" i="1"/>
  <c r="AG96" i="1"/>
  <c r="AG118" i="1"/>
  <c r="AG107" i="1"/>
  <c r="AG103" i="1"/>
  <c r="AG95" i="1"/>
  <c r="AG93" i="1"/>
  <c r="AG87" i="1"/>
  <c r="AG86" i="1"/>
  <c r="AG85" i="1"/>
  <c r="AG84" i="1"/>
  <c r="AG83" i="1"/>
  <c r="AG82" i="1"/>
  <c r="AG81" i="1"/>
  <c r="AG80" i="1"/>
  <c r="AG79" i="1"/>
  <c r="AG125" i="1"/>
  <c r="AG121" i="1"/>
  <c r="AG119" i="1"/>
  <c r="AG114" i="1"/>
  <c r="AG91" i="1"/>
  <c r="AG71" i="1"/>
  <c r="AG62" i="1"/>
  <c r="AG50" i="1"/>
  <c r="AG46" i="1"/>
  <c r="AG42" i="1"/>
  <c r="AG78" i="1"/>
  <c r="AG66" i="1"/>
  <c r="AG52" i="1"/>
  <c r="AG102" i="1"/>
  <c r="AG77" i="1"/>
  <c r="AG69" i="1"/>
  <c r="AG65" i="1"/>
  <c r="AG63" i="1"/>
  <c r="AG53" i="1"/>
  <c r="AG51" i="1"/>
  <c r="AG48" i="1"/>
  <c r="AG76" i="1"/>
  <c r="AG64" i="1"/>
  <c r="AG49" i="1"/>
  <c r="AG47" i="1"/>
  <c r="AG44" i="1"/>
  <c r="AG127" i="1"/>
  <c r="AG110" i="1"/>
  <c r="AG70" i="1"/>
  <c r="AG68" i="1"/>
  <c r="AG43" i="1"/>
  <c r="AG45" i="1"/>
  <c r="AH41" i="1"/>
  <c r="AS51" i="16" l="1"/>
  <c r="AS31" i="16" s="1"/>
  <c r="AU3" i="16"/>
  <c r="AT4" i="16"/>
  <c r="AT59" i="16" s="1"/>
  <c r="AH97" i="1"/>
  <c r="AH72" i="1"/>
  <c r="AH141" i="1"/>
  <c r="S160" i="1"/>
  <c r="S159" i="1"/>
  <c r="AG144" i="1"/>
  <c r="AG143" i="1"/>
  <c r="S168" i="1"/>
  <c r="AH150" i="1"/>
  <c r="AH145" i="1"/>
  <c r="AH137" i="1"/>
  <c r="AH146" i="1"/>
  <c r="AH142" i="1"/>
  <c r="AH138" i="1"/>
  <c r="AH136" i="1"/>
  <c r="AH135" i="1"/>
  <c r="AH129" i="1"/>
  <c r="AH116" i="1"/>
  <c r="AH110" i="1"/>
  <c r="AH109" i="1"/>
  <c r="AH104" i="1"/>
  <c r="AH102" i="1"/>
  <c r="AH95" i="1"/>
  <c r="AH123" i="1"/>
  <c r="AH119" i="1"/>
  <c r="AH117" i="1"/>
  <c r="AH126" i="1"/>
  <c r="AH122" i="1"/>
  <c r="AH149" i="1"/>
  <c r="AH127" i="1"/>
  <c r="AH125" i="1"/>
  <c r="AH121" i="1"/>
  <c r="AH118" i="1"/>
  <c r="AH108" i="1"/>
  <c r="AH100" i="1"/>
  <c r="AH93" i="1"/>
  <c r="AH128" i="1"/>
  <c r="AH107" i="1"/>
  <c r="AH105" i="1"/>
  <c r="AH103" i="1"/>
  <c r="AH87" i="1"/>
  <c r="AH86" i="1"/>
  <c r="AH114" i="1"/>
  <c r="AH91" i="1"/>
  <c r="AH124" i="1"/>
  <c r="AH120" i="1"/>
  <c r="AH101" i="1"/>
  <c r="AH94" i="1"/>
  <c r="AH92" i="1"/>
  <c r="AH66" i="1"/>
  <c r="AH65" i="1"/>
  <c r="AH64" i="1"/>
  <c r="AH51" i="1"/>
  <c r="AH47" i="1"/>
  <c r="AH43" i="1"/>
  <c r="AH77" i="1"/>
  <c r="AH69" i="1"/>
  <c r="AH63" i="1"/>
  <c r="AH53" i="1"/>
  <c r="AH50" i="1"/>
  <c r="AH48" i="1"/>
  <c r="AH96" i="1"/>
  <c r="AH85" i="1"/>
  <c r="AH83" i="1"/>
  <c r="AH81" i="1"/>
  <c r="AH79" i="1"/>
  <c r="AH76" i="1"/>
  <c r="AH62" i="1"/>
  <c r="AH49" i="1"/>
  <c r="AH46" i="1"/>
  <c r="AH44" i="1"/>
  <c r="AH106" i="1"/>
  <c r="AH70" i="1"/>
  <c r="AH68" i="1"/>
  <c r="AH45" i="1"/>
  <c r="AH42" i="1"/>
  <c r="AH115" i="1"/>
  <c r="AH84" i="1"/>
  <c r="AH82" i="1"/>
  <c r="AH80" i="1"/>
  <c r="AH78" i="1"/>
  <c r="AH71" i="1"/>
  <c r="AH52" i="1"/>
  <c r="AI41" i="1"/>
  <c r="AT51" i="16" l="1"/>
  <c r="AT31" i="16" s="1"/>
  <c r="AU4" i="16"/>
  <c r="AU59" i="16" s="1"/>
  <c r="AV3" i="16"/>
  <c r="AI97" i="1"/>
  <c r="AI72" i="1"/>
  <c r="AI141" i="1"/>
  <c r="S162" i="1"/>
  <c r="T158" i="1" s="1"/>
  <c r="S169" i="1"/>
  <c r="S164" i="1"/>
  <c r="S178" i="1" s="1"/>
  <c r="AH144" i="1"/>
  <c r="AH143" i="1"/>
  <c r="AI146" i="1"/>
  <c r="AI145" i="1"/>
  <c r="AI149" i="1"/>
  <c r="AI138" i="1"/>
  <c r="AI135" i="1"/>
  <c r="AI142" i="1"/>
  <c r="AI150" i="1"/>
  <c r="AI129" i="1"/>
  <c r="AI127" i="1"/>
  <c r="AI126" i="1"/>
  <c r="AI125" i="1"/>
  <c r="AI124" i="1"/>
  <c r="AI123" i="1"/>
  <c r="AI122" i="1"/>
  <c r="AI121" i="1"/>
  <c r="AI120" i="1"/>
  <c r="AI119" i="1"/>
  <c r="AI115" i="1"/>
  <c r="AI114" i="1"/>
  <c r="AI105" i="1"/>
  <c r="AI96" i="1"/>
  <c r="AI136" i="1"/>
  <c r="AI137" i="1"/>
  <c r="AI128" i="1"/>
  <c r="AI107" i="1"/>
  <c r="AI102" i="1"/>
  <c r="AI91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69" i="1"/>
  <c r="AI118" i="1"/>
  <c r="AI109" i="1"/>
  <c r="AI95" i="1"/>
  <c r="AI93" i="1"/>
  <c r="AI116" i="1"/>
  <c r="AI108" i="1"/>
  <c r="AI104" i="1"/>
  <c r="AI101" i="1"/>
  <c r="AI94" i="1"/>
  <c r="AI92" i="1"/>
  <c r="AI110" i="1"/>
  <c r="AI106" i="1"/>
  <c r="AI70" i="1"/>
  <c r="AI68" i="1"/>
  <c r="AI63" i="1"/>
  <c r="AI52" i="1"/>
  <c r="AI48" i="1"/>
  <c r="AI44" i="1"/>
  <c r="AI117" i="1"/>
  <c r="AI103" i="1"/>
  <c r="AI65" i="1"/>
  <c r="AI62" i="1"/>
  <c r="AI51" i="1"/>
  <c r="AI49" i="1"/>
  <c r="AI46" i="1"/>
  <c r="AI64" i="1"/>
  <c r="AI47" i="1"/>
  <c r="AI45" i="1"/>
  <c r="AI42" i="1"/>
  <c r="AI71" i="1"/>
  <c r="AI43" i="1"/>
  <c r="AJ41" i="1"/>
  <c r="AI100" i="1"/>
  <c r="AI50" i="1"/>
  <c r="AI66" i="1"/>
  <c r="AI53" i="1"/>
  <c r="AU51" i="16" l="1"/>
  <c r="AU31" i="16" s="1"/>
  <c r="AV4" i="16"/>
  <c r="AV59" i="16" s="1"/>
  <c r="AW3" i="16"/>
  <c r="AJ97" i="1"/>
  <c r="AJ72" i="1"/>
  <c r="AJ141" i="1"/>
  <c r="AI143" i="1"/>
  <c r="AI144" i="1"/>
  <c r="S170" i="1"/>
  <c r="AJ136" i="1"/>
  <c r="AJ149" i="1"/>
  <c r="AJ138" i="1"/>
  <c r="AJ137" i="1"/>
  <c r="AJ150" i="1"/>
  <c r="AJ127" i="1"/>
  <c r="AJ146" i="1"/>
  <c r="AJ128" i="1"/>
  <c r="AJ118" i="1"/>
  <c r="AJ107" i="1"/>
  <c r="AJ106" i="1"/>
  <c r="AJ103" i="1"/>
  <c r="AJ101" i="1"/>
  <c r="AJ100" i="1"/>
  <c r="AJ126" i="1"/>
  <c r="AJ122" i="1"/>
  <c r="AJ145" i="1"/>
  <c r="AJ142" i="1"/>
  <c r="AJ125" i="1"/>
  <c r="AJ121" i="1"/>
  <c r="AJ129" i="1"/>
  <c r="AJ124" i="1"/>
  <c r="AJ120" i="1"/>
  <c r="AJ117" i="1"/>
  <c r="AJ115" i="1"/>
  <c r="AJ96" i="1"/>
  <c r="AJ95" i="1"/>
  <c r="AJ94" i="1"/>
  <c r="AJ71" i="1"/>
  <c r="AJ70" i="1"/>
  <c r="AJ116" i="1"/>
  <c r="AJ114" i="1"/>
  <c r="AJ108" i="1"/>
  <c r="AJ104" i="1"/>
  <c r="AJ92" i="1"/>
  <c r="AJ91" i="1"/>
  <c r="AJ123" i="1"/>
  <c r="AJ119" i="1"/>
  <c r="AJ110" i="1"/>
  <c r="AJ135" i="1"/>
  <c r="AJ102" i="1"/>
  <c r="AJ69" i="1"/>
  <c r="AJ53" i="1"/>
  <c r="AJ49" i="1"/>
  <c r="AJ45" i="1"/>
  <c r="AJ109" i="1"/>
  <c r="AJ93" i="1"/>
  <c r="AJ87" i="1"/>
  <c r="AJ85" i="1"/>
  <c r="AJ83" i="1"/>
  <c r="AJ81" i="1"/>
  <c r="AJ79" i="1"/>
  <c r="AJ76" i="1"/>
  <c r="AJ64" i="1"/>
  <c r="AJ47" i="1"/>
  <c r="AJ44" i="1"/>
  <c r="AJ42" i="1"/>
  <c r="AJ68" i="1"/>
  <c r="AJ43" i="1"/>
  <c r="AK41" i="1"/>
  <c r="AJ105" i="1"/>
  <c r="AJ84" i="1"/>
  <c r="AJ82" i="1"/>
  <c r="AJ80" i="1"/>
  <c r="AJ78" i="1"/>
  <c r="AJ66" i="1"/>
  <c r="AJ52" i="1"/>
  <c r="AJ50" i="1"/>
  <c r="AJ86" i="1"/>
  <c r="AJ77" i="1"/>
  <c r="AJ63" i="1"/>
  <c r="AJ51" i="1"/>
  <c r="AJ48" i="1"/>
  <c r="AJ65" i="1"/>
  <c r="AJ62" i="1"/>
  <c r="AJ46" i="1"/>
  <c r="AV51" i="16" l="1"/>
  <c r="AV31" i="16" s="1"/>
  <c r="AW4" i="16"/>
  <c r="AW59" i="16" s="1"/>
  <c r="AX3" i="16"/>
  <c r="AK97" i="1"/>
  <c r="AK72" i="1"/>
  <c r="AK141" i="1"/>
  <c r="S173" i="1"/>
  <c r="T168" i="1" s="1"/>
  <c r="S175" i="1"/>
  <c r="AJ143" i="1"/>
  <c r="AJ144" i="1"/>
  <c r="T167" i="1"/>
  <c r="AK150" i="1"/>
  <c r="AK149" i="1"/>
  <c r="AK142" i="1"/>
  <c r="AK129" i="1"/>
  <c r="AK128" i="1"/>
  <c r="AK145" i="1"/>
  <c r="AK138" i="1"/>
  <c r="AK146" i="1"/>
  <c r="AK137" i="1"/>
  <c r="AK117" i="1"/>
  <c r="AK108" i="1"/>
  <c r="AK94" i="1"/>
  <c r="AK125" i="1"/>
  <c r="AK121" i="1"/>
  <c r="AK118" i="1"/>
  <c r="AK127" i="1"/>
  <c r="AK124" i="1"/>
  <c r="AK120" i="1"/>
  <c r="AK135" i="1"/>
  <c r="AK123" i="1"/>
  <c r="AK119" i="1"/>
  <c r="AK114" i="1"/>
  <c r="AK110" i="1"/>
  <c r="AK103" i="1"/>
  <c r="AK92" i="1"/>
  <c r="AK101" i="1"/>
  <c r="AK126" i="1"/>
  <c r="AK122" i="1"/>
  <c r="AK106" i="1"/>
  <c r="AK102" i="1"/>
  <c r="AK115" i="1"/>
  <c r="AK109" i="1"/>
  <c r="AK105" i="1"/>
  <c r="AK100" i="1"/>
  <c r="AK96" i="1"/>
  <c r="AK93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62" i="1"/>
  <c r="AK50" i="1"/>
  <c r="AK46" i="1"/>
  <c r="AK42" i="1"/>
  <c r="AK136" i="1"/>
  <c r="AK68" i="1"/>
  <c r="AK45" i="1"/>
  <c r="AK43" i="1"/>
  <c r="AL41" i="1"/>
  <c r="AK95" i="1"/>
  <c r="AK71" i="1"/>
  <c r="AK70" i="1"/>
  <c r="AK66" i="1"/>
  <c r="AK52" i="1"/>
  <c r="AK116" i="1"/>
  <c r="AK91" i="1"/>
  <c r="AK65" i="1"/>
  <c r="AK63" i="1"/>
  <c r="AK53" i="1"/>
  <c r="AK51" i="1"/>
  <c r="AK48" i="1"/>
  <c r="AK107" i="1"/>
  <c r="AK104" i="1"/>
  <c r="AK64" i="1"/>
  <c r="AK47" i="1"/>
  <c r="AK44" i="1"/>
  <c r="AK69" i="1"/>
  <c r="AK49" i="1"/>
  <c r="AW51" i="16" l="1"/>
  <c r="AW31" i="16" s="1"/>
  <c r="AY3" i="16"/>
  <c r="AX4" i="16"/>
  <c r="AX59" i="16" s="1"/>
  <c r="AL97" i="1"/>
  <c r="AL72" i="1"/>
  <c r="AL141" i="1"/>
  <c r="T154" i="1"/>
  <c r="T159" i="1" s="1"/>
  <c r="AK144" i="1"/>
  <c r="AK143" i="1"/>
  <c r="AL146" i="1"/>
  <c r="AL137" i="1"/>
  <c r="AL150" i="1"/>
  <c r="AL128" i="1"/>
  <c r="AL149" i="1"/>
  <c r="AL145" i="1"/>
  <c r="AL142" i="1"/>
  <c r="AL136" i="1"/>
  <c r="AL135" i="1"/>
  <c r="AL116" i="1"/>
  <c r="AL110" i="1"/>
  <c r="AL109" i="1"/>
  <c r="AL104" i="1"/>
  <c r="AL102" i="1"/>
  <c r="AL95" i="1"/>
  <c r="AL127" i="1"/>
  <c r="AL124" i="1"/>
  <c r="AL120" i="1"/>
  <c r="AL129" i="1"/>
  <c r="AL123" i="1"/>
  <c r="AL138" i="1"/>
  <c r="AL126" i="1"/>
  <c r="AL122" i="1"/>
  <c r="AL106" i="1"/>
  <c r="AL105" i="1"/>
  <c r="AL101" i="1"/>
  <c r="AL93" i="1"/>
  <c r="AL119" i="1"/>
  <c r="AL94" i="1"/>
  <c r="AL125" i="1"/>
  <c r="AL121" i="1"/>
  <c r="AL115" i="1"/>
  <c r="AL100" i="1"/>
  <c r="AL96" i="1"/>
  <c r="AL87" i="1"/>
  <c r="AL86" i="1"/>
  <c r="AL85" i="1"/>
  <c r="AL84" i="1"/>
  <c r="AL83" i="1"/>
  <c r="AL82" i="1"/>
  <c r="AL81" i="1"/>
  <c r="AL80" i="1"/>
  <c r="AL79" i="1"/>
  <c r="AL78" i="1"/>
  <c r="AL117" i="1"/>
  <c r="AL107" i="1"/>
  <c r="AL103" i="1"/>
  <c r="AL91" i="1"/>
  <c r="AL71" i="1"/>
  <c r="AL66" i="1"/>
  <c r="AL65" i="1"/>
  <c r="AL64" i="1"/>
  <c r="AL51" i="1"/>
  <c r="AL47" i="1"/>
  <c r="AL43" i="1"/>
  <c r="AL114" i="1"/>
  <c r="AL70" i="1"/>
  <c r="AL52" i="1"/>
  <c r="AL108" i="1"/>
  <c r="AL92" i="1"/>
  <c r="AL63" i="1"/>
  <c r="AL53" i="1"/>
  <c r="AL50" i="1"/>
  <c r="AL48" i="1"/>
  <c r="AL118" i="1"/>
  <c r="AL77" i="1"/>
  <c r="AL69" i="1"/>
  <c r="AL62" i="1"/>
  <c r="AL49" i="1"/>
  <c r="AL46" i="1"/>
  <c r="AL44" i="1"/>
  <c r="AL76" i="1"/>
  <c r="AL68" i="1"/>
  <c r="AL42" i="1"/>
  <c r="AL45" i="1"/>
  <c r="AM41" i="1"/>
  <c r="AX51" i="16" l="1"/>
  <c r="AX31" i="16" s="1"/>
  <c r="AY4" i="16"/>
  <c r="AY59" i="16" s="1"/>
  <c r="AZ3" i="16"/>
  <c r="AM97" i="1"/>
  <c r="AM72" i="1"/>
  <c r="AM141" i="1"/>
  <c r="T160" i="1"/>
  <c r="T169" i="1"/>
  <c r="T170" i="1" s="1"/>
  <c r="AL144" i="1"/>
  <c r="AL143" i="1"/>
  <c r="AM146" i="1"/>
  <c r="AM145" i="1"/>
  <c r="AM150" i="1"/>
  <c r="AM138" i="1"/>
  <c r="AM135" i="1"/>
  <c r="AM142" i="1"/>
  <c r="AM149" i="1"/>
  <c r="AM137" i="1"/>
  <c r="AM136" i="1"/>
  <c r="AM129" i="1"/>
  <c r="AM127" i="1"/>
  <c r="AM126" i="1"/>
  <c r="AM125" i="1"/>
  <c r="AM124" i="1"/>
  <c r="AM123" i="1"/>
  <c r="AM122" i="1"/>
  <c r="AM121" i="1"/>
  <c r="AM120" i="1"/>
  <c r="AM119" i="1"/>
  <c r="AM115" i="1"/>
  <c r="AM114" i="1"/>
  <c r="AM105" i="1"/>
  <c r="AM96" i="1"/>
  <c r="AM117" i="1"/>
  <c r="AM128" i="1"/>
  <c r="AM118" i="1"/>
  <c r="AM116" i="1"/>
  <c r="AM109" i="1"/>
  <c r="AM108" i="1"/>
  <c r="AM104" i="1"/>
  <c r="AM100" i="1"/>
  <c r="AM91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69" i="1"/>
  <c r="AM110" i="1"/>
  <c r="AM106" i="1"/>
  <c r="AM102" i="1"/>
  <c r="AM107" i="1"/>
  <c r="AM103" i="1"/>
  <c r="AM93" i="1"/>
  <c r="AM95" i="1"/>
  <c r="AM92" i="1"/>
  <c r="AM68" i="1"/>
  <c r="AM63" i="1"/>
  <c r="AM52" i="1"/>
  <c r="AM48" i="1"/>
  <c r="AM44" i="1"/>
  <c r="AM71" i="1"/>
  <c r="AM66" i="1"/>
  <c r="AM53" i="1"/>
  <c r="AM50" i="1"/>
  <c r="AM101" i="1"/>
  <c r="AM65" i="1"/>
  <c r="AM62" i="1"/>
  <c r="AM51" i="1"/>
  <c r="AM49" i="1"/>
  <c r="AM46" i="1"/>
  <c r="AM94" i="1"/>
  <c r="AM64" i="1"/>
  <c r="AM47" i="1"/>
  <c r="AM45" i="1"/>
  <c r="AM42" i="1"/>
  <c r="AN41" i="1"/>
  <c r="AM43" i="1"/>
  <c r="AM70" i="1"/>
  <c r="AY51" i="16" l="1"/>
  <c r="AY31" i="16" s="1"/>
  <c r="AZ4" i="16"/>
  <c r="AZ59" i="16" s="1"/>
  <c r="BA3" i="16"/>
  <c r="AN97" i="1"/>
  <c r="AN72" i="1"/>
  <c r="AN141" i="1"/>
  <c r="AN151" i="1"/>
  <c r="T162" i="1"/>
  <c r="U158" i="1" s="1"/>
  <c r="T164" i="1"/>
  <c r="T178" i="1" s="1"/>
  <c r="U167" i="1"/>
  <c r="T175" i="1"/>
  <c r="AM143" i="1"/>
  <c r="AM144" i="1"/>
  <c r="T173" i="1"/>
  <c r="U168" i="1" s="1"/>
  <c r="AN149" i="1"/>
  <c r="AN145" i="1"/>
  <c r="AN136" i="1"/>
  <c r="AN146" i="1"/>
  <c r="AN137" i="1"/>
  <c r="AN142" i="1"/>
  <c r="AN135" i="1"/>
  <c r="AN129" i="1"/>
  <c r="AN127" i="1"/>
  <c r="AN138" i="1"/>
  <c r="AN118" i="1"/>
  <c r="AN107" i="1"/>
  <c r="AN106" i="1"/>
  <c r="AN103" i="1"/>
  <c r="AN101" i="1"/>
  <c r="AN100" i="1"/>
  <c r="AN93" i="1"/>
  <c r="AN128" i="1"/>
  <c r="AN123" i="1"/>
  <c r="AN119" i="1"/>
  <c r="AN126" i="1"/>
  <c r="AN122" i="1"/>
  <c r="AN150" i="1"/>
  <c r="AN125" i="1"/>
  <c r="AN121" i="1"/>
  <c r="AN102" i="1"/>
  <c r="AN71" i="1"/>
  <c r="AN70" i="1"/>
  <c r="AN115" i="1"/>
  <c r="AN96" i="1"/>
  <c r="AN87" i="1"/>
  <c r="AN86" i="1"/>
  <c r="AN124" i="1"/>
  <c r="AN120" i="1"/>
  <c r="AN117" i="1"/>
  <c r="AN109" i="1"/>
  <c r="AN105" i="1"/>
  <c r="AN95" i="1"/>
  <c r="AN92" i="1"/>
  <c r="AN91" i="1"/>
  <c r="AN116" i="1"/>
  <c r="AN114" i="1"/>
  <c r="AN108" i="1"/>
  <c r="AN104" i="1"/>
  <c r="AN94" i="1"/>
  <c r="AN53" i="1"/>
  <c r="AN49" i="1"/>
  <c r="AN45" i="1"/>
  <c r="AN65" i="1"/>
  <c r="AN63" i="1"/>
  <c r="AN62" i="1"/>
  <c r="AN51" i="1"/>
  <c r="AN48" i="1"/>
  <c r="AN46" i="1"/>
  <c r="AN84" i="1"/>
  <c r="AN82" i="1"/>
  <c r="AN80" i="1"/>
  <c r="AN78" i="1"/>
  <c r="AN77" i="1"/>
  <c r="AN69" i="1"/>
  <c r="AN64" i="1"/>
  <c r="AN47" i="1"/>
  <c r="AN44" i="1"/>
  <c r="AN42" i="1"/>
  <c r="AO41" i="1"/>
  <c r="AN110" i="1"/>
  <c r="AN76" i="1"/>
  <c r="AN68" i="1"/>
  <c r="AN43" i="1"/>
  <c r="AN85" i="1"/>
  <c r="AN83" i="1"/>
  <c r="AN81" i="1"/>
  <c r="AN79" i="1"/>
  <c r="AN50" i="1"/>
  <c r="AN66" i="1"/>
  <c r="AN52" i="1"/>
  <c r="AZ51" i="16" l="1"/>
  <c r="AZ31" i="16" s="1"/>
  <c r="BB3" i="16"/>
  <c r="BA4" i="16"/>
  <c r="BA59" i="16" s="1"/>
  <c r="AO97" i="1"/>
  <c r="AO72" i="1"/>
  <c r="AO141" i="1"/>
  <c r="U154" i="1"/>
  <c r="U159" i="1" s="1"/>
  <c r="AN143" i="1"/>
  <c r="AN144" i="1"/>
  <c r="AO150" i="1"/>
  <c r="AO149" i="1"/>
  <c r="AO142" i="1"/>
  <c r="AO129" i="1"/>
  <c r="AO128" i="1"/>
  <c r="AO146" i="1"/>
  <c r="AO138" i="1"/>
  <c r="AO137" i="1"/>
  <c r="AO136" i="1"/>
  <c r="AO145" i="1"/>
  <c r="AO117" i="1"/>
  <c r="AO108" i="1"/>
  <c r="AO94" i="1"/>
  <c r="AO126" i="1"/>
  <c r="AO122" i="1"/>
  <c r="AO135" i="1"/>
  <c r="AO125" i="1"/>
  <c r="AO121" i="1"/>
  <c r="AO124" i="1"/>
  <c r="AO120" i="1"/>
  <c r="AO115" i="1"/>
  <c r="AO107" i="1"/>
  <c r="AO96" i="1"/>
  <c r="AO95" i="1"/>
  <c r="AO92" i="1"/>
  <c r="AO123" i="1"/>
  <c r="AO109" i="1"/>
  <c r="AO105" i="1"/>
  <c r="AO103" i="1"/>
  <c r="AO100" i="1"/>
  <c r="AO93" i="1"/>
  <c r="AO91" i="1"/>
  <c r="AO116" i="1"/>
  <c r="AO114" i="1"/>
  <c r="AO104" i="1"/>
  <c r="AO127" i="1"/>
  <c r="AO118" i="1"/>
  <c r="AO110" i="1"/>
  <c r="AO101" i="1"/>
  <c r="AO70" i="1"/>
  <c r="AO69" i="1"/>
  <c r="AO62" i="1"/>
  <c r="AO50" i="1"/>
  <c r="AO46" i="1"/>
  <c r="AO42" i="1"/>
  <c r="AO119" i="1"/>
  <c r="AO102" i="1"/>
  <c r="AO84" i="1"/>
  <c r="AO82" i="1"/>
  <c r="AO80" i="1"/>
  <c r="AO78" i="1"/>
  <c r="AO77" i="1"/>
  <c r="AO64" i="1"/>
  <c r="AO49" i="1"/>
  <c r="AO47" i="1"/>
  <c r="AO44" i="1"/>
  <c r="AP41" i="1"/>
  <c r="AO106" i="1"/>
  <c r="AO76" i="1"/>
  <c r="AO68" i="1"/>
  <c r="AO45" i="1"/>
  <c r="AO43" i="1"/>
  <c r="AO86" i="1"/>
  <c r="AO85" i="1"/>
  <c r="AO83" i="1"/>
  <c r="AO81" i="1"/>
  <c r="AO79" i="1"/>
  <c r="AO66" i="1"/>
  <c r="AO52" i="1"/>
  <c r="AO87" i="1"/>
  <c r="AO71" i="1"/>
  <c r="AO63" i="1"/>
  <c r="AO51" i="1"/>
  <c r="AO48" i="1"/>
  <c r="AO65" i="1"/>
  <c r="AO53" i="1"/>
  <c r="BA51" i="16" l="1"/>
  <c r="BA31" i="16" s="1"/>
  <c r="BC3" i="16"/>
  <c r="BB4" i="16"/>
  <c r="BB59" i="16" s="1"/>
  <c r="AP97" i="1"/>
  <c r="AP72" i="1"/>
  <c r="AP141" i="1"/>
  <c r="U160" i="1"/>
  <c r="AO144" i="1"/>
  <c r="AO143" i="1"/>
  <c r="AP137" i="1"/>
  <c r="AP149" i="1"/>
  <c r="AP145" i="1"/>
  <c r="AP142" i="1"/>
  <c r="AP138" i="1"/>
  <c r="AP150" i="1"/>
  <c r="AP128" i="1"/>
  <c r="AP116" i="1"/>
  <c r="AP110" i="1"/>
  <c r="AP109" i="1"/>
  <c r="AP104" i="1"/>
  <c r="AP102" i="1"/>
  <c r="AP95" i="1"/>
  <c r="AP135" i="1"/>
  <c r="AP129" i="1"/>
  <c r="AP125" i="1"/>
  <c r="AP121" i="1"/>
  <c r="AP118" i="1"/>
  <c r="AP124" i="1"/>
  <c r="AP120" i="1"/>
  <c r="AP146" i="1"/>
  <c r="AP136" i="1"/>
  <c r="AP127" i="1"/>
  <c r="AP123" i="1"/>
  <c r="AP119" i="1"/>
  <c r="AP117" i="1"/>
  <c r="AP114" i="1"/>
  <c r="AP103" i="1"/>
  <c r="AP94" i="1"/>
  <c r="AP126" i="1"/>
  <c r="AP122" i="1"/>
  <c r="AP107" i="1"/>
  <c r="AP92" i="1"/>
  <c r="AP108" i="1"/>
  <c r="AP101" i="1"/>
  <c r="AP106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66" i="1"/>
  <c r="AP65" i="1"/>
  <c r="AP64" i="1"/>
  <c r="AP51" i="1"/>
  <c r="AP47" i="1"/>
  <c r="AP43" i="1"/>
  <c r="AP96" i="1"/>
  <c r="AP69" i="1"/>
  <c r="AP68" i="1"/>
  <c r="AP45" i="1"/>
  <c r="AP42" i="1"/>
  <c r="AP105" i="1"/>
  <c r="AP91" i="1"/>
  <c r="AP52" i="1"/>
  <c r="AP115" i="1"/>
  <c r="AP100" i="1"/>
  <c r="AP71" i="1"/>
  <c r="AP70" i="1"/>
  <c r="AP63" i="1"/>
  <c r="AP53" i="1"/>
  <c r="AP50" i="1"/>
  <c r="AP48" i="1"/>
  <c r="AP93" i="1"/>
  <c r="AP44" i="1"/>
  <c r="AP62" i="1"/>
  <c r="AP49" i="1"/>
  <c r="AP46" i="1"/>
  <c r="AQ41" i="1"/>
  <c r="BB51" i="16" l="1"/>
  <c r="BB31" i="16" s="1"/>
  <c r="BC4" i="16"/>
  <c r="BC59" i="16" s="1"/>
  <c r="BD3" i="16"/>
  <c r="AQ97" i="1"/>
  <c r="AQ72" i="1"/>
  <c r="AQ141" i="1"/>
  <c r="U164" i="1"/>
  <c r="U178" i="1" s="1"/>
  <c r="U162" i="1"/>
  <c r="V158" i="1" s="1"/>
  <c r="U169" i="1"/>
  <c r="U170" i="1" s="1"/>
  <c r="U175" i="1" s="1"/>
  <c r="AP144" i="1"/>
  <c r="AP143" i="1"/>
  <c r="AO154" i="1"/>
  <c r="AO159" i="1" s="1"/>
  <c r="AQ146" i="1"/>
  <c r="AQ145" i="1"/>
  <c r="AQ138" i="1"/>
  <c r="AQ135" i="1"/>
  <c r="AQ149" i="1"/>
  <c r="AQ150" i="1"/>
  <c r="AQ128" i="1"/>
  <c r="AQ136" i="1"/>
  <c r="AQ127" i="1"/>
  <c r="AQ126" i="1"/>
  <c r="AQ125" i="1"/>
  <c r="AQ124" i="1"/>
  <c r="AQ123" i="1"/>
  <c r="AQ122" i="1"/>
  <c r="AQ121" i="1"/>
  <c r="AQ120" i="1"/>
  <c r="AQ119" i="1"/>
  <c r="AQ115" i="1"/>
  <c r="AQ114" i="1"/>
  <c r="AQ105" i="1"/>
  <c r="AQ96" i="1"/>
  <c r="AQ142" i="1"/>
  <c r="AQ137" i="1"/>
  <c r="AQ110" i="1"/>
  <c r="AQ106" i="1"/>
  <c r="AQ101" i="1"/>
  <c r="AQ93" i="1"/>
  <c r="AQ91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69" i="1"/>
  <c r="AQ117" i="1"/>
  <c r="AQ116" i="1"/>
  <c r="AQ108" i="1"/>
  <c r="AQ104" i="1"/>
  <c r="AQ95" i="1"/>
  <c r="AQ129" i="1"/>
  <c r="AQ118" i="1"/>
  <c r="AQ94" i="1"/>
  <c r="AQ102" i="1"/>
  <c r="AQ100" i="1"/>
  <c r="AQ71" i="1"/>
  <c r="AQ68" i="1"/>
  <c r="AQ63" i="1"/>
  <c r="AQ52" i="1"/>
  <c r="AQ48" i="1"/>
  <c r="AQ44" i="1"/>
  <c r="AQ92" i="1"/>
  <c r="AQ43" i="1"/>
  <c r="AQ70" i="1"/>
  <c r="AQ66" i="1"/>
  <c r="AQ53" i="1"/>
  <c r="AQ50" i="1"/>
  <c r="AQ107" i="1"/>
  <c r="AQ65" i="1"/>
  <c r="AQ62" i="1"/>
  <c r="AQ51" i="1"/>
  <c r="AQ49" i="1"/>
  <c r="AQ46" i="1"/>
  <c r="AR41" i="1"/>
  <c r="AQ109" i="1"/>
  <c r="AQ103" i="1"/>
  <c r="AQ45" i="1"/>
  <c r="AQ64" i="1"/>
  <c r="AQ47" i="1"/>
  <c r="AQ42" i="1"/>
  <c r="BC51" i="16" l="1"/>
  <c r="BC31" i="16" s="1"/>
  <c r="BD4" i="16"/>
  <c r="BD59" i="16" s="1"/>
  <c r="BE3" i="16"/>
  <c r="AR97" i="1"/>
  <c r="AR72" i="1"/>
  <c r="AR141" i="1"/>
  <c r="V151" i="1"/>
  <c r="V154" i="1" s="1"/>
  <c r="V159" i="1" s="1"/>
  <c r="V167" i="1"/>
  <c r="U173" i="1"/>
  <c r="V168" i="1" s="1"/>
  <c r="AQ143" i="1"/>
  <c r="AQ144" i="1"/>
  <c r="AP154" i="1"/>
  <c r="AP160" i="1" s="1"/>
  <c r="AR150" i="1"/>
  <c r="AR146" i="1"/>
  <c r="AR136" i="1"/>
  <c r="AR145" i="1"/>
  <c r="AR142" i="1"/>
  <c r="AR138" i="1"/>
  <c r="AR127" i="1"/>
  <c r="AR137" i="1"/>
  <c r="AR135" i="1"/>
  <c r="AR129" i="1"/>
  <c r="AR118" i="1"/>
  <c r="AR107" i="1"/>
  <c r="AR106" i="1"/>
  <c r="AR103" i="1"/>
  <c r="AR101" i="1"/>
  <c r="AR100" i="1"/>
  <c r="AR93" i="1"/>
  <c r="AR124" i="1"/>
  <c r="AR120" i="1"/>
  <c r="AR117" i="1"/>
  <c r="AR149" i="1"/>
  <c r="AR123" i="1"/>
  <c r="AR126" i="1"/>
  <c r="AR122" i="1"/>
  <c r="AR116" i="1"/>
  <c r="AR109" i="1"/>
  <c r="AR108" i="1"/>
  <c r="AR105" i="1"/>
  <c r="AR104" i="1"/>
  <c r="AR71" i="1"/>
  <c r="AR70" i="1"/>
  <c r="AR125" i="1"/>
  <c r="AR121" i="1"/>
  <c r="AR114" i="1"/>
  <c r="AR94" i="1"/>
  <c r="AR110" i="1"/>
  <c r="AR102" i="1"/>
  <c r="AR87" i="1"/>
  <c r="AR86" i="1"/>
  <c r="AR85" i="1"/>
  <c r="AR84" i="1"/>
  <c r="AR83" i="1"/>
  <c r="AR82" i="1"/>
  <c r="AR81" i="1"/>
  <c r="AR80" i="1"/>
  <c r="AR79" i="1"/>
  <c r="AR78" i="1"/>
  <c r="AR119" i="1"/>
  <c r="AR115" i="1"/>
  <c r="AR96" i="1"/>
  <c r="AR92" i="1"/>
  <c r="AR91" i="1"/>
  <c r="AR53" i="1"/>
  <c r="AR49" i="1"/>
  <c r="AR45" i="1"/>
  <c r="AR128" i="1"/>
  <c r="AR95" i="1"/>
  <c r="AR76" i="1"/>
  <c r="AR66" i="1"/>
  <c r="AR52" i="1"/>
  <c r="AR50" i="1"/>
  <c r="AR65" i="1"/>
  <c r="AR63" i="1"/>
  <c r="AR62" i="1"/>
  <c r="AR51" i="1"/>
  <c r="AR48" i="1"/>
  <c r="AR46" i="1"/>
  <c r="AS41" i="1"/>
  <c r="AR64" i="1"/>
  <c r="AR47" i="1"/>
  <c r="AR44" i="1"/>
  <c r="AR42" i="1"/>
  <c r="AR77" i="1"/>
  <c r="AR69" i="1"/>
  <c r="AR68" i="1"/>
  <c r="AR43" i="1"/>
  <c r="BD51" i="16" l="1"/>
  <c r="BD31" i="16" s="1"/>
  <c r="BE4" i="16"/>
  <c r="BE59" i="16" s="1"/>
  <c r="BF3" i="16"/>
  <c r="AS97" i="1"/>
  <c r="AS72" i="1"/>
  <c r="AS141" i="1"/>
  <c r="V169" i="1"/>
  <c r="V170" i="1" s="1"/>
  <c r="V160" i="1"/>
  <c r="AR143" i="1"/>
  <c r="AR144" i="1"/>
  <c r="AS150" i="1"/>
  <c r="AS149" i="1"/>
  <c r="AS145" i="1"/>
  <c r="AS142" i="1"/>
  <c r="AS129" i="1"/>
  <c r="AS128" i="1"/>
  <c r="AS137" i="1"/>
  <c r="AS136" i="1"/>
  <c r="AS135" i="1"/>
  <c r="AS146" i="1"/>
  <c r="AS117" i="1"/>
  <c r="AS108" i="1"/>
  <c r="AS94" i="1"/>
  <c r="AS123" i="1"/>
  <c r="AS119" i="1"/>
  <c r="AS138" i="1"/>
  <c r="AS127" i="1"/>
  <c r="AS126" i="1"/>
  <c r="AS122" i="1"/>
  <c r="AS125" i="1"/>
  <c r="AS121" i="1"/>
  <c r="AS118" i="1"/>
  <c r="AS102" i="1"/>
  <c r="AS100" i="1"/>
  <c r="AS92" i="1"/>
  <c r="AS124" i="1"/>
  <c r="AS120" i="1"/>
  <c r="AS110" i="1"/>
  <c r="AS101" i="1"/>
  <c r="AS87" i="1"/>
  <c r="AS86" i="1"/>
  <c r="AS115" i="1"/>
  <c r="AS106" i="1"/>
  <c r="AS96" i="1"/>
  <c r="AS91" i="1"/>
  <c r="AS109" i="1"/>
  <c r="AS107" i="1"/>
  <c r="AS105" i="1"/>
  <c r="AS103" i="1"/>
  <c r="AS95" i="1"/>
  <c r="AS93" i="1"/>
  <c r="AS62" i="1"/>
  <c r="AS50" i="1"/>
  <c r="AS46" i="1"/>
  <c r="AS42" i="1"/>
  <c r="AS70" i="1"/>
  <c r="AS65" i="1"/>
  <c r="AS63" i="1"/>
  <c r="AS53" i="1"/>
  <c r="AS51" i="1"/>
  <c r="AS48" i="1"/>
  <c r="AT41" i="1"/>
  <c r="AS116" i="1"/>
  <c r="AS85" i="1"/>
  <c r="AS83" i="1"/>
  <c r="AS81" i="1"/>
  <c r="AS79" i="1"/>
  <c r="AS71" i="1"/>
  <c r="AS64" i="1"/>
  <c r="AS49" i="1"/>
  <c r="AS47" i="1"/>
  <c r="AS44" i="1"/>
  <c r="AS104" i="1"/>
  <c r="AS77" i="1"/>
  <c r="AS69" i="1"/>
  <c r="AS68" i="1"/>
  <c r="AS45" i="1"/>
  <c r="AS43" i="1"/>
  <c r="AS114" i="1"/>
  <c r="AS84" i="1"/>
  <c r="AS82" i="1"/>
  <c r="AS80" i="1"/>
  <c r="AS78" i="1"/>
  <c r="AS76" i="1"/>
  <c r="AS66" i="1"/>
  <c r="AS52" i="1"/>
  <c r="BE51" i="16" l="1"/>
  <c r="BE31" i="16" s="1"/>
  <c r="BF4" i="16"/>
  <c r="BF59" i="16" s="1"/>
  <c r="BG3" i="16"/>
  <c r="AT97" i="1"/>
  <c r="AT72" i="1"/>
  <c r="AT141" i="1"/>
  <c r="V175" i="1"/>
  <c r="W151" i="1" s="1"/>
  <c r="V173" i="1"/>
  <c r="W168" i="1" s="1"/>
  <c r="W167" i="1"/>
  <c r="V164" i="1"/>
  <c r="V178" i="1" s="1"/>
  <c r="V162" i="1"/>
  <c r="W158" i="1" s="1"/>
  <c r="AS144" i="1"/>
  <c r="AS143" i="1"/>
  <c r="AR154" i="1"/>
  <c r="AT149" i="1"/>
  <c r="AT137" i="1"/>
  <c r="AT150" i="1"/>
  <c r="AT138" i="1"/>
  <c r="AT136" i="1"/>
  <c r="AT146" i="1"/>
  <c r="AT129" i="1"/>
  <c r="AT142" i="1"/>
  <c r="AT116" i="1"/>
  <c r="AT110" i="1"/>
  <c r="AT109" i="1"/>
  <c r="AT104" i="1"/>
  <c r="AT102" i="1"/>
  <c r="AT95" i="1"/>
  <c r="AT145" i="1"/>
  <c r="AT127" i="1"/>
  <c r="AT126" i="1"/>
  <c r="AT122" i="1"/>
  <c r="AT125" i="1"/>
  <c r="AT121" i="1"/>
  <c r="AT128" i="1"/>
  <c r="AT124" i="1"/>
  <c r="AT120" i="1"/>
  <c r="AT115" i="1"/>
  <c r="AT107" i="1"/>
  <c r="AT96" i="1"/>
  <c r="AT118" i="1"/>
  <c r="AT106" i="1"/>
  <c r="AT91" i="1"/>
  <c r="AT135" i="1"/>
  <c r="AT119" i="1"/>
  <c r="AT105" i="1"/>
  <c r="AT103" i="1"/>
  <c r="AT100" i="1"/>
  <c r="AT93" i="1"/>
  <c r="AT92" i="1"/>
  <c r="AT114" i="1"/>
  <c r="AT70" i="1"/>
  <c r="AT69" i="1"/>
  <c r="AT66" i="1"/>
  <c r="AT65" i="1"/>
  <c r="AT64" i="1"/>
  <c r="AT51" i="1"/>
  <c r="AT47" i="1"/>
  <c r="AT43" i="1"/>
  <c r="AT108" i="1"/>
  <c r="AT101" i="1"/>
  <c r="AT85" i="1"/>
  <c r="AT83" i="1"/>
  <c r="AT81" i="1"/>
  <c r="AT79" i="1"/>
  <c r="AT71" i="1"/>
  <c r="AT62" i="1"/>
  <c r="AT49" i="1"/>
  <c r="AT46" i="1"/>
  <c r="AT44" i="1"/>
  <c r="AT94" i="1"/>
  <c r="AT86" i="1"/>
  <c r="AT77" i="1"/>
  <c r="AT68" i="1"/>
  <c r="AT45" i="1"/>
  <c r="AT42" i="1"/>
  <c r="AT123" i="1"/>
  <c r="AT87" i="1"/>
  <c r="AT84" i="1"/>
  <c r="AT82" i="1"/>
  <c r="AT80" i="1"/>
  <c r="AT78" i="1"/>
  <c r="AT76" i="1"/>
  <c r="AT52" i="1"/>
  <c r="AT117" i="1"/>
  <c r="AT63" i="1"/>
  <c r="AT48" i="1"/>
  <c r="AT53" i="1"/>
  <c r="AT50" i="1"/>
  <c r="AU41" i="1"/>
  <c r="BF51" i="16" l="1"/>
  <c r="BF31" i="16" s="1"/>
  <c r="BG4" i="16"/>
  <c r="BG59" i="16" s="1"/>
  <c r="BH3" i="16"/>
  <c r="AU97" i="1"/>
  <c r="AW97" i="1" s="1"/>
  <c r="AU72" i="1"/>
  <c r="AU141" i="1"/>
  <c r="W154" i="1"/>
  <c r="W159" i="1" s="1"/>
  <c r="AV97" i="1"/>
  <c r="AT144" i="1"/>
  <c r="AT143" i="1"/>
  <c r="AS154" i="1"/>
  <c r="AU146" i="1"/>
  <c r="AU145" i="1"/>
  <c r="AU138" i="1"/>
  <c r="AU135" i="1"/>
  <c r="AU137" i="1"/>
  <c r="AU150" i="1"/>
  <c r="AU142" i="1"/>
  <c r="AU149" i="1"/>
  <c r="AU128" i="1"/>
  <c r="AU127" i="1"/>
  <c r="AU126" i="1"/>
  <c r="AU125" i="1"/>
  <c r="AU124" i="1"/>
  <c r="AU123" i="1"/>
  <c r="AU122" i="1"/>
  <c r="AU121" i="1"/>
  <c r="AU120" i="1"/>
  <c r="AU119" i="1"/>
  <c r="AU115" i="1"/>
  <c r="AU114" i="1"/>
  <c r="AU105" i="1"/>
  <c r="AU96" i="1"/>
  <c r="AU118" i="1"/>
  <c r="AU136" i="1"/>
  <c r="AU129" i="1"/>
  <c r="AU117" i="1"/>
  <c r="AU103" i="1"/>
  <c r="AU95" i="1"/>
  <c r="AU94" i="1"/>
  <c r="AU91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69" i="1"/>
  <c r="AU102" i="1"/>
  <c r="AU100" i="1"/>
  <c r="AU93" i="1"/>
  <c r="AU92" i="1"/>
  <c r="AU109" i="1"/>
  <c r="AU107" i="1"/>
  <c r="AU116" i="1"/>
  <c r="AU108" i="1"/>
  <c r="AU104" i="1"/>
  <c r="AU101" i="1"/>
  <c r="AU68" i="1"/>
  <c r="AU63" i="1"/>
  <c r="AU52" i="1"/>
  <c r="AU48" i="1"/>
  <c r="AU44" i="1"/>
  <c r="AU106" i="1"/>
  <c r="AU64" i="1"/>
  <c r="AU47" i="1"/>
  <c r="AU45" i="1"/>
  <c r="AU42" i="1"/>
  <c r="AU110" i="1"/>
  <c r="AU43" i="1"/>
  <c r="AU66" i="1"/>
  <c r="AU53" i="1"/>
  <c r="AU50" i="1"/>
  <c r="AU71" i="1"/>
  <c r="AU51" i="1"/>
  <c r="AU65" i="1"/>
  <c r="AU62" i="1"/>
  <c r="AU49" i="1"/>
  <c r="AU46" i="1"/>
  <c r="AU70" i="1"/>
  <c r="BG51" i="16" l="1"/>
  <c r="BG31" i="16" s="1"/>
  <c r="BH4" i="16"/>
  <c r="BH59" i="16" s="1"/>
  <c r="BI3" i="16"/>
  <c r="AV72" i="1"/>
  <c r="AW72" i="1"/>
  <c r="W160" i="1"/>
  <c r="AU143" i="1"/>
  <c r="AU144" i="1"/>
  <c r="BH51" i="16" l="1"/>
  <c r="BH31" i="16" s="1"/>
  <c r="BJ3" i="16"/>
  <c r="BI4" i="16"/>
  <c r="BI59" i="16" s="1"/>
  <c r="W162" i="1"/>
  <c r="X158" i="1" s="1"/>
  <c r="W164" i="1"/>
  <c r="W178" i="1" s="1"/>
  <c r="W169" i="1"/>
  <c r="W170" i="1" s="1"/>
  <c r="W175" i="1" s="1"/>
  <c r="AU154" i="1"/>
  <c r="BI51" i="16" l="1"/>
  <c r="BI31" i="16" s="1"/>
  <c r="BK3" i="16"/>
  <c r="BJ4" i="16"/>
  <c r="BJ59" i="16" s="1"/>
  <c r="X154" i="1"/>
  <c r="W173" i="1"/>
  <c r="X168" i="1" s="1"/>
  <c r="X167" i="1"/>
  <c r="BJ51" i="16" l="1"/>
  <c r="BJ31" i="16" s="1"/>
  <c r="BK4" i="16"/>
  <c r="BK59" i="16" s="1"/>
  <c r="BL3" i="16"/>
  <c r="X159" i="1"/>
  <c r="X169" i="1" s="1"/>
  <c r="X170" i="1" s="1"/>
  <c r="X160" i="1"/>
  <c r="BK51" i="16" l="1"/>
  <c r="BK31" i="16" s="1"/>
  <c r="BL4" i="16"/>
  <c r="BL59" i="16" s="1"/>
  <c r="BM3" i="16"/>
  <c r="X164" i="1"/>
  <c r="X178" i="1" s="1"/>
  <c r="X162" i="1"/>
  <c r="Y158" i="1" s="1"/>
  <c r="X175" i="1"/>
  <c r="X173" i="1"/>
  <c r="Y168" i="1" s="1"/>
  <c r="Y167" i="1"/>
  <c r="BM39" i="16" l="1"/>
  <c r="BM42" i="16" s="1"/>
  <c r="BL51" i="16"/>
  <c r="BL31" i="16" s="1"/>
  <c r="BM4" i="16"/>
  <c r="BM50" i="16" s="1"/>
  <c r="BN3" i="16"/>
  <c r="Y154" i="1"/>
  <c r="Y159" i="1" s="1"/>
  <c r="BN39" i="16" l="1"/>
  <c r="BN42" i="16" s="1"/>
  <c r="BM59" i="16"/>
  <c r="BM58" i="16"/>
  <c r="BM51" i="16"/>
  <c r="BM31" i="16" s="1"/>
  <c r="BN4" i="16"/>
  <c r="BN50" i="16" s="1"/>
  <c r="BO3" i="16"/>
  <c r="Y169" i="1"/>
  <c r="Y170" i="1" s="1"/>
  <c r="Y160" i="1"/>
  <c r="BO39" i="16" l="1"/>
  <c r="BO42" i="16" s="1"/>
  <c r="BN59" i="16"/>
  <c r="BM30" i="16"/>
  <c r="BN51" i="16"/>
  <c r="BN31" i="16" s="1"/>
  <c r="BN58" i="16"/>
  <c r="BO4" i="16"/>
  <c r="BO50" i="16" s="1"/>
  <c r="BP3" i="16"/>
  <c r="Z167" i="1"/>
  <c r="Y173" i="1"/>
  <c r="Z168" i="1" s="1"/>
  <c r="Y175" i="1"/>
  <c r="Y164" i="1"/>
  <c r="Y178" i="1" s="1"/>
  <c r="Y162" i="1"/>
  <c r="Z158" i="1" s="1"/>
  <c r="BP39" i="16" l="1"/>
  <c r="BP42" i="16" s="1"/>
  <c r="BO59" i="16"/>
  <c r="BO58" i="16"/>
  <c r="BO30" i="16"/>
  <c r="BN30" i="16"/>
  <c r="BO51" i="16"/>
  <c r="BO31" i="16" s="1"/>
  <c r="BP4" i="16"/>
  <c r="BP50" i="16" s="1"/>
  <c r="Z151" i="1"/>
  <c r="Z154" i="1" s="1"/>
  <c r="Z159" i="1" s="1"/>
  <c r="BP59" i="16" l="1"/>
  <c r="BP58" i="16"/>
  <c r="BP51" i="16"/>
  <c r="BP31" i="16" s="1"/>
  <c r="Z160" i="1"/>
  <c r="BP30" i="16" l="1"/>
  <c r="Z164" i="1"/>
  <c r="Z178" i="1" s="1"/>
  <c r="Z162" i="1"/>
  <c r="AA158" i="1" s="1"/>
  <c r="Z169" i="1"/>
  <c r="Z170" i="1" s="1"/>
  <c r="Z173" i="1" l="1"/>
  <c r="AA168" i="1" s="1"/>
  <c r="Z175" i="1"/>
  <c r="AA167" i="1"/>
  <c r="AA154" i="1" l="1"/>
  <c r="AA159" i="1" s="1"/>
  <c r="AA160" i="1" l="1"/>
  <c r="AA169" i="1"/>
  <c r="AA170" i="1" s="1"/>
  <c r="AA175" i="1" l="1"/>
  <c r="AB167" i="1"/>
  <c r="AA173" i="1"/>
  <c r="AB168" i="1" s="1"/>
  <c r="AA164" i="1"/>
  <c r="AA178" i="1" s="1"/>
  <c r="AA162" i="1"/>
  <c r="AB158" i="1" s="1"/>
  <c r="AB154" i="1" l="1"/>
  <c r="AB159" i="1" s="1"/>
  <c r="AB169" i="1" l="1"/>
  <c r="AB170" i="1" s="1"/>
  <c r="AB160" i="1"/>
  <c r="AB175" i="1" l="1"/>
  <c r="AB173" i="1"/>
  <c r="AC168" i="1" s="1"/>
  <c r="AC167" i="1"/>
  <c r="AB164" i="1"/>
  <c r="AB178" i="1" s="1"/>
  <c r="AB162" i="1"/>
  <c r="AC158" i="1" s="1"/>
  <c r="AC151" i="1" l="1"/>
  <c r="AC154" i="1" s="1"/>
  <c r="AC159" i="1" s="1"/>
  <c r="AC160" i="1" l="1"/>
  <c r="AC169" i="1" l="1"/>
  <c r="AC170" i="1" s="1"/>
  <c r="AC164" i="1"/>
  <c r="AC178" i="1" s="1"/>
  <c r="AC162" i="1"/>
  <c r="AD158" i="1" s="1"/>
  <c r="AV64" i="1"/>
  <c r="AW64" i="1"/>
  <c r="AV48" i="1"/>
  <c r="AW48" i="1"/>
  <c r="AW65" i="1"/>
  <c r="AV65" i="1"/>
  <c r="AW106" i="1"/>
  <c r="AV106" i="1"/>
  <c r="AV45" i="1"/>
  <c r="AW45" i="1"/>
  <c r="AW42" i="1"/>
  <c r="AV42" i="1"/>
  <c r="AV76" i="1"/>
  <c r="AW76" i="1"/>
  <c r="AV80" i="1"/>
  <c r="AW80" i="1"/>
  <c r="AW84" i="1"/>
  <c r="AV84" i="1"/>
  <c r="AW101" i="1"/>
  <c r="AV101" i="1"/>
  <c r="AW116" i="1"/>
  <c r="AV116" i="1"/>
  <c r="AW105" i="1"/>
  <c r="AV105" i="1"/>
  <c r="AW103" i="1"/>
  <c r="AV103" i="1"/>
  <c r="AV123" i="1"/>
  <c r="AW123" i="1"/>
  <c r="AW127" i="1"/>
  <c r="AV127" i="1"/>
  <c r="AW125" i="1"/>
  <c r="AV125" i="1"/>
  <c r="AW138" i="1"/>
  <c r="AV138" i="1"/>
  <c r="AV146" i="1"/>
  <c r="AW146" i="1"/>
  <c r="AW142" i="1"/>
  <c r="AV142" i="1"/>
  <c r="AW49" i="1"/>
  <c r="AV49" i="1"/>
  <c r="AV51" i="1"/>
  <c r="AW51" i="1"/>
  <c r="AW52" i="1"/>
  <c r="AV52" i="1"/>
  <c r="AW122" i="1"/>
  <c r="AV122" i="1"/>
  <c r="AW68" i="1"/>
  <c r="AV68" i="1"/>
  <c r="AV46" i="1"/>
  <c r="AW46" i="1"/>
  <c r="AW77" i="1"/>
  <c r="AV77" i="1"/>
  <c r="AW81" i="1"/>
  <c r="AV81" i="1"/>
  <c r="AV85" i="1"/>
  <c r="AW85" i="1"/>
  <c r="AW95" i="1"/>
  <c r="AV95" i="1"/>
  <c r="AV93" i="1"/>
  <c r="AW93" i="1"/>
  <c r="AW109" i="1"/>
  <c r="AV109" i="1"/>
  <c r="AW110" i="1"/>
  <c r="AV110" i="1"/>
  <c r="AW135" i="1"/>
  <c r="AV135" i="1"/>
  <c r="AV136" i="1"/>
  <c r="AW136" i="1"/>
  <c r="AW94" i="1"/>
  <c r="AV94" i="1"/>
  <c r="AV141" i="1"/>
  <c r="AW141" i="1"/>
  <c r="AW149" i="1"/>
  <c r="AV149" i="1"/>
  <c r="AV70" i="1"/>
  <c r="AW70" i="1"/>
  <c r="AV44" i="1"/>
  <c r="AW44" i="1"/>
  <c r="AW53" i="1"/>
  <c r="AV53" i="1"/>
  <c r="AW66" i="1"/>
  <c r="AV66" i="1"/>
  <c r="AW126" i="1"/>
  <c r="AV126" i="1"/>
  <c r="AW91" i="1"/>
  <c r="AV91" i="1"/>
  <c r="AW50" i="1"/>
  <c r="AV50" i="1"/>
  <c r="AV78" i="1"/>
  <c r="AW78" i="1"/>
  <c r="AW82" i="1"/>
  <c r="AV82" i="1"/>
  <c r="AW86" i="1"/>
  <c r="AV86" i="1"/>
  <c r="AW104" i="1"/>
  <c r="AV104" i="1"/>
  <c r="AW96" i="1"/>
  <c r="AV96" i="1"/>
  <c r="AW115" i="1"/>
  <c r="AV115" i="1"/>
  <c r="AV114" i="1"/>
  <c r="AW114" i="1"/>
  <c r="AV120" i="1"/>
  <c r="AW120" i="1"/>
  <c r="AW118" i="1"/>
  <c r="AV118" i="1"/>
  <c r="AW108" i="1"/>
  <c r="AV108" i="1"/>
  <c r="AV145" i="1"/>
  <c r="AW145" i="1"/>
  <c r="AW128" i="1"/>
  <c r="AV128" i="1"/>
  <c r="AV150" i="1"/>
  <c r="AW150" i="1"/>
  <c r="AV47" i="1"/>
  <c r="AW47" i="1"/>
  <c r="AW71" i="1"/>
  <c r="AV71" i="1"/>
  <c r="AW63" i="1"/>
  <c r="AV63" i="1"/>
  <c r="AV69" i="1"/>
  <c r="AW69" i="1"/>
  <c r="AW43" i="1"/>
  <c r="AV43" i="1"/>
  <c r="AW102" i="1"/>
  <c r="AV102" i="1"/>
  <c r="AW62" i="1"/>
  <c r="AV62" i="1"/>
  <c r="AW79" i="1"/>
  <c r="AV79" i="1"/>
  <c r="AW83" i="1"/>
  <c r="AV83" i="1"/>
  <c r="AW87" i="1"/>
  <c r="AV87" i="1"/>
  <c r="AV107" i="1"/>
  <c r="AW107" i="1"/>
  <c r="AW100" i="1"/>
  <c r="AV100" i="1"/>
  <c r="AV92" i="1"/>
  <c r="AW92" i="1"/>
  <c r="AW119" i="1"/>
  <c r="AV119" i="1"/>
  <c r="AW124" i="1"/>
  <c r="AV124" i="1"/>
  <c r="AW121" i="1"/>
  <c r="AV121" i="1"/>
  <c r="AW117" i="1"/>
  <c r="AV117" i="1"/>
  <c r="AV137" i="1"/>
  <c r="AW137" i="1"/>
  <c r="AW129" i="1"/>
  <c r="AV129" i="1"/>
  <c r="AD167" i="1" l="1"/>
  <c r="AC175" i="1"/>
  <c r="AC173" i="1"/>
  <c r="AD168" i="1" s="1"/>
  <c r="AV144" i="1"/>
  <c r="AW144" i="1"/>
  <c r="AV143" i="1"/>
  <c r="AW143" i="1"/>
  <c r="AD154" i="1" l="1"/>
  <c r="AD159" i="1" s="1"/>
  <c r="AD160" i="1" l="1"/>
  <c r="AD162" i="1" s="1"/>
  <c r="AE158" i="1" s="1"/>
  <c r="AD169" i="1"/>
  <c r="AD170" i="1" s="1"/>
  <c r="AD164" i="1" l="1"/>
  <c r="AD178" i="1" s="1"/>
  <c r="AD175" i="1"/>
  <c r="AD173" i="1"/>
  <c r="AE168" i="1" s="1"/>
  <c r="AE167" i="1"/>
  <c r="AE154" i="1" l="1"/>
  <c r="AE159" i="1" s="1"/>
  <c r="AE160" i="1" l="1"/>
  <c r="AE169" i="1"/>
  <c r="AE170" i="1" s="1"/>
  <c r="AE173" i="1" s="1"/>
  <c r="AF168" i="1" s="1"/>
  <c r="AE162" i="1" l="1"/>
  <c r="AF158" i="1" s="1"/>
  <c r="AE164" i="1"/>
  <c r="AE178" i="1" s="1"/>
  <c r="AE175" i="1"/>
  <c r="AF167" i="1"/>
  <c r="AF151" i="1" l="1"/>
  <c r="AF154" i="1" s="1"/>
  <c r="AF159" i="1" s="1"/>
  <c r="AF169" i="1" l="1"/>
  <c r="AF170" i="1" s="1"/>
  <c r="AF160" i="1"/>
  <c r="AF162" i="1" l="1"/>
  <c r="AG158" i="1" s="1"/>
  <c r="AF164" i="1"/>
  <c r="AF178" i="1" s="1"/>
  <c r="AG167" i="1"/>
  <c r="AF175" i="1"/>
  <c r="AF173" i="1"/>
  <c r="AG168" i="1" s="1"/>
  <c r="AG154" i="1" l="1"/>
  <c r="AG159" i="1" l="1"/>
  <c r="AG169" i="1" s="1"/>
  <c r="AG170" i="1" s="1"/>
  <c r="AG160" i="1"/>
  <c r="AG162" i="1" l="1"/>
  <c r="AH158" i="1" s="1"/>
  <c r="AH167" i="1"/>
  <c r="AG175" i="1"/>
  <c r="AG173" i="1"/>
  <c r="AH168" i="1" s="1"/>
  <c r="AG164" i="1"/>
  <c r="AG178" i="1" s="1"/>
  <c r="AH154" i="1" l="1"/>
  <c r="AH159" i="1" s="1"/>
  <c r="AH160" i="1" l="1"/>
  <c r="AH164" i="1" s="1"/>
  <c r="AH178" i="1" s="1"/>
  <c r="AH169" i="1"/>
  <c r="AH170" i="1" s="1"/>
  <c r="AH162" i="1" l="1"/>
  <c r="AI158" i="1" s="1"/>
  <c r="AI167" i="1"/>
  <c r="AH175" i="1"/>
  <c r="AH173" i="1"/>
  <c r="AI168" i="1" s="1"/>
  <c r="AI151" i="1" l="1"/>
  <c r="AI154" i="1" s="1"/>
  <c r="AI159" i="1" s="1"/>
  <c r="AI169" i="1" l="1"/>
  <c r="AI170" i="1" s="1"/>
  <c r="AI173" i="1" s="1"/>
  <c r="AJ168" i="1" s="1"/>
  <c r="AM175" i="1"/>
  <c r="AI160" i="1" l="1"/>
  <c r="AI175" i="1"/>
  <c r="AJ167" i="1"/>
  <c r="AN168" i="1"/>
  <c r="AN154" i="1"/>
  <c r="AN159" i="1" s="1"/>
  <c r="AJ154" i="1" l="1"/>
  <c r="AI164" i="1"/>
  <c r="AI178" i="1" s="1"/>
  <c r="AI162" i="1"/>
  <c r="AJ158" i="1" s="1"/>
  <c r="AJ159" i="1" l="1"/>
  <c r="AJ169" i="1" s="1"/>
  <c r="AJ170" i="1" s="1"/>
  <c r="AJ175" i="1" s="1"/>
  <c r="AJ160" i="1"/>
  <c r="AJ162" i="1" l="1"/>
  <c r="AK158" i="1" s="1"/>
  <c r="AJ164" i="1"/>
  <c r="AJ178" i="1" s="1"/>
  <c r="AK154" i="1"/>
  <c r="AK159" i="1" s="1"/>
  <c r="AJ173" i="1"/>
  <c r="AK168" i="1" s="1"/>
  <c r="AK167" i="1"/>
  <c r="AN175" i="1"/>
  <c r="AK160" i="1" l="1"/>
  <c r="AO168" i="1"/>
  <c r="AK169" i="1" l="1"/>
  <c r="AK170" i="1" s="1"/>
  <c r="AK164" i="1"/>
  <c r="AK178" i="1" s="1"/>
  <c r="AK162" i="1"/>
  <c r="AL158" i="1" s="1"/>
  <c r="AK175" i="1" l="1"/>
  <c r="AL167" i="1"/>
  <c r="AK173" i="1"/>
  <c r="AL168" i="1" s="1"/>
  <c r="AO175" i="1"/>
  <c r="AL151" i="1" l="1"/>
  <c r="AL154" i="1" s="1"/>
  <c r="AL159" i="1" s="1"/>
  <c r="AL160" i="1" l="1"/>
  <c r="AL169" i="1"/>
  <c r="AL170" i="1" s="1"/>
  <c r="AP175" i="1"/>
  <c r="AQ151" i="1" s="1"/>
  <c r="AL162" i="1" l="1"/>
  <c r="AM158" i="1" s="1"/>
  <c r="AL164" i="1"/>
  <c r="AL178" i="1" s="1"/>
  <c r="AL173" i="1"/>
  <c r="AM168" i="1" s="1"/>
  <c r="AM167" i="1"/>
  <c r="AL175" i="1"/>
  <c r="AQ154" i="1"/>
  <c r="AM154" i="1" l="1"/>
  <c r="AM159" i="1" s="1"/>
  <c r="AM169" i="1" l="1"/>
  <c r="AM160" i="1" s="1"/>
  <c r="AM162" i="1" l="1"/>
  <c r="AN158" i="1" s="1"/>
  <c r="AM164" i="1"/>
  <c r="AM178" i="1" s="1"/>
  <c r="AM170" i="1"/>
  <c r="AN167" i="1" s="1"/>
  <c r="AN169" i="1" s="1"/>
  <c r="AQ175" i="1"/>
  <c r="AM173" i="1" l="1"/>
  <c r="AN160" i="1"/>
  <c r="AN170" i="1" l="1"/>
  <c r="AN173" i="1" s="1"/>
  <c r="AN164" i="1"/>
  <c r="AN178" i="1" s="1"/>
  <c r="AN162" i="1"/>
  <c r="AO158" i="1" s="1"/>
  <c r="AO167" i="1" l="1"/>
  <c r="AR175" i="1"/>
  <c r="AO169" i="1" l="1"/>
  <c r="AO170" i="1" s="1"/>
  <c r="AO173" i="1" s="1"/>
  <c r="AP168" i="1" s="1"/>
  <c r="AO160" i="1" l="1"/>
  <c r="AP159" i="1" s="1"/>
  <c r="AQ159" i="1" s="1"/>
  <c r="AP167" i="1"/>
  <c r="AO162" i="1" l="1"/>
  <c r="AP158" i="1" s="1"/>
  <c r="AP164" i="1"/>
  <c r="AP178" i="1" s="1"/>
  <c r="AO164" i="1"/>
  <c r="AO178" i="1" s="1"/>
  <c r="AS175" i="1"/>
  <c r="AT151" i="1" s="1"/>
  <c r="AP169" i="1" l="1"/>
  <c r="AP170" i="1" s="1"/>
  <c r="AP173" i="1" s="1"/>
  <c r="AQ168" i="1" s="1"/>
  <c r="AP162" i="1"/>
  <c r="AQ158" i="1" s="1"/>
  <c r="AT154" i="1"/>
  <c r="AQ167" i="1" l="1"/>
  <c r="AQ169" i="1" s="1"/>
  <c r="AQ160" i="1" s="1"/>
  <c r="AR159" i="1" s="1"/>
  <c r="AT175" i="1"/>
  <c r="AQ162" i="1" l="1"/>
  <c r="AR158" i="1" s="1"/>
  <c r="AQ164" i="1"/>
  <c r="AQ178" i="1" s="1"/>
  <c r="AQ170" i="1"/>
  <c r="AQ173" i="1" l="1"/>
  <c r="AR168" i="1" s="1"/>
  <c r="AR167" i="1"/>
  <c r="AR169" i="1" s="1"/>
  <c r="AR160" i="1" s="1"/>
  <c r="AS159" i="1" s="1"/>
  <c r="AR164" i="1" l="1"/>
  <c r="AR178" i="1" s="1"/>
  <c r="AR162" i="1"/>
  <c r="AS158" i="1" s="1"/>
  <c r="AR170" i="1"/>
  <c r="AS167" i="1" s="1"/>
  <c r="AU175" i="1"/>
  <c r="AS169" i="1" l="1"/>
  <c r="AS160" i="1" s="1"/>
  <c r="AT159" i="1" s="1"/>
  <c r="AR173" i="1"/>
  <c r="AS168" i="1" s="1"/>
  <c r="AS170" i="1" l="1"/>
  <c r="AT167" i="1" s="1"/>
  <c r="AS162" i="1"/>
  <c r="AT158" i="1" s="1"/>
  <c r="AS164" i="1"/>
  <c r="AS178" i="1" s="1"/>
  <c r="AS173" i="1" l="1"/>
  <c r="AT168" i="1" s="1"/>
  <c r="AT169" i="1"/>
  <c r="AT160" i="1" s="1"/>
  <c r="AU159" i="1" s="1"/>
  <c r="F151" i="1"/>
  <c r="AV151" i="1"/>
  <c r="AT170" i="1" l="1"/>
  <c r="AT173" i="1" s="1"/>
  <c r="AU168" i="1" s="1"/>
  <c r="AT164" i="1"/>
  <c r="AT178" i="1" s="1"/>
  <c r="AT162" i="1"/>
  <c r="AU158" i="1" s="1"/>
  <c r="F153" i="1"/>
  <c r="M151" i="1"/>
  <c r="O154" i="1"/>
  <c r="P154" i="1"/>
  <c r="AV154" i="1"/>
  <c r="P156" i="1"/>
  <c r="AU167" i="1" l="1"/>
  <c r="AU169" i="1" s="1"/>
  <c r="AU160" i="1" s="1"/>
  <c r="AU164" i="1" s="1"/>
  <c r="AU178" i="1" s="1"/>
  <c r="L178" i="1" s="1"/>
  <c r="M157" i="1"/>
  <c r="AW151" i="1"/>
  <c r="AU170" i="1" l="1"/>
  <c r="AU173" i="1" s="1"/>
  <c r="F155" i="1" s="1"/>
  <c r="AU162" i="1"/>
  <c r="O168" i="1"/>
  <c r="N164" i="1" l="1"/>
  <c r="K178" i="1" l="1"/>
  <c r="E17" i="1"/>
  <c r="C17" i="1"/>
  <c r="O173" i="1" l="1"/>
  <c r="P155" i="1" s="1"/>
  <c r="E16" i="1"/>
  <c r="E15" i="1"/>
  <c r="F157" i="1" l="1"/>
  <c r="F160" i="1" s="1"/>
  <c r="M156" i="1"/>
  <c r="L11" i="1" s="1"/>
  <c r="L13" i="1" s="1"/>
  <c r="F158" i="1"/>
  <c r="C7" i="1" l="1"/>
  <c r="L14" i="1" s="1"/>
  <c r="M162" i="1"/>
  <c r="B29" i="1" l="1"/>
  <c r="B30" i="1" l="1"/>
  <c r="J39" i="16" l="1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 l="1"/>
  <c r="Z39" i="16"/>
  <c r="AB31" i="16"/>
  <c r="AA39" i="16"/>
  <c r="AE59" i="16"/>
  <c r="AF59" i="16"/>
  <c r="AG59" i="16"/>
  <c r="AB58" i="16"/>
  <c r="AC58" i="16"/>
  <c r="AD58" i="16"/>
  <c r="C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C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C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38" i="16"/>
  <c r="C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C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43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C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C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C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C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C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56" i="16"/>
  <c r="C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C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E3" i="13"/>
  <c r="F3" i="13"/>
  <c r="C4" i="13"/>
  <c r="E4" i="13"/>
  <c r="F4" i="13"/>
  <c r="C5" i="13"/>
  <c r="E5" i="13"/>
  <c r="F5" i="13"/>
  <c r="E6" i="13"/>
  <c r="F6" i="13"/>
  <c r="H4" i="6"/>
  <c r="H5" i="6"/>
  <c r="H6" i="6"/>
  <c r="H7" i="6"/>
  <c r="H9" i="6"/>
  <c r="H10" i="6"/>
  <c r="H11" i="6"/>
  <c r="H14" i="6"/>
  <c r="H17" i="6"/>
  <c r="C5" i="12"/>
  <c r="D5" i="12"/>
  <c r="G5" i="12"/>
  <c r="C6" i="12"/>
  <c r="D6" i="12"/>
  <c r="G6" i="12"/>
  <c r="G8" i="12"/>
  <c r="G9" i="12"/>
  <c r="C12" i="12"/>
  <c r="D12" i="12"/>
  <c r="C13" i="12"/>
  <c r="D13" i="12"/>
  <c r="C20" i="12"/>
  <c r="D20" i="12"/>
  <c r="D3" i="15"/>
  <c r="G3" i="15"/>
  <c r="D8" i="15"/>
  <c r="D9" i="15"/>
  <c r="G25" i="15"/>
  <c r="H25" i="15"/>
  <c r="I25" i="15"/>
  <c r="J25" i="15"/>
  <c r="K25" i="15"/>
  <c r="L25" i="15"/>
  <c r="M25" i="15"/>
  <c r="N25" i="15"/>
  <c r="O25" i="15"/>
  <c r="P25" i="15"/>
  <c r="G26" i="15"/>
  <c r="H26" i="15"/>
  <c r="I26" i="15"/>
  <c r="J26" i="15"/>
  <c r="K26" i="15"/>
  <c r="L26" i="15"/>
  <c r="M26" i="15"/>
  <c r="N26" i="15"/>
  <c r="O26" i="15"/>
  <c r="P26" i="15"/>
  <c r="G28" i="15"/>
  <c r="H28" i="15"/>
  <c r="I28" i="15"/>
  <c r="J28" i="15"/>
  <c r="K28" i="15"/>
  <c r="L28" i="15"/>
  <c r="M28" i="15"/>
  <c r="N28" i="15"/>
  <c r="O28" i="15"/>
  <c r="P28" i="15"/>
  <c r="G29" i="15"/>
  <c r="H29" i="15"/>
  <c r="I29" i="15"/>
  <c r="J29" i="15"/>
  <c r="K29" i="15"/>
  <c r="L29" i="15"/>
  <c r="M29" i="15"/>
  <c r="N29" i="15"/>
  <c r="O29" i="15"/>
  <c r="P29" i="15"/>
  <c r="G32" i="15"/>
  <c r="H32" i="15"/>
  <c r="I32" i="15"/>
  <c r="J32" i="15"/>
  <c r="K32" i="15"/>
  <c r="L32" i="15"/>
  <c r="M32" i="15"/>
  <c r="N32" i="15"/>
  <c r="O32" i="15"/>
  <c r="P32" i="15"/>
  <c r="D5" i="9"/>
  <c r="E5" i="9"/>
  <c r="D6" i="9"/>
  <c r="E6" i="9"/>
  <c r="D7" i="9"/>
  <c r="E7" i="9"/>
  <c r="D8" i="9"/>
  <c r="E8" i="9"/>
  <c r="D9" i="9"/>
  <c r="E9" i="9"/>
  <c r="D10" i="9"/>
  <c r="E10" i="9"/>
  <c r="C11" i="9"/>
  <c r="D11" i="9"/>
  <c r="E11" i="9"/>
  <c r="C12" i="9"/>
  <c r="D12" i="9"/>
  <c r="E12" i="9"/>
  <c r="C13" i="9"/>
  <c r="D13" i="9"/>
  <c r="E13" i="9"/>
  <c r="C14" i="9"/>
  <c r="D14" i="9"/>
  <c r="E14" i="9"/>
  <c r="C15" i="9"/>
  <c r="C16" i="9"/>
  <c r="C18" i="9"/>
  <c r="C19" i="9"/>
  <c r="C20" i="9"/>
  <c r="C21" i="9"/>
  <c r="C22" i="9"/>
  <c r="C23" i="9"/>
</calcChain>
</file>

<file path=xl/comments1.xml><?xml version="1.0" encoding="utf-8"?>
<comments xmlns="http://schemas.openxmlformats.org/spreadsheetml/2006/main">
  <authors>
    <author>Zukie Johal</author>
    <author>Christo Joubert</author>
  </authors>
  <commentList>
    <comment ref="H7" authorId="0" shapeId="0">
      <text>
        <r>
          <rPr>
            <b/>
            <sz val="9"/>
            <color indexed="81"/>
            <rFont val="Tahoma"/>
            <charset val="1"/>
          </rPr>
          <t>Zukie Johal:</t>
        </r>
        <r>
          <rPr>
            <sz val="9"/>
            <color indexed="81"/>
            <rFont val="Tahoma"/>
            <charset val="1"/>
          </rPr>
          <t xml:space="preserve">
Rename to Total Cost</t>
        </r>
      </text>
    </comment>
    <comment ref="H14" authorId="1" shapeId="0">
      <text>
        <r>
          <rPr>
            <b/>
            <sz val="9"/>
            <color indexed="81"/>
            <rFont val="Tahoma"/>
            <family val="2"/>
          </rPr>
          <t>Christo Joubert:</t>
        </r>
        <r>
          <rPr>
            <sz val="9"/>
            <color indexed="81"/>
            <rFont val="Tahoma"/>
            <family val="2"/>
          </rPr>
          <t xml:space="preserve">
No decimals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Zukie Johal:</t>
        </r>
        <r>
          <rPr>
            <sz val="9"/>
            <color indexed="81"/>
            <rFont val="Tahoma"/>
            <charset val="1"/>
          </rPr>
          <t xml:space="preserve">
Use Interest rate after Post practical completion (user can put same value as Dev interest rate)</t>
        </r>
      </text>
    </comment>
  </commentList>
</comments>
</file>

<file path=xl/comments2.xml><?xml version="1.0" encoding="utf-8"?>
<comments xmlns="http://schemas.openxmlformats.org/spreadsheetml/2006/main">
  <authors>
    <author>Zukie Johal</author>
    <author>Christo Joubert</author>
  </authors>
  <commentList>
    <comment ref="A16" authorId="0" shapeId="0">
      <text>
        <r>
          <rPr>
            <b/>
            <sz val="9"/>
            <color indexed="81"/>
            <rFont val="Tahoma"/>
            <charset val="1"/>
          </rPr>
          <t>Zukie Johal:</t>
        </r>
        <r>
          <rPr>
            <sz val="9"/>
            <color indexed="81"/>
            <rFont val="Tahoma"/>
            <charset val="1"/>
          </rPr>
          <t xml:space="preserve">
Based on Dev Start Date</t>
        </r>
      </text>
    </comment>
    <comment ref="V52" authorId="0" shapeId="0">
      <text>
        <r>
          <rPr>
            <b/>
            <sz val="9"/>
            <color indexed="81"/>
            <rFont val="Tahoma"/>
            <charset val="1"/>
          </rPr>
          <t>Zukie Johal:</t>
        </r>
        <r>
          <rPr>
            <sz val="9"/>
            <color indexed="81"/>
            <rFont val="Tahoma"/>
            <charset val="1"/>
          </rPr>
          <t xml:space="preserve">
Based on End Date</t>
        </r>
      </text>
    </comment>
    <comment ref="AB52" authorId="1" shapeId="0">
      <text>
        <r>
          <rPr>
            <b/>
            <sz val="9"/>
            <color indexed="81"/>
            <rFont val="Tahoma"/>
            <charset val="1"/>
          </rPr>
          <t>Christo Joubert:</t>
        </r>
        <r>
          <rPr>
            <sz val="9"/>
            <color indexed="81"/>
            <rFont val="Tahoma"/>
            <charset val="1"/>
          </rPr>
          <t xml:space="preserve">
If fixed amort amount specified then this amount + interest AB50 will be the repayment.
If No amort amount - only Interest amount is the repayment.
If we are in the interest roll period the repayment is 0
</t>
        </r>
      </text>
    </comment>
  </commentList>
</comments>
</file>

<file path=xl/comments3.xml><?xml version="1.0" encoding="utf-8"?>
<comments xmlns="http://schemas.openxmlformats.org/spreadsheetml/2006/main">
  <authors>
    <author>Zukie Johal</author>
  </authors>
  <commentList>
    <comment ref="C15" authorId="0" shapeId="0">
      <text>
        <r>
          <rPr>
            <b/>
            <sz val="9"/>
            <color indexed="81"/>
            <rFont val="Tahoma"/>
            <charset val="1"/>
          </rPr>
          <t>Zukie Johal:</t>
        </r>
        <r>
          <rPr>
            <sz val="9"/>
            <color indexed="81"/>
            <rFont val="Tahoma"/>
            <charset val="1"/>
          </rPr>
          <t xml:space="preserve">
Rename to Project Cost</t>
        </r>
      </text>
    </comment>
  </commentList>
</comments>
</file>

<file path=xl/comments4.xml><?xml version="1.0" encoding="utf-8"?>
<comments xmlns="http://schemas.openxmlformats.org/spreadsheetml/2006/main">
  <authors>
    <author>Zukie Johal</author>
  </authors>
  <commentList>
    <comment ref="G26" authorId="0" shapeId="0">
      <text>
        <r>
          <rPr>
            <b/>
            <sz val="9"/>
            <color indexed="81"/>
            <rFont val="Tahoma"/>
            <charset val="1"/>
          </rPr>
          <t>Zukie Johal:</t>
        </r>
        <r>
          <rPr>
            <sz val="9"/>
            <color indexed="81"/>
            <rFont val="Tahoma"/>
            <charset val="1"/>
          </rPr>
          <t xml:space="preserve">
Inv All In Rate where deal incl. investment</t>
        </r>
      </text>
    </comment>
  </commentList>
</comments>
</file>

<file path=xl/comments5.xml><?xml version="1.0" encoding="utf-8"?>
<comments xmlns="http://schemas.openxmlformats.org/spreadsheetml/2006/main">
  <authors>
    <author>Christo Joubert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Christo Joubert:</t>
        </r>
        <r>
          <rPr>
            <sz val="9"/>
            <color indexed="81"/>
            <rFont val="Tahoma"/>
            <family val="2"/>
          </rPr>
          <t xml:space="preserve">
Assumes Investment All-In rate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Christo Joubert:</t>
        </r>
        <r>
          <rPr>
            <sz val="9"/>
            <color indexed="81"/>
            <rFont val="Tahoma"/>
            <charset val="1"/>
          </rPr>
          <t xml:space="preserve">
There is a hard coded 3 in this formula - what is is for?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Christo Joubert:</t>
        </r>
        <r>
          <rPr>
            <sz val="9"/>
            <color indexed="81"/>
            <rFont val="Tahoma"/>
            <family val="2"/>
          </rPr>
          <t xml:space="preserve">
Assumes Investment All In Rate</t>
        </r>
      </text>
    </comment>
  </commentList>
</comments>
</file>

<file path=xl/sharedStrings.xml><?xml version="1.0" encoding="utf-8"?>
<sst xmlns="http://schemas.openxmlformats.org/spreadsheetml/2006/main" count="1241" uniqueCount="564">
  <si>
    <t>Costs</t>
  </si>
  <si>
    <t>Dates</t>
  </si>
  <si>
    <t>Facility</t>
  </si>
  <si>
    <t>Interest Only</t>
  </si>
  <si>
    <t>Yes</t>
  </si>
  <si>
    <t>Acquisition Costs</t>
  </si>
  <si>
    <t>Start Date</t>
  </si>
  <si>
    <t>Amortising</t>
  </si>
  <si>
    <t>No</t>
  </si>
  <si>
    <t>Construction Costs</t>
  </si>
  <si>
    <t>Term</t>
  </si>
  <si>
    <t>Total Costs</t>
  </si>
  <si>
    <t>Contingency</t>
  </si>
  <si>
    <t>End Date</t>
  </si>
  <si>
    <t>IRU</t>
  </si>
  <si>
    <t>Other Costs</t>
  </si>
  <si>
    <t xml:space="preserve">Non-utilisation </t>
  </si>
  <si>
    <t>Professional Fees</t>
  </si>
  <si>
    <t>Development Term</t>
  </si>
  <si>
    <t>Arrangement Fee</t>
  </si>
  <si>
    <t>Marketing Lettings Misc</t>
  </si>
  <si>
    <t>Practical Completion Date</t>
  </si>
  <si>
    <t>Total Facility Required</t>
  </si>
  <si>
    <t>IRU Post Practical Completion</t>
  </si>
  <si>
    <t>Interest Serviced From</t>
  </si>
  <si>
    <t>Total Debt</t>
  </si>
  <si>
    <t>Amortising / Interest Only?</t>
  </si>
  <si>
    <t xml:space="preserve">Equity </t>
  </si>
  <si>
    <t>Exit Fee</t>
  </si>
  <si>
    <t>Fees</t>
  </si>
  <si>
    <t>Guarantees</t>
  </si>
  <si>
    <t>Development Margin</t>
  </si>
  <si>
    <t>Capital Guarantee</t>
  </si>
  <si>
    <t>Cap Guarantee % of Loan Amt</t>
  </si>
  <si>
    <t>LIBOR</t>
  </si>
  <si>
    <t>Cost Overrun Guarantee</t>
  </si>
  <si>
    <t>Cap Guarantee % of Build Cost</t>
  </si>
  <si>
    <t>Dev All-In Interest Rate</t>
  </si>
  <si>
    <t>Interest Shortfall Guarantee</t>
  </si>
  <si>
    <t>Cost Overrun Guar % of Build Cost</t>
  </si>
  <si>
    <t>Non-utilisation fee</t>
  </si>
  <si>
    <t>Interest Shortfall Guar % of Annual Int (Fully Drawn)</t>
  </si>
  <si>
    <t>Increases in NOI / Rent</t>
  </si>
  <si>
    <t>NOI Increase Year 1</t>
  </si>
  <si>
    <t>NOI Increase Year 2</t>
  </si>
  <si>
    <t>LTC</t>
  </si>
  <si>
    <t>NOI Increase Year 3</t>
  </si>
  <si>
    <t>NOI Increase Year 4</t>
  </si>
  <si>
    <t>Investment Term</t>
  </si>
  <si>
    <t>NOI Increase Year 5</t>
  </si>
  <si>
    <t>Investment Portion?</t>
  </si>
  <si>
    <t>NOI Increase Year 6</t>
  </si>
  <si>
    <t>Investment Margin</t>
  </si>
  <si>
    <t>NOI Increase Year 7</t>
  </si>
  <si>
    <t>LIBOR (same as above)</t>
  </si>
  <si>
    <t>NOI Increase Year 8</t>
  </si>
  <si>
    <t>Inv All-in Interest Rate</t>
  </si>
  <si>
    <t>NOI Increase Year 9</t>
  </si>
  <si>
    <t>NOI Increase Year 10</t>
  </si>
  <si>
    <t>Month number</t>
  </si>
  <si>
    <t>Month</t>
  </si>
  <si>
    <t>Revenue</t>
  </si>
  <si>
    <t>NOI</t>
  </si>
  <si>
    <t>Sale</t>
  </si>
  <si>
    <t>Total Revenue</t>
  </si>
  <si>
    <t>Other Construction Costs</t>
  </si>
  <si>
    <t>Cumulative Cost</t>
  </si>
  <si>
    <t>Pre-finance Cash Flows</t>
  </si>
  <si>
    <t>Cumulative</t>
  </si>
  <si>
    <t>Debt Financing Cash Flows</t>
  </si>
  <si>
    <t>Interest</t>
  </si>
  <si>
    <t>Post-financing Cash Flows</t>
  </si>
  <si>
    <t>Equity - TOTAL</t>
  </si>
  <si>
    <t>Opening Balance</t>
  </si>
  <si>
    <t>Drawdown</t>
  </si>
  <si>
    <t>Repayment</t>
  </si>
  <si>
    <t>Closing Balance</t>
  </si>
  <si>
    <t>Cash Flows</t>
  </si>
  <si>
    <t>Equity IRR</t>
  </si>
  <si>
    <t xml:space="preserve">Debt </t>
  </si>
  <si>
    <t>Interest (Total)</t>
  </si>
  <si>
    <t>Non-utilisation</t>
  </si>
  <si>
    <t>Debt IRR</t>
  </si>
  <si>
    <t>Interest Serviced</t>
  </si>
  <si>
    <t>Interest Roll</t>
  </si>
  <si>
    <t>Unit Types</t>
  </si>
  <si>
    <t>No of Beds</t>
  </si>
  <si>
    <t>Rent / bed / week</t>
  </si>
  <si>
    <t>Occupancy Rate</t>
  </si>
  <si>
    <t>Income</t>
  </si>
  <si>
    <t>4 Bed Cluster</t>
  </si>
  <si>
    <t>5 Bed Cluster</t>
  </si>
  <si>
    <t>6 Bed Cluster</t>
  </si>
  <si>
    <t>Premium Studio</t>
  </si>
  <si>
    <t>Premium Accessible Studio</t>
  </si>
  <si>
    <t>Average / Total</t>
  </si>
  <si>
    <t>Holiday and additional income</t>
  </si>
  <si>
    <t>Total Income</t>
  </si>
  <si>
    <t>Operating Expenses</t>
  </si>
  <si>
    <t>Opex per Unit</t>
  </si>
  <si>
    <t>Net Yield</t>
  </si>
  <si>
    <t>Net Income (NOI)</t>
  </si>
  <si>
    <t>Gross Market Value (GDV)</t>
  </si>
  <si>
    <t>NIY</t>
  </si>
  <si>
    <t xml:space="preserve">Purchaser's Costs </t>
  </si>
  <si>
    <t>Purchasers Cost %</t>
  </si>
  <si>
    <t>Net Market Value (NDV)</t>
  </si>
  <si>
    <t xml:space="preserve">NOTE: </t>
  </si>
  <si>
    <t>Some figures will need to be input manually from desktop valuation / client appraisal:</t>
  </si>
  <si>
    <t>number of beds</t>
  </si>
  <si>
    <t>rent per bed per week</t>
  </si>
  <si>
    <t>term</t>
  </si>
  <si>
    <t>occupancy rate</t>
  </si>
  <si>
    <t>holiday income</t>
  </si>
  <si>
    <t>operating expenses (gross or per bed)</t>
  </si>
  <si>
    <t>purchasers' cost %</t>
  </si>
  <si>
    <t>Sources and Uses</t>
  </si>
  <si>
    <t>Project Cost</t>
  </si>
  <si>
    <t>Equity</t>
  </si>
  <si>
    <t>Snr Debt</t>
  </si>
  <si>
    <t>Non-Utilisation</t>
  </si>
  <si>
    <t>Total</t>
  </si>
  <si>
    <t>POC</t>
  </si>
  <si>
    <t>Interest Roll Up</t>
  </si>
  <si>
    <t>Bank Income</t>
  </si>
  <si>
    <t>From Cashflow</t>
  </si>
  <si>
    <t>From Bank Returns</t>
  </si>
  <si>
    <t>Rental</t>
  </si>
  <si>
    <t>Sales</t>
  </si>
  <si>
    <t xml:space="preserve">Inputs: </t>
  </si>
  <si>
    <t>Debt</t>
  </si>
  <si>
    <t>NOI - Rental</t>
  </si>
  <si>
    <t>Purchasers' Costs</t>
  </si>
  <si>
    <t>Increments in Yield Assumption</t>
  </si>
  <si>
    <t>NDV</t>
  </si>
  <si>
    <t>Bank Break Even</t>
  </si>
  <si>
    <t>Exit yield</t>
  </si>
  <si>
    <t>Net Rent p.a.</t>
  </si>
  <si>
    <t>GDV Value Sensitivity *</t>
  </si>
  <si>
    <t>Net Operating Income</t>
  </si>
  <si>
    <t>Forecast</t>
  </si>
  <si>
    <t>Yield</t>
  </si>
  <si>
    <r>
      <t xml:space="preserve">Year </t>
    </r>
    <r>
      <rPr>
        <b/>
        <i/>
        <sz val="10"/>
        <color theme="1"/>
        <rFont val="Calibri"/>
        <family val="2"/>
        <scheme val="minor"/>
      </rPr>
      <t>(after loan maturity)</t>
    </r>
  </si>
  <si>
    <t>NOI (assuming 0% rental growth)</t>
  </si>
  <si>
    <t>Free Cashflow</t>
  </si>
  <si>
    <t>LTNDV</t>
  </si>
  <si>
    <t>Sensitivities</t>
  </si>
  <si>
    <t>Investment Period</t>
  </si>
  <si>
    <t>Incl. G'tee</t>
  </si>
  <si>
    <t xml:space="preserve">Interest p.a. </t>
  </si>
  <si>
    <t>LTV</t>
  </si>
  <si>
    <t>ICR (x)</t>
  </si>
  <si>
    <t>Gross Rent</t>
  </si>
  <si>
    <t>Free Cash Flow</t>
  </si>
  <si>
    <t xml:space="preserve">Equity Release </t>
  </si>
  <si>
    <t>Exit Yield</t>
  </si>
  <si>
    <t>NDV per bed</t>
  </si>
  <si>
    <t>Build Costs / bed</t>
  </si>
  <si>
    <t>NDV per unit</t>
  </si>
  <si>
    <t>Development POC</t>
  </si>
  <si>
    <t>Profit</t>
  </si>
  <si>
    <t>Debt Yield</t>
  </si>
  <si>
    <t>ICR</t>
  </si>
  <si>
    <t>Process</t>
  </si>
  <si>
    <t>Tab</t>
  </si>
  <si>
    <t>Input</t>
  </si>
  <si>
    <t>Inputs</t>
  </si>
  <si>
    <t>Development Period</t>
  </si>
  <si>
    <t>Non-utilisation Fee %</t>
  </si>
  <si>
    <t>Arrangement Fee %</t>
  </si>
  <si>
    <t>Exit Fee %</t>
  </si>
  <si>
    <t>Calculation</t>
  </si>
  <si>
    <t>All-in Interest Rate</t>
  </si>
  <si>
    <t>Total Equity</t>
  </si>
  <si>
    <t>Arrangement Fee Valuation</t>
  </si>
  <si>
    <t>Exit Fee Valuation</t>
  </si>
  <si>
    <t>Total Facility</t>
  </si>
  <si>
    <t>Document Generation</t>
  </si>
  <si>
    <t>Cash Flow Template</t>
  </si>
  <si>
    <t>Cashflow</t>
  </si>
  <si>
    <t>Acquisition Costs per month</t>
  </si>
  <si>
    <t>Construction Costs per month</t>
  </si>
  <si>
    <t>Contingency per month</t>
  </si>
  <si>
    <t>Other Costs per month</t>
  </si>
  <si>
    <t>Professional Fees per month</t>
  </si>
  <si>
    <t>Marketing Lettings Misc per month</t>
  </si>
  <si>
    <t>NOI per month (if applicable)</t>
  </si>
  <si>
    <t>Sales per month</t>
  </si>
  <si>
    <t>Document Upload</t>
  </si>
  <si>
    <t>Populated Cash Flow</t>
  </si>
  <si>
    <t>Total Costs per month</t>
  </si>
  <si>
    <t>Validation Acquisition Costs</t>
  </si>
  <si>
    <t>Validation Construction Costs</t>
  </si>
  <si>
    <t>Validation Contingency</t>
  </si>
  <si>
    <t>Validation Other Costs</t>
  </si>
  <si>
    <t>Validation Professional Fees</t>
  </si>
  <si>
    <t>Validation Marketing Lettings Misc</t>
  </si>
  <si>
    <t>Validation Total Costs</t>
  </si>
  <si>
    <t>Total Revenue per month</t>
  </si>
  <si>
    <t>Validation Total Revenue</t>
  </si>
  <si>
    <t>Cumulative Costs per month</t>
  </si>
  <si>
    <t>Pre-finance Cash Flows Cumulative per month</t>
  </si>
  <si>
    <t>Debt - Drawdown per month</t>
  </si>
  <si>
    <t>Debt - Fees per month</t>
  </si>
  <si>
    <t>Debt - Interest per month</t>
  </si>
  <si>
    <t>Debt - Opening Balance</t>
  </si>
  <si>
    <t>Debt - Repayments</t>
  </si>
  <si>
    <t>Debt - Closing Balance</t>
  </si>
  <si>
    <t>Debt - Cash Flows</t>
  </si>
  <si>
    <t>Equity - Drawdown per month</t>
  </si>
  <si>
    <t>Equity - Opening Balance</t>
  </si>
  <si>
    <t>Equity - Repayment</t>
  </si>
  <si>
    <t>Equity - Closing Balance</t>
  </si>
  <si>
    <t>Equity - Cash Flows</t>
  </si>
  <si>
    <t>From CF</t>
  </si>
  <si>
    <t>Total Facility Costs</t>
  </si>
  <si>
    <t>Aerial House, Chesham</t>
  </si>
  <si>
    <t xml:space="preserve">APPRAISAL </t>
  </si>
  <si>
    <t>Input cells</t>
  </si>
  <si>
    <t>Summary Appraisal -</t>
  </si>
  <si>
    <t>Investment Summary:</t>
  </si>
  <si>
    <t>Total sales values</t>
  </si>
  <si>
    <t>Developable area</t>
  </si>
  <si>
    <t>Land acquisition cost including stamp duty</t>
  </si>
  <si>
    <t>Construction Costs inc prof fees</t>
  </si>
  <si>
    <t>Total Costs (exc finance)</t>
  </si>
  <si>
    <t>Other costs</t>
  </si>
  <si>
    <t>Total Costs (inc finance )</t>
  </si>
  <si>
    <t>Disposal Fees</t>
  </si>
  <si>
    <t>Total Value</t>
  </si>
  <si>
    <t>Profit pre financing</t>
  </si>
  <si>
    <t>Total Value (psf)</t>
  </si>
  <si>
    <t>Bank Interest, legals and fees</t>
  </si>
  <si>
    <t>Investment Inputs</t>
  </si>
  <si>
    <t>Max loan</t>
  </si>
  <si>
    <t>Max per model</t>
  </si>
  <si>
    <t>Net Profit</t>
  </si>
  <si>
    <t>Profit on cost pre pref return</t>
  </si>
  <si>
    <t>Max Bank LTC</t>
  </si>
  <si>
    <t>Max Bank LTV</t>
  </si>
  <si>
    <t>Max loan balance</t>
  </si>
  <si>
    <t>Banking costs</t>
  </si>
  <si>
    <t>Margin</t>
  </si>
  <si>
    <t>Arrangement fee</t>
  </si>
  <si>
    <t>Redemption fee</t>
  </si>
  <si>
    <t>Equity poat financing</t>
  </si>
  <si>
    <t>Sensitivity Analysis</t>
  </si>
  <si>
    <t>Average FH Sale price vs build cost - IMPACT ON PoC</t>
  </si>
  <si>
    <t xml:space="preserve">  -REVENUE</t>
  </si>
  <si>
    <t>Average</t>
  </si>
  <si>
    <t>FLEX</t>
  </si>
  <si>
    <t>Leasehold sale average</t>
  </si>
  <si>
    <t>Rental Area Summary</t>
  </si>
  <si>
    <t>Investment Valuation</t>
  </si>
  <si>
    <t>Initial</t>
  </si>
  <si>
    <t>ft²</t>
  </si>
  <si>
    <t>Rate ft²</t>
  </si>
  <si>
    <t>MRV/Unit</t>
  </si>
  <si>
    <t>YP</t>
  </si>
  <si>
    <t>Rent Fee (months)</t>
  </si>
  <si>
    <t>Sale - months post PC</t>
  </si>
  <si>
    <t>Inv Value (net of Purch cost)</t>
  </si>
  <si>
    <t>First Month</t>
  </si>
  <si>
    <t>Last month</t>
  </si>
  <si>
    <t>Months</t>
  </si>
  <si>
    <t>Check</t>
  </si>
  <si>
    <t>Freehold</t>
  </si>
  <si>
    <t>Sale - Unit 1</t>
  </si>
  <si>
    <t>YP  @</t>
  </si>
  <si>
    <t>Sale - Unit 2</t>
  </si>
  <si>
    <t>Sale - Unit 3</t>
  </si>
  <si>
    <t>Sale - Unit 4</t>
  </si>
  <si>
    <t>Sale - Unit 5</t>
  </si>
  <si>
    <t>Sale - Unit 6</t>
  </si>
  <si>
    <t>Sale - Unit 7</t>
  </si>
  <si>
    <t>Sale - Unit 8</t>
  </si>
  <si>
    <t>Sale - Unit 9</t>
  </si>
  <si>
    <t>Sale - Unit 10</t>
  </si>
  <si>
    <t>Sale - Unit 11</t>
  </si>
  <si>
    <t>Sale - Unit 12</t>
  </si>
  <si>
    <t>TOTAL INCOME</t>
  </si>
  <si>
    <t>Purchaser's Costs</t>
  </si>
  <si>
    <t>Fixed Price</t>
  </si>
  <si>
    <t>VAT</t>
  </si>
  <si>
    <t>Stamp Duty</t>
  </si>
  <si>
    <t>Agent Fee</t>
  </si>
  <si>
    <t>Legal Fee</t>
  </si>
  <si>
    <t xml:space="preserve">Planning fee </t>
  </si>
  <si>
    <t>Pre-application meeting</t>
  </si>
  <si>
    <t>Planning Conditions Discharge Fees</t>
  </si>
  <si>
    <t>Survey and Environ</t>
  </si>
  <si>
    <t>Insurance</t>
  </si>
  <si>
    <t xml:space="preserve">Cost </t>
  </si>
  <si>
    <t>Totals</t>
  </si>
  <si>
    <t>contract sum approx £6.1m</t>
  </si>
  <si>
    <t>Demolition</t>
  </si>
  <si>
    <t>updated for Hughes and Salvidge</t>
  </si>
  <si>
    <t>Site clearance</t>
  </si>
  <si>
    <t>S106</t>
  </si>
  <si>
    <t>S278</t>
  </si>
  <si>
    <t>Substation</t>
  </si>
  <si>
    <t>On site security</t>
  </si>
  <si>
    <t>Stats Connections</t>
  </si>
  <si>
    <t>Landscaping</t>
  </si>
  <si>
    <t>Renewables</t>
  </si>
  <si>
    <t>Attenuation</t>
  </si>
  <si>
    <t>Retaining structures</t>
  </si>
  <si>
    <t>Contractors Bond</t>
  </si>
  <si>
    <t>Acoustic fencing</t>
  </si>
  <si>
    <t>Electric car charging points</t>
  </si>
  <si>
    <t>Non neg insurance</t>
  </si>
  <si>
    <t>Sub Base</t>
  </si>
  <si>
    <t>BREEAM Final Survey</t>
  </si>
  <si>
    <t>Architect</t>
  </si>
  <si>
    <t>Quantity Surveyor</t>
  </si>
  <si>
    <t>Structural Engineer</t>
  </si>
  <si>
    <t>Mech./Elec.Engineer</t>
  </si>
  <si>
    <t>Project Manager</t>
  </si>
  <si>
    <t>C.D. Manager</t>
  </si>
  <si>
    <t>Planner</t>
  </si>
  <si>
    <t>Approved Inspector/Building Regs</t>
  </si>
  <si>
    <t>Highways / Transport Consultant</t>
  </si>
  <si>
    <t>Air &amp; Noise</t>
  </si>
  <si>
    <t>BREEAM/Sustainability</t>
  </si>
  <si>
    <t>Rights of light consultant</t>
  </si>
  <si>
    <t>Landscape Architect</t>
  </si>
  <si>
    <t>Energy Statement / Assessment</t>
  </si>
  <si>
    <t>Cladding Inspector</t>
  </si>
  <si>
    <t>Other Professionals (Contingency)</t>
  </si>
  <si>
    <t>Bank Monitor</t>
  </si>
  <si>
    <t>Misc</t>
  </si>
  <si>
    <t>Bank - Valuation Fee</t>
  </si>
  <si>
    <t>Bank legals</t>
  </si>
  <si>
    <t>Marketing</t>
  </si>
  <si>
    <t>Blink images</t>
  </si>
  <si>
    <t>Sales agents</t>
  </si>
  <si>
    <t>Sales legals</t>
  </si>
  <si>
    <t>Letting Agent Fee</t>
  </si>
  <si>
    <t>Letting Legal Fee</t>
  </si>
  <si>
    <t>Lloyds Interest cost paid since tenant vacated in Oct 2019</t>
  </si>
  <si>
    <t>No utilisation fee</t>
  </si>
  <si>
    <t>Total Costs (exc Finance)</t>
  </si>
  <si>
    <t>Bank Interest</t>
  </si>
  <si>
    <t>Net of costs</t>
  </si>
  <si>
    <t>Finance costs</t>
  </si>
  <si>
    <t>Net profit</t>
  </si>
  <si>
    <t>Non Bank funding</t>
  </si>
  <si>
    <t>bf</t>
  </si>
  <si>
    <t>Drawn down</t>
  </si>
  <si>
    <t>Distributions</t>
  </si>
  <si>
    <t>Cf</t>
  </si>
  <si>
    <t>Bank Loan balance</t>
  </si>
  <si>
    <t>b/f</t>
  </si>
  <si>
    <t>cf</t>
  </si>
  <si>
    <t>LIBOR rate</t>
  </si>
  <si>
    <t>Finance charge</t>
  </si>
  <si>
    <t>Unused facility</t>
  </si>
  <si>
    <t>Non Bank funding requirement</t>
  </si>
  <si>
    <t>Title: Nominal Activity - Excluding No Transactions</t>
  </si>
  <si>
    <t>FileName: NOMACTX.REPORT</t>
  </si>
  <si>
    <t>Exported On: 10/02/2020 09:39:00</t>
  </si>
  <si>
    <t>Company.Name</t>
  </si>
  <si>
    <t>NominalRecord.AccountReference</t>
  </si>
  <si>
    <t>NominalRecord.AccountName</t>
  </si>
  <si>
    <t>TransactionNominal.Amount</t>
  </si>
  <si>
    <t>TransactionNominal.BroughtForwardFlag</t>
  </si>
  <si>
    <t>TransactionNominal.Number</t>
  </si>
  <si>
    <t>TransactionNominal.Type</t>
  </si>
  <si>
    <t>TransactionNominal.Date</t>
  </si>
  <si>
    <t>TransactionNominal.AccountReference</t>
  </si>
  <si>
    <t>TransactionNominal.Reference</t>
  </si>
  <si>
    <t>TransactionNominal.Details</t>
  </si>
  <si>
    <t>TransactionNominal.DepartmentNumber</t>
  </si>
  <si>
    <t>TransactionNominal.VATCode</t>
  </si>
  <si>
    <t>Column1</t>
  </si>
  <si>
    <t>Chancerygate (Witham) Limited</t>
  </si>
  <si>
    <t>15020</t>
  </si>
  <si>
    <t>SITE PURCHASE Land Purchase</t>
  </si>
  <si>
    <t>JD</t>
  </si>
  <si>
    <t>Aerial Hse</t>
  </si>
  <si>
    <t>Purchase of Aerial House, Chesham</t>
  </si>
  <si>
    <t>T9</t>
  </si>
  <si>
    <t>15030</t>
  </si>
  <si>
    <t>SITE PURCHASE Stamp Duty</t>
  </si>
  <si>
    <t>15040</t>
  </si>
  <si>
    <t>SITE PURCHASE Legal Fees</t>
  </si>
  <si>
    <t>Journal</t>
  </si>
  <si>
    <t>90282776 - 75% Interim for exchange</t>
  </si>
  <si>
    <t>15060</t>
  </si>
  <si>
    <t>SITE PURCHASE Agents fees</t>
  </si>
  <si>
    <t>EN002-0294313 - 50% of 1% of the Purchase price  JLL</t>
  </si>
  <si>
    <t>15070</t>
  </si>
  <si>
    <t>SITE PURCHASE - Land Registry Fee</t>
  </si>
  <si>
    <t>15090</t>
  </si>
  <si>
    <t>INITIAL PAYMENTS Site Investigations</t>
  </si>
  <si>
    <t>DS18873 - Intrusive Ground Investigation</t>
  </si>
  <si>
    <t>23761 - Full Typographical Survey</t>
  </si>
  <si>
    <t>DS019131-Completion of Addtional probing works</t>
  </si>
  <si>
    <t>15100</t>
  </si>
  <si>
    <t>INITIAL PAYMENTS Planning Fees</t>
  </si>
  <si>
    <t/>
  </si>
  <si>
    <t>Chiltern District Chq#212395- application redevelopment Savi</t>
  </si>
  <si>
    <t>15120</t>
  </si>
  <si>
    <t>INITIAL PAYMENTS Insurance</t>
  </si>
  <si>
    <t>Prepaid 3D Insurance</t>
  </si>
  <si>
    <t>3D Insurance Monthly  Prepayments</t>
  </si>
  <si>
    <t>Prepayment on 3D Insurance</t>
  </si>
  <si>
    <t>Monthend</t>
  </si>
  <si>
    <t>Prepaid Insurance 3D</t>
  </si>
  <si>
    <t>15130</t>
  </si>
  <si>
    <t>INITIAL PAYMENTS Misc</t>
  </si>
  <si>
    <t>CBC Paid</t>
  </si>
  <si>
    <t>Cadent Gas- service pipe disconnection</t>
  </si>
  <si>
    <t>PI</t>
  </si>
  <si>
    <t>3DI0001</t>
  </si>
  <si>
    <t>45478</t>
  </si>
  <si>
    <t>Aerial house , Chesham  06/03/2019-01/04/2019</t>
  </si>
  <si>
    <t>15260</t>
  </si>
  <si>
    <t>Professional - Misc</t>
  </si>
  <si>
    <t>ANG0001</t>
  </si>
  <si>
    <t>503</t>
  </si>
  <si>
    <t>Carried out investigative CCTV Survey at 105</t>
  </si>
  <si>
    <t>T1</t>
  </si>
  <si>
    <t>15240</t>
  </si>
  <si>
    <t>Professional Project mgm</t>
  </si>
  <si>
    <t>BEA0001</t>
  </si>
  <si>
    <t>52</t>
  </si>
  <si>
    <t>SECURITY SERVICES - Dept 2</t>
  </si>
  <si>
    <t>15420</t>
  </si>
  <si>
    <t>Misc - Security Provisions</t>
  </si>
  <si>
    <t>51</t>
  </si>
  <si>
    <t>SECURITY SERVICES</t>
  </si>
  <si>
    <t>50</t>
  </si>
  <si>
    <t>site security</t>
  </si>
  <si>
    <t>54</t>
  </si>
  <si>
    <t>SECURITY SERVICES Dept 2</t>
  </si>
  <si>
    <t>15250</t>
  </si>
  <si>
    <t>Professional CDM</t>
  </si>
  <si>
    <t>BUI0001</t>
  </si>
  <si>
    <t>1680/2019</t>
  </si>
  <si>
    <t>CDM Principal Designer Client Advisor and preparation of dig</t>
  </si>
  <si>
    <t>15160</t>
  </si>
  <si>
    <t>Building - Other Direct Contract work</t>
  </si>
  <si>
    <t>BUT0001</t>
  </si>
  <si>
    <t>1153210</t>
  </si>
  <si>
    <t>Construction of 12No. Industrial Units (Shell &amp; Core Only) A</t>
  </si>
  <si>
    <t>15171</t>
  </si>
  <si>
    <t>Building - Utilities</t>
  </si>
  <si>
    <t>CAD0001</t>
  </si>
  <si>
    <t>32921984</t>
  </si>
  <si>
    <t>Service Pipe Disconnection-</t>
  </si>
  <si>
    <t>15200</t>
  </si>
  <si>
    <t>Professional M &amp; E Engineer</t>
  </si>
  <si>
    <t>CUD0001</t>
  </si>
  <si>
    <t>1011683</t>
  </si>
  <si>
    <t>For professional Mechnical Electrical and Sustainability Con</t>
  </si>
  <si>
    <t>1012041</t>
  </si>
  <si>
    <t>1011762</t>
  </si>
  <si>
    <t>I011202</t>
  </si>
  <si>
    <t>Pofessional M&amp;E consultancy</t>
  </si>
  <si>
    <t>I011598</t>
  </si>
  <si>
    <t>Reimbursement of third party costs</t>
  </si>
  <si>
    <t>DEL0001</t>
  </si>
  <si>
    <t>DS021754</t>
  </si>
  <si>
    <t>Completion of soakaway tersting</t>
  </si>
  <si>
    <t>DS023641</t>
  </si>
  <si>
    <t>Completion of Remediation Strategy Report 1</t>
  </si>
  <si>
    <t>ECO0001</t>
  </si>
  <si>
    <t>7319E</t>
  </si>
  <si>
    <t>Completion of Ecological enhancement plan &amp; construction env</t>
  </si>
  <si>
    <t>7068E</t>
  </si>
  <si>
    <t>Completion of desk study etc</t>
  </si>
  <si>
    <t>FRE0001</t>
  </si>
  <si>
    <t>90293647</t>
  </si>
  <si>
    <t>Services up to completion in acquisition</t>
  </si>
  <si>
    <t>90298128</t>
  </si>
  <si>
    <t>Professional fees and Services</t>
  </si>
  <si>
    <t>15340</t>
  </si>
  <si>
    <t>Letting - Misc Holding costs</t>
  </si>
  <si>
    <t>90294436</t>
  </si>
  <si>
    <t>Professional fees in connection with Lloyds funding</t>
  </si>
  <si>
    <t>15300</t>
  </si>
  <si>
    <t>Letting - Legal Fees</t>
  </si>
  <si>
    <t>90309538</t>
  </si>
  <si>
    <t>Services in connection with insurance dispute</t>
  </si>
  <si>
    <t>Disbursements</t>
  </si>
  <si>
    <t>15320</t>
  </si>
  <si>
    <t>Letting - Marketing</t>
  </si>
  <si>
    <t>H40001</t>
  </si>
  <si>
    <t>INV-0547</t>
  </si>
  <si>
    <t>Produce a 3D model of the exterior</t>
  </si>
  <si>
    <t>JLL0001</t>
  </si>
  <si>
    <t>EN002-0302634</t>
  </si>
  <si>
    <t>To introduce Aerial House as development Opportunity</t>
  </si>
  <si>
    <t>15190</t>
  </si>
  <si>
    <t>Professional ConsultingEngineer</t>
  </si>
  <si>
    <t>MODE</t>
  </si>
  <si>
    <t>RE251331</t>
  </si>
  <si>
    <t>Baseline Trafic Surv, transport assmnt &amp; Framewk Travel Pln</t>
  </si>
  <si>
    <t>RE251284</t>
  </si>
  <si>
    <t>Baseline traffic survey</t>
  </si>
  <si>
    <t>RE251258</t>
  </si>
  <si>
    <t>Basline Traffic  Survey</t>
  </si>
  <si>
    <t>RE251356</t>
  </si>
  <si>
    <t>Baseline traffic survey, transport assessment &amp; framework</t>
  </si>
  <si>
    <t>RE251260</t>
  </si>
  <si>
    <t>Baseline Traffic Survey</t>
  </si>
  <si>
    <t>POR0001</t>
  </si>
  <si>
    <t>PP07909646v1OOB</t>
  </si>
  <si>
    <t>Planning application for Aerial House</t>
  </si>
  <si>
    <t>T0</t>
  </si>
  <si>
    <t>PP08096691v1TWT</t>
  </si>
  <si>
    <t>Pervice chg</t>
  </si>
  <si>
    <t>POW0001</t>
  </si>
  <si>
    <t>8995-3</t>
  </si>
  <si>
    <t>Prof engineering services</t>
  </si>
  <si>
    <t>8995-4</t>
  </si>
  <si>
    <t>8995-5</t>
  </si>
  <si>
    <t>ACCOUNT for professional engineering services rendered</t>
  </si>
  <si>
    <t>8995-1</t>
  </si>
  <si>
    <t>Professional engineering services</t>
  </si>
  <si>
    <t>8995-2</t>
  </si>
  <si>
    <t>Professioanl engineering services</t>
  </si>
  <si>
    <t>8995-FRA</t>
  </si>
  <si>
    <t>8995-D1</t>
  </si>
  <si>
    <t>8995-A1</t>
  </si>
  <si>
    <t>Design of drainage diversion including S106 application.</t>
  </si>
  <si>
    <t>PRO0001</t>
  </si>
  <si>
    <t>920884</t>
  </si>
  <si>
    <t>Brochure updates</t>
  </si>
  <si>
    <t>920715</t>
  </si>
  <si>
    <t>CPR advertisement</t>
  </si>
  <si>
    <t>RCD0001</t>
  </si>
  <si>
    <t>1743</t>
  </si>
  <si>
    <t>5no triasl hole investigations</t>
  </si>
  <si>
    <t>1888</t>
  </si>
  <si>
    <t>UKPN LV Disconnection</t>
  </si>
  <si>
    <t>1883</t>
  </si>
  <si>
    <t>UKPN HV Disconnections</t>
  </si>
  <si>
    <t>SAV0001</t>
  </si>
  <si>
    <t>U993572</t>
  </si>
  <si>
    <t>Planning consultancy Scs</t>
  </si>
  <si>
    <t>U976757</t>
  </si>
  <si>
    <t>Planning Consultancy Svcs</t>
  </si>
  <si>
    <t>U1011855</t>
  </si>
  <si>
    <t>Prior notiication for Demolition Planning</t>
  </si>
  <si>
    <t>SOUTHCOA</t>
  </si>
  <si>
    <t>1714</t>
  </si>
  <si>
    <t>1/4 pg full colour ad for chesham</t>
  </si>
  <si>
    <t>1609</t>
  </si>
  <si>
    <t>Advertisement for Thames Valley &amp; Heathrow CPR</t>
  </si>
  <si>
    <t>15172</t>
  </si>
  <si>
    <t>Building - Landscaping</t>
  </si>
  <si>
    <t>TAL0001</t>
  </si>
  <si>
    <t>780/001</t>
  </si>
  <si>
    <t>For prep of surveys, plkanting package</t>
  </si>
  <si>
    <t>15140</t>
  </si>
  <si>
    <t>Building - Main Contractors Costs</t>
  </si>
  <si>
    <t>TRC0001</t>
  </si>
  <si>
    <t>364532</t>
  </si>
  <si>
    <t>Noise assessment</t>
  </si>
  <si>
    <t>UK001</t>
  </si>
  <si>
    <t>92003037</t>
  </si>
  <si>
    <t>Relocate the existing sub-station-92003037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</si>
</sst>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£&quot;#,##0;[Red]\-&quot;£&quot;#,##0"/>
    <numFmt numFmtId="7" formatCode="&quot;£&quot;#,##0.00;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0.0000"/>
    <numFmt numFmtId="168" formatCode="0_ &quot;months&quot;"/>
    <numFmt numFmtId="169" formatCode="_-* #,##0_-;\-* #,##0_-;_-* &quot;-&quot;?_-;_-@_-"/>
    <numFmt numFmtId="170" formatCode="_-&quot;£&quot;* #,##0_-;\-&quot;£&quot;* #,##0_-;_-&quot;£&quot;* &quot;-&quot;??_-;_-@_-"/>
    <numFmt numFmtId="171" formatCode="_-* #,##0.0_-;\-* #,##0.0_-;_-* &quot;-&quot;?_-;_-@_-"/>
    <numFmt numFmtId="172" formatCode="_-* #,##0.0_-;\-* #,##0.0_-;_-* &quot;-&quot;??_-;_-@_-"/>
    <numFmt numFmtId="173" formatCode="0.0000%"/>
    <numFmt numFmtId="174" formatCode="#,##0.00%;[Red]\(#,##0.00%\);_-* &quot;-&quot;_-"/>
    <numFmt numFmtId="175" formatCode="_-[$£-809]* #,##0_-;\-[$£-809]* #,##0_-;_-[$£-809]* &quot;-&quot;??_-;_-@_-"/>
    <numFmt numFmtId="176" formatCode="_(* #,##0.00_);_(* \(#,##0.00\);_(* &quot;-&quot;??_);_(@_)"/>
    <numFmt numFmtId="177" formatCode="&quot;£&quot;#,##0"/>
    <numFmt numFmtId="178" formatCode="#,##0_);\(#,##0\);\–_);&quot;–&quot;_)"/>
  </numFmts>
  <fonts count="3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sz val="10"/>
      <color rgb="FFFF0000"/>
      <name val="Franklin Gothic Book"/>
      <family val="2"/>
    </font>
    <font>
      <sz val="10"/>
      <color rgb="FFFF0000"/>
      <name val="Franklin Gothic Book"/>
      <family val="2"/>
    </font>
    <font>
      <b/>
      <u/>
      <sz val="10"/>
      <name val="Franklin Gothic Book"/>
      <family val="2"/>
    </font>
    <font>
      <sz val="14"/>
      <color rgb="FFFF0000"/>
      <name val="Franklin Gothic Book"/>
      <family val="2"/>
    </font>
    <font>
      <b/>
      <sz val="9"/>
      <color rgb="FFFF0000"/>
      <name val="Franklin Gothic Book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A7D00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8"/>
      <name val="Arial"/>
      <family val="2"/>
    </font>
    <font>
      <b/>
      <i/>
      <sz val="10"/>
      <color theme="1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Arial"/>
      <family val="2"/>
    </font>
    <font>
      <sz val="11"/>
      <color rgb="FF0070C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9C0006"/>
      <name val="Arial"/>
      <family val="2"/>
    </font>
    <font>
      <b/>
      <i/>
      <u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DC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0" fillId="12" borderId="34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9" fillId="14" borderId="0" applyNumberFormat="0" applyBorder="0" applyAlignment="0" applyProtection="0"/>
    <xf numFmtId="0" fontId="33" fillId="15" borderId="0" applyNumberFormat="0" applyBorder="0" applyAlignment="0" applyProtection="0"/>
  </cellStyleXfs>
  <cellXfs count="437">
    <xf numFmtId="0" fontId="0" fillId="0" borderId="0" xfId="0"/>
    <xf numFmtId="22" fontId="5" fillId="0" borderId="0" xfId="3" applyNumberFormat="1" applyFont="1" applyAlignment="1">
      <alignment horizontal="right"/>
    </xf>
    <xf numFmtId="0" fontId="5" fillId="0" borderId="0" xfId="3" applyFont="1" applyAlignment="1">
      <alignment horizontal="right"/>
    </xf>
    <xf numFmtId="0" fontId="5" fillId="0" borderId="0" xfId="3" applyFont="1"/>
    <xf numFmtId="0" fontId="5" fillId="2" borderId="0" xfId="3" applyFont="1" applyFill="1"/>
    <xf numFmtId="0" fontId="4" fillId="3" borderId="1" xfId="4" applyFont="1" applyFill="1" applyBorder="1"/>
    <xf numFmtId="0" fontId="5" fillId="3" borderId="2" xfId="4" applyFont="1" applyFill="1" applyBorder="1"/>
    <xf numFmtId="0" fontId="4" fillId="3" borderId="3" xfId="4" applyFont="1" applyFill="1" applyBorder="1" applyAlignment="1">
      <alignment horizontal="right"/>
    </xf>
    <xf numFmtId="38" fontId="5" fillId="0" borderId="0" xfId="3" applyNumberFormat="1" applyFont="1"/>
    <xf numFmtId="0" fontId="4" fillId="3" borderId="1" xfId="3" applyFont="1" applyFill="1" applyBorder="1" applyAlignment="1">
      <alignment horizontal="left"/>
    </xf>
    <xf numFmtId="0" fontId="5" fillId="0" borderId="4" xfId="4" applyFont="1" applyBorder="1" applyAlignment="1">
      <alignment vertical="center"/>
    </xf>
    <xf numFmtId="0" fontId="5" fillId="0" borderId="5" xfId="4" applyFont="1" applyBorder="1" applyAlignment="1">
      <alignment vertical="center"/>
    </xf>
    <xf numFmtId="164" fontId="5" fillId="0" borderId="6" xfId="4" applyNumberFormat="1" applyFont="1" applyBorder="1" applyAlignment="1">
      <alignment vertic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vertical="center"/>
    </xf>
    <xf numFmtId="0" fontId="4" fillId="0" borderId="4" xfId="3" applyFont="1" applyBorder="1" applyAlignment="1">
      <alignment horizontal="left"/>
    </xf>
    <xf numFmtId="164" fontId="5" fillId="0" borderId="5" xfId="3" applyNumberFormat="1" applyFont="1" applyBorder="1" applyAlignment="1">
      <alignment horizontal="right"/>
    </xf>
    <xf numFmtId="0" fontId="5" fillId="0" borderId="6" xfId="3" applyFont="1" applyBorder="1" applyAlignment="1">
      <alignment horizontal="right"/>
    </xf>
    <xf numFmtId="0" fontId="4" fillId="0" borderId="7" xfId="3" applyFont="1" applyBorder="1" applyAlignment="1">
      <alignment horizontal="left"/>
    </xf>
    <xf numFmtId="0" fontId="5" fillId="0" borderId="8" xfId="3" applyFont="1" applyBorder="1" applyAlignment="1">
      <alignment horizontal="right"/>
    </xf>
    <xf numFmtId="0" fontId="5" fillId="0" borderId="7" xfId="4" applyFont="1" applyBorder="1"/>
    <xf numFmtId="0" fontId="5" fillId="0" borderId="0" xfId="4" applyFont="1" applyAlignment="1">
      <alignment horizontal="right"/>
    </xf>
    <xf numFmtId="38" fontId="5" fillId="0" borderId="8" xfId="4" applyNumberFormat="1" applyFont="1" applyBorder="1"/>
    <xf numFmtId="164" fontId="5" fillId="0" borderId="0" xfId="3" applyNumberFormat="1" applyFont="1" applyAlignment="1">
      <alignment horizontal="right"/>
    </xf>
    <xf numFmtId="0" fontId="5" fillId="0" borderId="7" xfId="4" applyFont="1" applyBorder="1" applyAlignment="1">
      <alignment horizontal="right"/>
    </xf>
    <xf numFmtId="0" fontId="4" fillId="0" borderId="7" xfId="3" applyFont="1" applyBorder="1" applyAlignment="1">
      <alignment horizontal="left" wrapText="1"/>
    </xf>
    <xf numFmtId="0" fontId="4" fillId="0" borderId="9" xfId="3" applyFont="1" applyBorder="1" applyAlignment="1">
      <alignment horizontal="left"/>
    </xf>
    <xf numFmtId="2" fontId="5" fillId="0" borderId="10" xfId="3" applyNumberFormat="1" applyFont="1" applyBorder="1" applyAlignment="1">
      <alignment horizontal="right"/>
    </xf>
    <xf numFmtId="0" fontId="5" fillId="0" borderId="11" xfId="3" applyFont="1" applyBorder="1" applyAlignment="1">
      <alignment horizontal="right"/>
    </xf>
    <xf numFmtId="0" fontId="5" fillId="3" borderId="2" xfId="3" applyFont="1" applyFill="1" applyBorder="1" applyAlignment="1">
      <alignment horizontal="right"/>
    </xf>
    <xf numFmtId="0" fontId="5" fillId="3" borderId="3" xfId="3" applyFont="1" applyFill="1" applyBorder="1" applyAlignment="1">
      <alignment horizontal="right"/>
    </xf>
    <xf numFmtId="0" fontId="5" fillId="3" borderId="12" xfId="3" applyFont="1" applyFill="1" applyBorder="1" applyAlignment="1">
      <alignment horizontal="right"/>
    </xf>
    <xf numFmtId="0" fontId="5" fillId="0" borderId="4" xfId="3" applyFont="1" applyBorder="1" applyAlignment="1">
      <alignment horizontal="left"/>
    </xf>
    <xf numFmtId="0" fontId="4" fillId="0" borderId="5" xfId="3" applyFont="1" applyBorder="1" applyAlignment="1">
      <alignment horizontal="right"/>
    </xf>
    <xf numFmtId="0" fontId="4" fillId="0" borderId="6" xfId="3" applyFont="1" applyBorder="1" applyAlignment="1">
      <alignment horizontal="right"/>
    </xf>
    <xf numFmtId="0" fontId="4" fillId="0" borderId="13" xfId="3" applyFont="1" applyBorder="1" applyAlignment="1">
      <alignment horizontal="right"/>
    </xf>
    <xf numFmtId="164" fontId="5" fillId="0" borderId="0" xfId="3" applyNumberFormat="1" applyFont="1"/>
    <xf numFmtId="164" fontId="5" fillId="2" borderId="0" xfId="3" applyNumberFormat="1" applyFont="1" applyFill="1"/>
    <xf numFmtId="164" fontId="5" fillId="0" borderId="8" xfId="5" applyNumberFormat="1" applyFont="1" applyBorder="1"/>
    <xf numFmtId="164" fontId="5" fillId="0" borderId="14" xfId="3" applyNumberFormat="1" applyFont="1" applyBorder="1"/>
    <xf numFmtId="9" fontId="5" fillId="2" borderId="0" xfId="6" applyFont="1" applyFill="1"/>
    <xf numFmtId="9" fontId="5" fillId="0" borderId="14" xfId="6" applyFont="1" applyBorder="1"/>
    <xf numFmtId="0" fontId="5" fillId="0" borderId="7" xfId="4" applyFont="1" applyBorder="1" applyAlignment="1">
      <alignment horizontal="left"/>
    </xf>
    <xf numFmtId="38" fontId="5" fillId="0" borderId="15" xfId="4" applyNumberFormat="1" applyFont="1" applyBorder="1"/>
    <xf numFmtId="0" fontId="5" fillId="0" borderId="1" xfId="3" applyFont="1" applyBorder="1" applyAlignment="1">
      <alignment horizontal="left"/>
    </xf>
    <xf numFmtId="164" fontId="5" fillId="0" borderId="3" xfId="3" applyNumberFormat="1" applyFont="1" applyBorder="1"/>
    <xf numFmtId="164" fontId="4" fillId="0" borderId="12" xfId="3" applyNumberFormat="1" applyFont="1" applyBorder="1"/>
    <xf numFmtId="164" fontId="5" fillId="0" borderId="12" xfId="3" applyNumberFormat="1" applyFont="1" applyBorder="1"/>
    <xf numFmtId="10" fontId="5" fillId="0" borderId="8" xfId="6" applyNumberFormat="1" applyFont="1" applyBorder="1"/>
    <xf numFmtId="0" fontId="5" fillId="0" borderId="7" xfId="3" applyFont="1" applyBorder="1" applyAlignment="1">
      <alignment horizontal="left"/>
    </xf>
    <xf numFmtId="10" fontId="5" fillId="2" borderId="0" xfId="6" applyNumberFormat="1" applyFont="1" applyFill="1" applyAlignment="1">
      <alignment horizontal="right"/>
    </xf>
    <xf numFmtId="164" fontId="5" fillId="0" borderId="8" xfId="3" applyNumberFormat="1" applyFont="1" applyBorder="1"/>
    <xf numFmtId="0" fontId="5" fillId="0" borderId="0" xfId="4" applyFont="1" applyAlignment="1">
      <alignment horizontal="left"/>
    </xf>
    <xf numFmtId="10" fontId="5" fillId="2" borderId="0" xfId="3" applyNumberFormat="1" applyFont="1" applyFill="1" applyAlignment="1">
      <alignment horizontal="right"/>
    </xf>
    <xf numFmtId="0" fontId="5" fillId="0" borderId="7" xfId="3" applyFont="1" applyBorder="1"/>
    <xf numFmtId="10" fontId="5" fillId="0" borderId="7" xfId="6" applyNumberFormat="1" applyFont="1" applyBorder="1" applyAlignment="1">
      <alignment horizontal="left"/>
    </xf>
    <xf numFmtId="10" fontId="5" fillId="0" borderId="8" xfId="6" applyNumberFormat="1" applyFont="1" applyBorder="1" applyAlignment="1">
      <alignment horizontal="right"/>
    </xf>
    <xf numFmtId="10" fontId="5" fillId="0" borderId="0" xfId="6" applyNumberFormat="1" applyFont="1" applyAlignment="1">
      <alignment horizontal="right"/>
    </xf>
    <xf numFmtId="0" fontId="5" fillId="0" borderId="8" xfId="3" applyFont="1" applyBorder="1"/>
    <xf numFmtId="164" fontId="5" fillId="2" borderId="5" xfId="5" applyNumberFormat="1" applyFont="1" applyFill="1" applyBorder="1" applyAlignment="1">
      <alignment horizontal="right"/>
    </xf>
    <xf numFmtId="164" fontId="5" fillId="2" borderId="0" xfId="5" applyNumberFormat="1" applyFont="1" applyFill="1" applyAlignment="1">
      <alignment horizontal="right"/>
    </xf>
    <xf numFmtId="164" fontId="5" fillId="0" borderId="0" xfId="5" applyNumberFormat="1" applyFont="1" applyAlignment="1">
      <alignment horizontal="right"/>
    </xf>
    <xf numFmtId="164" fontId="5" fillId="0" borderId="11" xfId="5" applyNumberFormat="1" applyFont="1" applyBorder="1" applyAlignment="1">
      <alignment horizontal="right"/>
    </xf>
    <xf numFmtId="0" fontId="4" fillId="0" borderId="0" xfId="3" applyFont="1" applyAlignment="1">
      <alignment horizontal="left"/>
    </xf>
    <xf numFmtId="10" fontId="5" fillId="3" borderId="12" xfId="6" applyNumberFormat="1" applyFont="1" applyFill="1" applyBorder="1" applyAlignment="1">
      <alignment horizontal="right"/>
    </xf>
    <xf numFmtId="165" fontId="5" fillId="2" borderId="2" xfId="3" applyNumberFormat="1" applyFont="1" applyFill="1" applyBorder="1" applyAlignment="1">
      <alignment horizontal="right"/>
    </xf>
    <xf numFmtId="165" fontId="5" fillId="2" borderId="3" xfId="3" applyNumberFormat="1" applyFont="1" applyFill="1" applyBorder="1" applyAlignment="1">
      <alignment horizontal="right"/>
    </xf>
    <xf numFmtId="10" fontId="5" fillId="3" borderId="14" xfId="6" applyNumberFormat="1" applyFont="1" applyFill="1" applyBorder="1" applyAlignment="1">
      <alignment horizontal="right"/>
    </xf>
    <xf numFmtId="10" fontId="5" fillId="3" borderId="0" xfId="6" applyNumberFormat="1" applyFont="1" applyFill="1" applyAlignment="1">
      <alignment horizontal="right"/>
    </xf>
    <xf numFmtId="10" fontId="5" fillId="3" borderId="8" xfId="6" applyNumberFormat="1" applyFont="1" applyFill="1" applyBorder="1" applyAlignment="1">
      <alignment horizontal="right"/>
    </xf>
    <xf numFmtId="0" fontId="4" fillId="0" borderId="0" xfId="3" applyFont="1"/>
    <xf numFmtId="9" fontId="5" fillId="2" borderId="14" xfId="6" applyFont="1" applyFill="1" applyBorder="1" applyAlignment="1">
      <alignment horizontal="right"/>
    </xf>
    <xf numFmtId="9" fontId="5" fillId="2" borderId="17" xfId="6" applyFont="1" applyFill="1" applyBorder="1" applyAlignment="1">
      <alignment horizontal="right"/>
    </xf>
    <xf numFmtId="165" fontId="5" fillId="0" borderId="0" xfId="3" applyNumberFormat="1" applyFont="1" applyAlignment="1">
      <alignment horizontal="right"/>
    </xf>
    <xf numFmtId="166" fontId="5" fillId="0" borderId="0" xfId="3" applyNumberFormat="1" applyFont="1" applyAlignment="1">
      <alignment horizontal="right"/>
    </xf>
    <xf numFmtId="0" fontId="4" fillId="4" borderId="18" xfId="3" applyFont="1" applyFill="1" applyBorder="1" applyAlignment="1">
      <alignment horizontal="left"/>
    </xf>
    <xf numFmtId="0" fontId="5" fillId="4" borderId="19" xfId="3" applyFont="1" applyFill="1" applyBorder="1" applyAlignment="1">
      <alignment horizontal="left"/>
    </xf>
    <xf numFmtId="0" fontId="4" fillId="4" borderId="20" xfId="3" applyFont="1" applyFill="1" applyBorder="1" applyAlignment="1">
      <alignment horizontal="right"/>
    </xf>
    <xf numFmtId="0" fontId="4" fillId="4" borderId="20" xfId="3" applyFont="1" applyFill="1" applyBorder="1"/>
    <xf numFmtId="0" fontId="4" fillId="4" borderId="21" xfId="3" applyFont="1" applyFill="1" applyBorder="1" applyAlignment="1">
      <alignment horizontal="left"/>
    </xf>
    <xf numFmtId="0" fontId="5" fillId="4" borderId="22" xfId="3" applyFont="1" applyFill="1" applyBorder="1" applyAlignment="1">
      <alignment horizontal="left"/>
    </xf>
    <xf numFmtId="0" fontId="4" fillId="4" borderId="20" xfId="3" applyFont="1" applyFill="1" applyBorder="1" applyAlignment="1">
      <alignment horizontal="right" wrapText="1"/>
    </xf>
    <xf numFmtId="17" fontId="5" fillId="3" borderId="20" xfId="3" applyNumberFormat="1" applyFont="1" applyFill="1" applyBorder="1"/>
    <xf numFmtId="17" fontId="5" fillId="3" borderId="18" xfId="3" applyNumberFormat="1" applyFont="1" applyFill="1" applyBorder="1"/>
    <xf numFmtId="17" fontId="5" fillId="3" borderId="23" xfId="3" applyNumberFormat="1" applyFont="1" applyFill="1" applyBorder="1"/>
    <xf numFmtId="3" fontId="5" fillId="0" borderId="0" xfId="4" applyNumberFormat="1" applyFont="1" applyAlignment="1">
      <alignment horizontal="left"/>
    </xf>
    <xf numFmtId="7" fontId="5" fillId="2" borderId="0" xfId="3" applyNumberFormat="1" applyFont="1" applyFill="1" applyAlignment="1">
      <alignment horizontal="right"/>
    </xf>
    <xf numFmtId="167" fontId="5" fillId="0" borderId="0" xfId="3" applyNumberFormat="1" applyFont="1" applyAlignment="1">
      <alignment horizontal="right"/>
    </xf>
    <xf numFmtId="168" fontId="5" fillId="2" borderId="0" xfId="3" applyNumberFormat="1" applyFont="1" applyFill="1" applyAlignment="1">
      <alignment horizontal="right"/>
    </xf>
    <xf numFmtId="17" fontId="5" fillId="2" borderId="24" xfId="5" applyNumberFormat="1" applyFont="1" applyFill="1" applyBorder="1" applyAlignment="1">
      <alignment horizontal="right"/>
    </xf>
    <xf numFmtId="17" fontId="5" fillId="0" borderId="24" xfId="5" applyNumberFormat="1" applyFont="1" applyBorder="1" applyAlignment="1">
      <alignment horizontal="right"/>
    </xf>
    <xf numFmtId="164" fontId="5" fillId="3" borderId="13" xfId="3" applyNumberFormat="1" applyFont="1" applyFill="1" applyBorder="1"/>
    <xf numFmtId="44" fontId="5" fillId="0" borderId="0" xfId="7" applyFont="1" applyAlignment="1">
      <alignment horizontal="right"/>
    </xf>
    <xf numFmtId="168" fontId="5" fillId="0" borderId="0" xfId="3" applyNumberFormat="1" applyFont="1" applyAlignment="1">
      <alignment horizontal="right"/>
    </xf>
    <xf numFmtId="164" fontId="5" fillId="0" borderId="25" xfId="5" applyNumberFormat="1" applyFont="1" applyBorder="1" applyAlignment="1">
      <alignment horizontal="right"/>
    </xf>
    <xf numFmtId="7" fontId="5" fillId="0" borderId="0" xfId="3" applyNumberFormat="1" applyFont="1" applyAlignment="1">
      <alignment horizontal="right"/>
    </xf>
    <xf numFmtId="2" fontId="5" fillId="0" borderId="0" xfId="3" applyNumberFormat="1" applyFont="1" applyAlignment="1">
      <alignment horizontal="right"/>
    </xf>
    <xf numFmtId="164" fontId="5" fillId="0" borderId="26" xfId="3" applyNumberFormat="1" applyFont="1" applyBorder="1"/>
    <xf numFmtId="0" fontId="5" fillId="0" borderId="20" xfId="3" applyFont="1" applyBorder="1"/>
    <xf numFmtId="0" fontId="5" fillId="0" borderId="24" xfId="3" applyFont="1" applyBorder="1"/>
    <xf numFmtId="0" fontId="4" fillId="0" borderId="0" xfId="3" applyFont="1" applyAlignment="1">
      <alignment horizontal="center"/>
    </xf>
    <xf numFmtId="43" fontId="5" fillId="0" borderId="0" xfId="3" applyNumberFormat="1" applyFont="1" applyAlignment="1">
      <alignment horizontal="right"/>
    </xf>
    <xf numFmtId="164" fontId="5" fillId="0" borderId="27" xfId="5" applyNumberFormat="1" applyFont="1" applyBorder="1" applyAlignment="1">
      <alignment horizontal="right"/>
    </xf>
    <xf numFmtId="164" fontId="5" fillId="3" borderId="14" xfId="3" applyNumberFormat="1" applyFont="1" applyFill="1" applyBorder="1"/>
    <xf numFmtId="0" fontId="5" fillId="0" borderId="0" xfId="3" applyFont="1" applyAlignment="1">
      <alignment horizontal="center"/>
    </xf>
    <xf numFmtId="0" fontId="7" fillId="0" borderId="0" xfId="3" applyFont="1" applyAlignment="1">
      <alignment horizontal="left"/>
    </xf>
    <xf numFmtId="164" fontId="7" fillId="0" borderId="0" xfId="5" applyNumberFormat="1" applyFont="1" applyAlignment="1">
      <alignment horizontal="right"/>
    </xf>
    <xf numFmtId="169" fontId="5" fillId="0" borderId="0" xfId="3" applyNumberFormat="1" applyFont="1" applyAlignment="1">
      <alignment horizontal="right"/>
    </xf>
    <xf numFmtId="170" fontId="5" fillId="0" borderId="0" xfId="7" applyNumberFormat="1" applyFont="1" applyAlignment="1">
      <alignment horizontal="right"/>
    </xf>
    <xf numFmtId="43" fontId="5" fillId="0" borderId="0" xfId="5" applyFont="1" applyAlignment="1">
      <alignment horizontal="right"/>
    </xf>
    <xf numFmtId="0" fontId="5" fillId="0" borderId="3" xfId="3" applyFont="1" applyBorder="1" applyAlignment="1">
      <alignment horizontal="right"/>
    </xf>
    <xf numFmtId="164" fontId="6" fillId="0" borderId="0" xfId="5" applyNumberFormat="1" applyFont="1" applyAlignment="1">
      <alignment horizontal="left"/>
    </xf>
    <xf numFmtId="164" fontId="5" fillId="5" borderId="0" xfId="5" applyNumberFormat="1" applyFont="1" applyFill="1" applyAlignment="1">
      <alignment horizontal="right"/>
    </xf>
    <xf numFmtId="10" fontId="5" fillId="5" borderId="0" xfId="3" applyNumberFormat="1" applyFont="1" applyFill="1" applyAlignment="1">
      <alignment horizontal="right"/>
    </xf>
    <xf numFmtId="164" fontId="5" fillId="0" borderId="25" xfId="3" applyNumberFormat="1" applyFont="1" applyBorder="1" applyAlignment="1">
      <alignment horizontal="right"/>
    </xf>
    <xf numFmtId="9" fontId="8" fillId="0" borderId="13" xfId="3" applyNumberFormat="1" applyFont="1" applyBorder="1" applyAlignment="1">
      <alignment horizontal="right"/>
    </xf>
    <xf numFmtId="3" fontId="5" fillId="0" borderId="0" xfId="3" applyNumberFormat="1" applyFont="1" applyAlignment="1">
      <alignment horizontal="left"/>
    </xf>
    <xf numFmtId="171" fontId="5" fillId="0" borderId="14" xfId="3" applyNumberFormat="1" applyFont="1" applyBorder="1" applyAlignment="1">
      <alignment horizontal="right"/>
    </xf>
    <xf numFmtId="171" fontId="5" fillId="0" borderId="17" xfId="3" applyNumberFormat="1" applyFont="1" applyBorder="1" applyAlignment="1">
      <alignment horizontal="right"/>
    </xf>
    <xf numFmtId="172" fontId="5" fillId="0" borderId="0" xfId="5" applyNumberFormat="1" applyFont="1" applyAlignment="1">
      <alignment horizontal="right"/>
    </xf>
    <xf numFmtId="169" fontId="5" fillId="0" borderId="25" xfId="3" applyNumberFormat="1" applyFont="1" applyBorder="1" applyAlignment="1">
      <alignment horizontal="right"/>
    </xf>
    <xf numFmtId="169" fontId="5" fillId="6" borderId="1" xfId="3" applyNumberFormat="1" applyFont="1" applyFill="1" applyBorder="1" applyAlignment="1">
      <alignment horizontal="left"/>
    </xf>
    <xf numFmtId="169" fontId="5" fillId="6" borderId="3" xfId="3" applyNumberFormat="1" applyFont="1" applyFill="1" applyBorder="1"/>
    <xf numFmtId="9" fontId="5" fillId="2" borderId="0" xfId="3" applyNumberFormat="1" applyFont="1" applyFill="1" applyAlignment="1">
      <alignment horizontal="right"/>
    </xf>
    <xf numFmtId="43" fontId="5" fillId="0" borderId="0" xfId="3" applyNumberFormat="1" applyFont="1"/>
    <xf numFmtId="0" fontId="5" fillId="2" borderId="0" xfId="3" applyFont="1" applyFill="1" applyAlignment="1">
      <alignment horizontal="right"/>
    </xf>
    <xf numFmtId="164" fontId="5" fillId="0" borderId="0" xfId="5" applyNumberFormat="1" applyFont="1" applyAlignment="1">
      <alignment horizontal="right" vertical="center"/>
    </xf>
    <xf numFmtId="168" fontId="5" fillId="2" borderId="0" xfId="3" applyNumberFormat="1" applyFont="1" applyFill="1" applyAlignment="1">
      <alignment horizontal="right" vertical="center"/>
    </xf>
    <xf numFmtId="164" fontId="5" fillId="2" borderId="0" xfId="5" applyNumberFormat="1" applyFont="1" applyFill="1" applyAlignment="1">
      <alignment horizontal="right" vertical="center"/>
    </xf>
    <xf numFmtId="0" fontId="5" fillId="0" borderId="0" xfId="3" applyFont="1" applyAlignment="1">
      <alignment horizontal="left" vertical="center"/>
    </xf>
    <xf numFmtId="164" fontId="5" fillId="2" borderId="0" xfId="3" applyNumberFormat="1" applyFont="1" applyFill="1" applyAlignment="1">
      <alignment horizontal="right"/>
    </xf>
    <xf numFmtId="43" fontId="5" fillId="2" borderId="0" xfId="5" applyFont="1" applyFill="1" applyAlignment="1">
      <alignment horizontal="right"/>
    </xf>
    <xf numFmtId="166" fontId="5" fillId="2" borderId="0" xfId="3" applyNumberFormat="1" applyFont="1" applyFill="1" applyAlignment="1">
      <alignment horizontal="right"/>
    </xf>
    <xf numFmtId="166" fontId="5" fillId="5" borderId="0" xfId="3" applyNumberFormat="1" applyFont="1" applyFill="1" applyAlignment="1">
      <alignment horizontal="right"/>
    </xf>
    <xf numFmtId="166" fontId="5" fillId="0" borderId="0" xfId="6" applyNumberFormat="1" applyFont="1" applyAlignment="1">
      <alignment horizontal="right"/>
    </xf>
    <xf numFmtId="164" fontId="5" fillId="3" borderId="17" xfId="3" applyNumberFormat="1" applyFont="1" applyFill="1" applyBorder="1"/>
    <xf numFmtId="164" fontId="5" fillId="0" borderId="28" xfId="3" applyNumberFormat="1" applyFont="1" applyBorder="1" applyAlignment="1">
      <alignment horizontal="right"/>
    </xf>
    <xf numFmtId="0" fontId="4" fillId="0" borderId="0" xfId="3" applyFont="1" applyAlignment="1">
      <alignment horizontal="right"/>
    </xf>
    <xf numFmtId="9" fontId="5" fillId="0" borderId="0" xfId="3" applyNumberFormat="1" applyFont="1" applyAlignment="1">
      <alignment horizontal="right"/>
    </xf>
    <xf numFmtId="164" fontId="5" fillId="0" borderId="0" xfId="5" applyNumberFormat="1" applyFont="1"/>
    <xf numFmtId="164" fontId="5" fillId="0" borderId="25" xfId="3" applyNumberFormat="1" applyFont="1" applyBorder="1"/>
    <xf numFmtId="164" fontId="5" fillId="0" borderId="25" xfId="5" applyNumberFormat="1" applyFont="1" applyBorder="1"/>
    <xf numFmtId="10" fontId="5" fillId="0" borderId="0" xfId="3" applyNumberFormat="1" applyFont="1" applyAlignment="1">
      <alignment horizontal="right"/>
    </xf>
    <xf numFmtId="9" fontId="5" fillId="0" borderId="0" xfId="6" applyFont="1" applyAlignment="1">
      <alignment horizontal="right"/>
    </xf>
    <xf numFmtId="9" fontId="5" fillId="0" borderId="0" xfId="3" applyNumberFormat="1" applyFont="1"/>
    <xf numFmtId="10" fontId="5" fillId="0" borderId="0" xfId="6" applyNumberFormat="1" applyFont="1" applyAlignment="1">
      <alignment horizontal="left"/>
    </xf>
    <xf numFmtId="10" fontId="5" fillId="0" borderId="0" xfId="6" applyNumberFormat="1" applyFont="1"/>
    <xf numFmtId="10" fontId="4" fillId="0" borderId="0" xfId="6" applyNumberFormat="1" applyFont="1" applyAlignment="1">
      <alignment horizontal="left"/>
    </xf>
    <xf numFmtId="0" fontId="4" fillId="0" borderId="25" xfId="3" applyFont="1" applyBorder="1"/>
    <xf numFmtId="0" fontId="5" fillId="0" borderId="25" xfId="3" applyFont="1" applyBorder="1"/>
    <xf numFmtId="164" fontId="4" fillId="0" borderId="0" xfId="5" applyNumberFormat="1" applyFont="1" applyAlignment="1">
      <alignment horizontal="left"/>
    </xf>
    <xf numFmtId="166" fontId="5" fillId="0" borderId="0" xfId="3" applyNumberFormat="1" applyFont="1"/>
    <xf numFmtId="38" fontId="5" fillId="0" borderId="16" xfId="4" applyNumberFormat="1" applyFont="1" applyBorder="1"/>
    <xf numFmtId="0" fontId="5" fillId="0" borderId="0" xfId="3" applyFont="1" applyFill="1" applyBorder="1"/>
    <xf numFmtId="0" fontId="5" fillId="0" borderId="0" xfId="3" applyFont="1" applyBorder="1"/>
    <xf numFmtId="0" fontId="5" fillId="0" borderId="0" xfId="3" applyFont="1" applyBorder="1" applyAlignment="1">
      <alignment horizontal="right"/>
    </xf>
    <xf numFmtId="164" fontId="5" fillId="0" borderId="0" xfId="3" applyNumberFormat="1" applyFont="1" applyBorder="1" applyAlignment="1">
      <alignment horizontal="right"/>
    </xf>
    <xf numFmtId="38" fontId="5" fillId="0" borderId="0" xfId="3" applyNumberFormat="1" applyFont="1" applyBorder="1"/>
    <xf numFmtId="164" fontId="5" fillId="0" borderId="0" xfId="4" applyNumberFormat="1" applyFont="1" applyBorder="1" applyAlignment="1">
      <alignment horizontal="right"/>
    </xf>
    <xf numFmtId="0" fontId="5" fillId="0" borderId="0" xfId="4" applyFont="1" applyBorder="1" applyAlignment="1">
      <alignment horizontal="right"/>
    </xf>
    <xf numFmtId="0" fontId="4" fillId="0" borderId="0" xfId="4" applyFont="1" applyFill="1" applyBorder="1"/>
    <xf numFmtId="10" fontId="4" fillId="0" borderId="0" xfId="6" applyNumberFormat="1" applyFont="1" applyFill="1" applyBorder="1"/>
    <xf numFmtId="0" fontId="5" fillId="0" borderId="0" xfId="4" applyFont="1" applyFill="1" applyBorder="1"/>
    <xf numFmtId="0" fontId="5" fillId="0" borderId="10" xfId="4" applyFont="1" applyFill="1" applyBorder="1"/>
    <xf numFmtId="166" fontId="5" fillId="0" borderId="0" xfId="4" applyNumberFormat="1" applyFont="1" applyFill="1" applyBorder="1"/>
    <xf numFmtId="0" fontId="4" fillId="0" borderId="0" xfId="3" applyFont="1" applyFill="1" applyBorder="1"/>
    <xf numFmtId="2" fontId="4" fillId="0" borderId="0" xfId="3" applyNumberFormat="1" applyFont="1" applyFill="1" applyBorder="1"/>
    <xf numFmtId="17" fontId="5" fillId="0" borderId="0" xfId="3" applyNumberFormat="1" applyFont="1" applyFill="1" applyBorder="1"/>
    <xf numFmtId="0" fontId="5" fillId="0" borderId="9" xfId="4" applyFont="1" applyFill="1" applyBorder="1"/>
    <xf numFmtId="164" fontId="5" fillId="0" borderId="11" xfId="5" applyNumberFormat="1" applyFont="1" applyFill="1" applyBorder="1"/>
    <xf numFmtId="0" fontId="0" fillId="7" borderId="0" xfId="0" applyFill="1"/>
    <xf numFmtId="14" fontId="0" fillId="0" borderId="0" xfId="0" applyNumberFormat="1" applyAlignment="1">
      <alignment horizontal="left"/>
    </xf>
    <xf numFmtId="0" fontId="0" fillId="0" borderId="0" xfId="0" applyFont="1"/>
    <xf numFmtId="9" fontId="5" fillId="2" borderId="12" xfId="2" applyFont="1" applyFill="1" applyBorder="1"/>
    <xf numFmtId="164" fontId="5" fillId="2" borderId="12" xfId="3" applyNumberFormat="1" applyFont="1" applyFill="1" applyBorder="1"/>
    <xf numFmtId="164" fontId="5" fillId="0" borderId="0" xfId="3" applyNumberFormat="1" applyFont="1" applyAlignment="1">
      <alignment horizontal="right" vertical="center"/>
    </xf>
    <xf numFmtId="43" fontId="5" fillId="0" borderId="0" xfId="5" applyFont="1" applyAlignment="1">
      <alignment horizontal="right" vertical="center"/>
    </xf>
    <xf numFmtId="43" fontId="9" fillId="0" borderId="0" xfId="3" applyNumberFormat="1" applyFont="1" applyAlignment="1">
      <alignment vertical="center"/>
    </xf>
    <xf numFmtId="164" fontId="5" fillId="0" borderId="0" xfId="3" applyNumberFormat="1" applyFont="1" applyAlignment="1">
      <alignment vertical="center"/>
    </xf>
    <xf numFmtId="17" fontId="5" fillId="2" borderId="24" xfId="5" applyNumberFormat="1" applyFont="1" applyFill="1" applyBorder="1" applyAlignment="1">
      <alignment horizontal="right" vertical="center"/>
    </xf>
    <xf numFmtId="17" fontId="5" fillId="0" borderId="24" xfId="5" applyNumberFormat="1" applyFont="1" applyBorder="1" applyAlignment="1">
      <alignment horizontal="right" vertical="center"/>
    </xf>
    <xf numFmtId="164" fontId="5" fillId="3" borderId="14" xfId="3" applyNumberFormat="1" applyFont="1" applyFill="1" applyBorder="1" applyAlignment="1">
      <alignment vertical="center"/>
    </xf>
    <xf numFmtId="164" fontId="10" fillId="0" borderId="0" xfId="5" applyNumberFormat="1" applyFont="1" applyAlignment="1">
      <alignment horizontal="left" vertical="center"/>
    </xf>
    <xf numFmtId="10" fontId="5" fillId="2" borderId="0" xfId="6" applyNumberFormat="1" applyFont="1" applyFill="1" applyBorder="1" applyAlignment="1">
      <alignment horizontal="right"/>
    </xf>
    <xf numFmtId="164" fontId="5" fillId="0" borderId="0" xfId="3" applyNumberFormat="1" applyFont="1" applyBorder="1"/>
    <xf numFmtId="0" fontId="5" fillId="0" borderId="5" xfId="3" applyFont="1" applyBorder="1" applyAlignment="1">
      <alignment horizontal="right"/>
    </xf>
    <xf numFmtId="10" fontId="5" fillId="2" borderId="0" xfId="3" applyNumberFormat="1" applyFont="1" applyFill="1" applyBorder="1" applyAlignment="1">
      <alignment horizontal="right"/>
    </xf>
    <xf numFmtId="0" fontId="8" fillId="0" borderId="7" xfId="3" applyFont="1" applyBorder="1" applyAlignment="1">
      <alignment horizontal="left"/>
    </xf>
    <xf numFmtId="164" fontId="5" fillId="0" borderId="0" xfId="5" applyNumberFormat="1" applyFont="1" applyFill="1" applyBorder="1" applyAlignment="1">
      <alignment horizontal="right"/>
    </xf>
    <xf numFmtId="164" fontId="5" fillId="0" borderId="10" xfId="1" applyNumberFormat="1" applyFont="1" applyFill="1" applyBorder="1" applyAlignment="1">
      <alignment horizontal="right"/>
    </xf>
    <xf numFmtId="173" fontId="5" fillId="0" borderId="0" xfId="6" applyNumberFormat="1" applyFont="1" applyAlignment="1">
      <alignment horizontal="right"/>
    </xf>
    <xf numFmtId="165" fontId="4" fillId="0" borderId="0" xfId="3" applyNumberFormat="1" applyFont="1" applyAlignment="1">
      <alignment horizontal="left"/>
    </xf>
    <xf numFmtId="164" fontId="5" fillId="0" borderId="0" xfId="1" applyNumberFormat="1" applyFont="1"/>
    <xf numFmtId="165" fontId="0" fillId="0" borderId="0" xfId="0" applyNumberFormat="1"/>
    <xf numFmtId="174" fontId="5" fillId="0" borderId="4" xfId="6" applyNumberFormat="1" applyFont="1" applyBorder="1"/>
    <xf numFmtId="174" fontId="5" fillId="0" borderId="5" xfId="6" applyNumberFormat="1" applyFont="1" applyBorder="1"/>
    <xf numFmtId="174" fontId="5" fillId="0" borderId="6" xfId="6" applyNumberFormat="1" applyFont="1" applyBorder="1"/>
    <xf numFmtId="174" fontId="5" fillId="0" borderId="7" xfId="6" applyNumberFormat="1" applyFont="1" applyBorder="1"/>
    <xf numFmtId="174" fontId="5" fillId="0" borderId="0" xfId="6" applyNumberFormat="1" applyFont="1"/>
    <xf numFmtId="174" fontId="5" fillId="0" borderId="12" xfId="6" applyNumberFormat="1" applyFont="1" applyBorder="1"/>
    <xf numFmtId="174" fontId="5" fillId="0" borderId="8" xfId="6" applyNumberFormat="1" applyFont="1" applyBorder="1"/>
    <xf numFmtId="174" fontId="5" fillId="0" borderId="9" xfId="6" applyNumberFormat="1" applyFont="1" applyBorder="1"/>
    <xf numFmtId="174" fontId="5" fillId="0" borderId="10" xfId="6" applyNumberFormat="1" applyFont="1" applyBorder="1"/>
    <xf numFmtId="174" fontId="5" fillId="0" borderId="11" xfId="6" applyNumberFormat="1" applyFont="1" applyBorder="1"/>
    <xf numFmtId="43" fontId="0" fillId="0" borderId="0" xfId="1" applyFont="1" applyFill="1"/>
    <xf numFmtId="6" fontId="5" fillId="0" borderId="0" xfId="3" applyNumberFormat="1" applyFont="1"/>
    <xf numFmtId="0" fontId="5" fillId="0" borderId="31" xfId="3" applyFont="1" applyBorder="1"/>
    <xf numFmtId="164" fontId="5" fillId="0" borderId="31" xfId="5" applyNumberFormat="1" applyFont="1" applyBorder="1" applyAlignment="1">
      <alignment horizontal="right"/>
    </xf>
    <xf numFmtId="164" fontId="5" fillId="0" borderId="31" xfId="5" applyNumberFormat="1" applyFont="1" applyBorder="1" applyAlignment="1">
      <alignment horizontal="right" vertical="center"/>
    </xf>
    <xf numFmtId="164" fontId="5" fillId="0" borderId="31" xfId="3" applyNumberFormat="1" applyFont="1" applyBorder="1"/>
    <xf numFmtId="164" fontId="5" fillId="0" borderId="31" xfId="5" applyNumberFormat="1" applyFont="1" applyBorder="1"/>
    <xf numFmtId="164" fontId="5" fillId="0" borderId="27" xfId="5" applyNumberFormat="1" applyFont="1" applyBorder="1"/>
    <xf numFmtId="10" fontId="5" fillId="0" borderId="31" xfId="6" applyNumberFormat="1" applyFont="1" applyBorder="1" applyAlignment="1">
      <alignment horizontal="right"/>
    </xf>
    <xf numFmtId="164" fontId="5" fillId="0" borderId="27" xfId="3" applyNumberFormat="1" applyFont="1" applyBorder="1"/>
    <xf numFmtId="0" fontId="11" fillId="0" borderId="0" xfId="0" applyFont="1" applyProtection="1">
      <protection locked="0"/>
    </xf>
    <xf numFmtId="0" fontId="11" fillId="0" borderId="31" xfId="0" applyFont="1" applyBorder="1" applyProtection="1">
      <protection locked="0"/>
    </xf>
    <xf numFmtId="0" fontId="11" fillId="0" borderId="0" xfId="0" applyFont="1" applyFill="1" applyBorder="1" applyProtection="1">
      <protection locked="0"/>
    </xf>
    <xf numFmtId="0" fontId="12" fillId="0" borderId="0" xfId="0" applyFont="1" applyProtection="1">
      <protection locked="0"/>
    </xf>
    <xf numFmtId="164" fontId="11" fillId="0" borderId="31" xfId="1" applyNumberFormat="1" applyFont="1" applyBorder="1" applyProtection="1">
      <protection locked="0"/>
    </xf>
    <xf numFmtId="164" fontId="11" fillId="0" borderId="0" xfId="1" applyNumberFormat="1" applyFont="1" applyProtection="1">
      <protection locked="0"/>
    </xf>
    <xf numFmtId="164" fontId="11" fillId="0" borderId="0" xfId="1" applyNumberFormat="1" applyFont="1" applyFill="1" applyBorder="1" applyProtection="1">
      <protection locked="0"/>
    </xf>
    <xf numFmtId="0" fontId="13" fillId="0" borderId="29" xfId="0" applyFont="1" applyBorder="1" applyProtection="1">
      <protection locked="0"/>
    </xf>
    <xf numFmtId="164" fontId="13" fillId="0" borderId="26" xfId="1" applyNumberFormat="1" applyFont="1" applyBorder="1" applyProtection="1">
      <protection locked="0"/>
    </xf>
    <xf numFmtId="164" fontId="13" fillId="0" borderId="29" xfId="1" applyNumberFormat="1" applyFont="1" applyBorder="1" applyProtection="1">
      <protection locked="0"/>
    </xf>
    <xf numFmtId="164" fontId="11" fillId="0" borderId="29" xfId="1" applyNumberFormat="1" applyFont="1" applyBorder="1" applyProtection="1">
      <protection locked="0"/>
    </xf>
    <xf numFmtId="164" fontId="11" fillId="0" borderId="26" xfId="1" applyNumberFormat="1" applyFont="1" applyBorder="1" applyProtection="1">
      <protection locked="0"/>
    </xf>
    <xf numFmtId="164" fontId="13" fillId="0" borderId="26" xfId="1" applyNumberFormat="1" applyFont="1" applyBorder="1" applyProtection="1"/>
    <xf numFmtId="164" fontId="13" fillId="0" borderId="29" xfId="1" applyNumberFormat="1" applyFont="1" applyBorder="1" applyProtection="1"/>
    <xf numFmtId="164" fontId="11" fillId="0" borderId="31" xfId="1" applyNumberFormat="1" applyFont="1" applyBorder="1" applyProtection="1"/>
    <xf numFmtId="164" fontId="11" fillId="0" borderId="0" xfId="1" applyNumberFormat="1" applyFont="1" applyProtection="1"/>
    <xf numFmtId="164" fontId="11" fillId="0" borderId="32" xfId="1" applyNumberFormat="1" applyFont="1" applyBorder="1" applyProtection="1"/>
    <xf numFmtId="164" fontId="11" fillId="0" borderId="23" xfId="1" applyNumberFormat="1" applyFont="1" applyBorder="1" applyProtection="1"/>
    <xf numFmtId="166" fontId="11" fillId="0" borderId="31" xfId="1" applyNumberFormat="1" applyFont="1" applyBorder="1" applyProtection="1"/>
    <xf numFmtId="164" fontId="19" fillId="0" borderId="0" xfId="1" applyNumberFormat="1" applyFont="1" applyProtection="1">
      <protection locked="0"/>
    </xf>
    <xf numFmtId="164" fontId="19" fillId="0" borderId="31" xfId="1" applyNumberFormat="1" applyFont="1" applyBorder="1" applyProtection="1">
      <protection locked="0"/>
    </xf>
    <xf numFmtId="0" fontId="0" fillId="0" borderId="0" xfId="0" applyProtection="1">
      <protection locked="0"/>
    </xf>
    <xf numFmtId="175" fontId="18" fillId="0" borderId="0" xfId="0" applyNumberFormat="1" applyFont="1" applyProtection="1">
      <protection locked="0"/>
    </xf>
    <xf numFmtId="14" fontId="18" fillId="0" borderId="0" xfId="0" applyNumberFormat="1" applyFont="1" applyProtection="1">
      <protection locked="0"/>
    </xf>
    <xf numFmtId="0" fontId="18" fillId="0" borderId="0" xfId="0" applyFont="1" applyProtection="1">
      <protection locked="0"/>
    </xf>
    <xf numFmtId="10" fontId="18" fillId="0" borderId="0" xfId="2" applyNumberFormat="1" applyFont="1" applyProtection="1">
      <protection locked="0"/>
    </xf>
    <xf numFmtId="10" fontId="18" fillId="0" borderId="0" xfId="0" applyNumberFormat="1" applyFont="1" applyProtection="1">
      <protection locked="0"/>
    </xf>
    <xf numFmtId="175" fontId="17" fillId="0" borderId="25" xfId="9" applyNumberFormat="1" applyFont="1" applyBorder="1" applyProtection="1"/>
    <xf numFmtId="10" fontId="17" fillId="0" borderId="25" xfId="2" applyNumberFormat="1" applyFont="1" applyBorder="1" applyProtection="1"/>
    <xf numFmtId="14" fontId="17" fillId="0" borderId="0" xfId="0" applyNumberFormat="1" applyFont="1" applyProtection="1"/>
    <xf numFmtId="0" fontId="13" fillId="9" borderId="20" xfId="0" applyFont="1" applyFill="1" applyBorder="1" applyProtection="1"/>
    <xf numFmtId="0" fontId="11" fillId="9" borderId="20" xfId="0" applyFont="1" applyFill="1" applyBorder="1" applyProtection="1"/>
    <xf numFmtId="0" fontId="11" fillId="9" borderId="23" xfId="0" applyFont="1" applyFill="1" applyBorder="1" applyProtection="1"/>
    <xf numFmtId="0" fontId="11" fillId="0" borderId="0" xfId="0" applyFont="1" applyFill="1" applyBorder="1" applyProtection="1"/>
    <xf numFmtId="14" fontId="13" fillId="9" borderId="23" xfId="0" applyNumberFormat="1" applyFont="1" applyFill="1" applyBorder="1" applyProtection="1"/>
    <xf numFmtId="14" fontId="13" fillId="9" borderId="20" xfId="0" applyNumberFormat="1" applyFont="1" applyFill="1" applyBorder="1" applyProtection="1"/>
    <xf numFmtId="14" fontId="13" fillId="10" borderId="20" xfId="0" applyNumberFormat="1" applyFont="1" applyFill="1" applyBorder="1" applyProtection="1"/>
    <xf numFmtId="0" fontId="17" fillId="0" borderId="0" xfId="0" applyFont="1"/>
    <xf numFmtId="0" fontId="0" fillId="0" borderId="0" xfId="0" applyFont="1" applyProtection="1">
      <protection locked="0"/>
    </xf>
    <xf numFmtId="0" fontId="12" fillId="0" borderId="18" xfId="0" applyFont="1" applyFill="1" applyBorder="1"/>
    <xf numFmtId="0" fontId="11" fillId="0" borderId="35" xfId="0" applyFont="1" applyFill="1" applyBorder="1"/>
    <xf numFmtId="0" fontId="11" fillId="0" borderId="19" xfId="0" applyFont="1" applyFill="1" applyBorder="1"/>
    <xf numFmtId="0" fontId="13" fillId="0" borderId="3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31" xfId="0" applyFont="1" applyFill="1" applyBorder="1" applyAlignment="1">
      <alignment horizontal="center"/>
    </xf>
    <xf numFmtId="0" fontId="11" fillId="0" borderId="30" xfId="0" applyFont="1" applyFill="1" applyBorder="1"/>
    <xf numFmtId="170" fontId="11" fillId="0" borderId="0" xfId="9" applyNumberFormat="1" applyFont="1" applyFill="1" applyBorder="1"/>
    <xf numFmtId="170" fontId="11" fillId="0" borderId="31" xfId="9" applyNumberFormat="1" applyFont="1" applyFill="1" applyBorder="1"/>
    <xf numFmtId="170" fontId="20" fillId="12" borderId="34" xfId="10" applyNumberFormat="1"/>
    <xf numFmtId="0" fontId="13" fillId="0" borderId="36" xfId="0" applyFont="1" applyFill="1" applyBorder="1"/>
    <xf numFmtId="170" fontId="13" fillId="0" borderId="32" xfId="9" applyNumberFormat="1" applyFont="1" applyFill="1" applyBorder="1"/>
    <xf numFmtId="170" fontId="13" fillId="0" borderId="23" xfId="9" applyNumberFormat="1" applyFont="1" applyFill="1" applyBorder="1"/>
    <xf numFmtId="3" fontId="11" fillId="0" borderId="0" xfId="0" applyNumberFormat="1" applyFont="1" applyFill="1" applyBorder="1"/>
    <xf numFmtId="3" fontId="11" fillId="0" borderId="31" xfId="0" applyNumberFormat="1" applyFont="1" applyFill="1" applyBorder="1"/>
    <xf numFmtId="0" fontId="21" fillId="0" borderId="0" xfId="0" applyFont="1" applyFill="1" applyBorder="1"/>
    <xf numFmtId="0" fontId="11" fillId="0" borderId="31" xfId="0" applyFont="1" applyFill="1" applyBorder="1"/>
    <xf numFmtId="0" fontId="11" fillId="0" borderId="0" xfId="0" applyFont="1" applyFill="1" applyBorder="1"/>
    <xf numFmtId="170" fontId="22" fillId="12" borderId="34" xfId="10" applyNumberFormat="1" applyFont="1"/>
    <xf numFmtId="0" fontId="11" fillId="0" borderId="21" xfId="0" applyFont="1" applyFill="1" applyBorder="1"/>
    <xf numFmtId="0" fontId="11" fillId="0" borderId="33" xfId="0" applyFont="1" applyFill="1" applyBorder="1"/>
    <xf numFmtId="0" fontId="11" fillId="0" borderId="22" xfId="0" applyFont="1" applyFill="1" applyBorder="1"/>
    <xf numFmtId="9" fontId="11" fillId="0" borderId="0" xfId="2" applyFont="1" applyFill="1" applyBorder="1"/>
    <xf numFmtId="0" fontId="20" fillId="12" borderId="34" xfId="10"/>
    <xf numFmtId="44" fontId="22" fillId="12" borderId="34" xfId="10" applyNumberFormat="1" applyFont="1"/>
    <xf numFmtId="0" fontId="11" fillId="0" borderId="0" xfId="11" applyFont="1"/>
    <xf numFmtId="0" fontId="23" fillId="13" borderId="31" xfId="11" applyFont="1" applyFill="1" applyBorder="1" applyAlignment="1">
      <alignment horizontal="right"/>
    </xf>
    <xf numFmtId="164" fontId="14" fillId="0" borderId="0" xfId="11" applyNumberFormat="1" applyFont="1"/>
    <xf numFmtId="0" fontId="11" fillId="0" borderId="0" xfId="11" applyFont="1" applyAlignment="1">
      <alignment vertical="center"/>
    </xf>
    <xf numFmtId="164" fontId="11" fillId="13" borderId="18" xfId="11" applyNumberFormat="1" applyFont="1" applyFill="1" applyBorder="1" applyAlignment="1">
      <alignment vertical="center"/>
    </xf>
    <xf numFmtId="164" fontId="11" fillId="13" borderId="35" xfId="11" applyNumberFormat="1" applyFont="1" applyFill="1" applyBorder="1" applyAlignment="1">
      <alignment vertical="center"/>
    </xf>
    <xf numFmtId="164" fontId="11" fillId="13" borderId="19" xfId="11" applyNumberFormat="1" applyFont="1" applyFill="1" applyBorder="1" applyAlignment="1">
      <alignment vertical="center"/>
    </xf>
    <xf numFmtId="164" fontId="11" fillId="13" borderId="30" xfId="11" applyNumberFormat="1" applyFont="1" applyFill="1" applyBorder="1" applyAlignment="1">
      <alignment vertical="center"/>
    </xf>
    <xf numFmtId="164" fontId="11" fillId="13" borderId="0" xfId="11" applyNumberFormat="1" applyFont="1" applyFill="1" applyBorder="1" applyAlignment="1">
      <alignment vertical="center"/>
    </xf>
    <xf numFmtId="164" fontId="11" fillId="13" borderId="31" xfId="11" applyNumberFormat="1" applyFont="1" applyFill="1" applyBorder="1" applyAlignment="1">
      <alignment vertical="center"/>
    </xf>
    <xf numFmtId="164" fontId="11" fillId="13" borderId="21" xfId="11" applyNumberFormat="1" applyFont="1" applyFill="1" applyBorder="1" applyAlignment="1">
      <alignment vertical="center"/>
    </xf>
    <xf numFmtId="164" fontId="11" fillId="13" borderId="33" xfId="11" applyNumberFormat="1" applyFont="1" applyFill="1" applyBorder="1" applyAlignment="1">
      <alignment vertical="center"/>
    </xf>
    <xf numFmtId="164" fontId="11" fillId="13" borderId="22" xfId="11" applyNumberFormat="1" applyFont="1" applyFill="1" applyBorder="1" applyAlignment="1">
      <alignment vertical="center"/>
    </xf>
    <xf numFmtId="0" fontId="14" fillId="0" borderId="0" xfId="11" applyFont="1"/>
    <xf numFmtId="166" fontId="14" fillId="0" borderId="0" xfId="12" applyNumberFormat="1" applyFont="1"/>
    <xf numFmtId="0" fontId="11" fillId="0" borderId="0" xfId="11" applyFont="1" applyFill="1"/>
    <xf numFmtId="0" fontId="13" fillId="0" borderId="30" xfId="11" applyFont="1" applyFill="1" applyBorder="1"/>
    <xf numFmtId="0" fontId="13" fillId="0" borderId="0" xfId="11" applyFont="1" applyFill="1" applyBorder="1"/>
    <xf numFmtId="0" fontId="13" fillId="0" borderId="31" xfId="11" applyFont="1" applyFill="1" applyBorder="1"/>
    <xf numFmtId="0" fontId="13" fillId="0" borderId="0" xfId="11" applyFont="1"/>
    <xf numFmtId="0" fontId="13" fillId="0" borderId="30" xfId="11" applyFont="1" applyBorder="1"/>
    <xf numFmtId="164" fontId="13" fillId="0" borderId="0" xfId="14" applyNumberFormat="1" applyFont="1" applyBorder="1"/>
    <xf numFmtId="164" fontId="13" fillId="0" borderId="31" xfId="14" applyNumberFormat="1" applyFont="1" applyBorder="1"/>
    <xf numFmtId="0" fontId="11" fillId="0" borderId="30" xfId="11" applyFont="1" applyBorder="1"/>
    <xf numFmtId="164" fontId="11" fillId="0" borderId="0" xfId="14" applyNumberFormat="1" applyFont="1" applyBorder="1"/>
    <xf numFmtId="164" fontId="11" fillId="0" borderId="31" xfId="14" applyNumberFormat="1" applyFont="1" applyBorder="1"/>
    <xf numFmtId="0" fontId="11" fillId="0" borderId="21" xfId="11" applyFont="1" applyBorder="1"/>
    <xf numFmtId="9" fontId="11" fillId="0" borderId="33" xfId="12" applyFont="1" applyBorder="1"/>
    <xf numFmtId="9" fontId="11" fillId="0" borderId="22" xfId="12" applyFont="1" applyBorder="1"/>
    <xf numFmtId="0" fontId="12" fillId="10" borderId="0" xfId="11" applyFont="1" applyFill="1"/>
    <xf numFmtId="0" fontId="11" fillId="10" borderId="0" xfId="11" applyFont="1" applyFill="1"/>
    <xf numFmtId="3" fontId="11" fillId="10" borderId="0" xfId="11" applyNumberFormat="1" applyFont="1" applyFill="1"/>
    <xf numFmtId="10" fontId="11" fillId="10" borderId="0" xfId="11" applyNumberFormat="1" applyFont="1" applyFill="1"/>
    <xf numFmtId="0" fontId="13" fillId="10" borderId="0" xfId="11" applyFont="1" applyFill="1" applyAlignment="1">
      <alignment horizontal="right"/>
    </xf>
    <xf numFmtId="9" fontId="24" fillId="13" borderId="0" xfId="11" applyNumberFormat="1" applyFont="1" applyFill="1" applyBorder="1" applyAlignment="1">
      <alignment horizontal="right"/>
    </xf>
    <xf numFmtId="10" fontId="19" fillId="0" borderId="0" xfId="2" applyNumberFormat="1" applyFont="1"/>
    <xf numFmtId="166" fontId="11" fillId="10" borderId="0" xfId="12" applyNumberFormat="1" applyFont="1" applyFill="1"/>
    <xf numFmtId="0" fontId="15" fillId="8" borderId="39" xfId="15" applyFont="1" applyFill="1" applyBorder="1"/>
    <xf numFmtId="3" fontId="15" fillId="8" borderId="40" xfId="15" applyNumberFormat="1" applyFont="1" applyFill="1" applyBorder="1"/>
    <xf numFmtId="0" fontId="16" fillId="8" borderId="40" xfId="15" applyFont="1" applyFill="1" applyBorder="1" applyAlignment="1">
      <alignment horizontal="right"/>
    </xf>
    <xf numFmtId="0" fontId="16" fillId="8" borderId="41" xfId="15" applyFont="1" applyFill="1" applyBorder="1" applyAlignment="1">
      <alignment horizontal="right"/>
    </xf>
    <xf numFmtId="0" fontId="15" fillId="8" borderId="42" xfId="15" applyFont="1" applyFill="1" applyBorder="1"/>
    <xf numFmtId="3" fontId="15" fillId="8" borderId="0" xfId="15" applyNumberFormat="1" applyFont="1" applyFill="1" applyBorder="1"/>
    <xf numFmtId="0" fontId="16" fillId="8" borderId="42" xfId="15" applyFont="1" applyFill="1" applyBorder="1" applyAlignment="1">
      <alignment horizontal="right"/>
    </xf>
    <xf numFmtId="166" fontId="15" fillId="8" borderId="0" xfId="16" applyNumberFormat="1" applyFont="1" applyFill="1" applyBorder="1" applyAlignment="1">
      <alignment horizontal="right"/>
    </xf>
    <xf numFmtId="166" fontId="15" fillId="8" borderId="0" xfId="15" applyNumberFormat="1" applyFont="1" applyFill="1" applyBorder="1"/>
    <xf numFmtId="4" fontId="15" fillId="8" borderId="0" xfId="16" applyNumberFormat="1" applyFont="1" applyFill="1" applyBorder="1" applyAlignment="1">
      <alignment horizontal="right"/>
    </xf>
    <xf numFmtId="0" fontId="16" fillId="8" borderId="43" xfId="15" applyFont="1" applyFill="1" applyBorder="1" applyAlignment="1">
      <alignment horizontal="right"/>
    </xf>
    <xf numFmtId="4" fontId="15" fillId="8" borderId="44" xfId="16" applyNumberFormat="1" applyFont="1" applyFill="1" applyBorder="1" applyAlignment="1">
      <alignment horizontal="right"/>
    </xf>
    <xf numFmtId="0" fontId="0" fillId="0" borderId="0" xfId="0" applyProtection="1"/>
    <xf numFmtId="170" fontId="11" fillId="0" borderId="0" xfId="9" applyNumberFormat="1" applyFont="1" applyFill="1" applyBorder="1" applyProtection="1"/>
    <xf numFmtId="0" fontId="17" fillId="0" borderId="0" xfId="0" applyFont="1" applyProtection="1"/>
    <xf numFmtId="170" fontId="13" fillId="0" borderId="25" xfId="9" applyNumberFormat="1" applyFont="1" applyFill="1" applyBorder="1" applyProtection="1"/>
    <xf numFmtId="0" fontId="17" fillId="0" borderId="0" xfId="0" applyFont="1" applyAlignment="1" applyProtection="1">
      <alignment horizontal="right"/>
    </xf>
    <xf numFmtId="9" fontId="0" fillId="0" borderId="0" xfId="2" applyNumberFormat="1" applyFont="1" applyProtection="1"/>
    <xf numFmtId="0" fontId="12" fillId="13" borderId="0" xfId="11" applyFont="1" applyFill="1"/>
    <xf numFmtId="0" fontId="11" fillId="13" borderId="0" xfId="11" applyFont="1" applyFill="1"/>
    <xf numFmtId="3" fontId="11" fillId="13" borderId="0" xfId="11" applyNumberFormat="1" applyFont="1" applyFill="1"/>
    <xf numFmtId="10" fontId="11" fillId="13" borderId="0" xfId="11" applyNumberFormat="1" applyFont="1" applyFill="1"/>
    <xf numFmtId="0" fontId="13" fillId="10" borderId="18" xfId="11" applyFont="1" applyFill="1" applyBorder="1"/>
    <xf numFmtId="0" fontId="13" fillId="10" borderId="35" xfId="11" applyFont="1" applyFill="1" applyBorder="1"/>
    <xf numFmtId="0" fontId="13" fillId="10" borderId="19" xfId="11" applyFont="1" applyFill="1" applyBorder="1"/>
    <xf numFmtId="43" fontId="11" fillId="13" borderId="0" xfId="13" applyNumberFormat="1" applyFont="1" applyFill="1" applyBorder="1" applyAlignment="1">
      <alignment horizontal="right"/>
    </xf>
    <xf numFmtId="164" fontId="11" fillId="13" borderId="31" xfId="13" applyNumberFormat="1" applyFont="1" applyFill="1" applyBorder="1" applyAlignment="1">
      <alignment horizontal="right"/>
    </xf>
    <xf numFmtId="10" fontId="13" fillId="10" borderId="18" xfId="11" applyNumberFormat="1" applyFont="1" applyFill="1" applyBorder="1" applyAlignment="1">
      <alignment vertical="center"/>
    </xf>
    <xf numFmtId="10" fontId="11" fillId="13" borderId="30" xfId="11" applyNumberFormat="1" applyFont="1" applyFill="1" applyBorder="1" applyAlignment="1">
      <alignment vertical="center"/>
    </xf>
    <xf numFmtId="10" fontId="11" fillId="13" borderId="21" xfId="11" applyNumberFormat="1" applyFont="1" applyFill="1" applyBorder="1" applyAlignment="1">
      <alignment vertical="center"/>
    </xf>
    <xf numFmtId="164" fontId="11" fillId="13" borderId="0" xfId="13" applyNumberFormat="1" applyFont="1" applyFill="1" applyBorder="1" applyAlignment="1">
      <alignment horizontal="right"/>
    </xf>
    <xf numFmtId="0" fontId="0" fillId="10" borderId="0" xfId="0" applyFill="1" applyProtection="1"/>
    <xf numFmtId="0" fontId="17" fillId="10" borderId="0" xfId="0" applyFont="1" applyFill="1" applyProtection="1"/>
    <xf numFmtId="0" fontId="13" fillId="0" borderId="20" xfId="0" applyFont="1" applyBorder="1" applyAlignment="1">
      <alignment horizontal="right"/>
    </xf>
    <xf numFmtId="0" fontId="27" fillId="0" borderId="0" xfId="0" applyFont="1" applyProtection="1"/>
    <xf numFmtId="0" fontId="28" fillId="0" borderId="0" xfId="0" applyFont="1" applyProtection="1"/>
    <xf numFmtId="2" fontId="0" fillId="0" borderId="0" xfId="0" applyNumberFormat="1" applyProtection="1"/>
    <xf numFmtId="3" fontId="30" fillId="13" borderId="0" xfId="11" applyNumberFormat="1" applyFont="1" applyFill="1" applyAlignment="1" applyProtection="1">
      <alignment horizontal="right"/>
      <protection locked="0"/>
    </xf>
    <xf numFmtId="0" fontId="13" fillId="0" borderId="29" xfId="0" applyFont="1" applyBorder="1" applyProtection="1"/>
    <xf numFmtId="164" fontId="13" fillId="0" borderId="0" xfId="1" applyNumberFormat="1" applyFont="1" applyFill="1" applyBorder="1" applyProtection="1"/>
    <xf numFmtId="164" fontId="11" fillId="0" borderId="26" xfId="1" applyNumberFormat="1" applyFont="1" applyBorder="1" applyProtection="1"/>
    <xf numFmtId="164" fontId="11" fillId="0" borderId="29" xfId="1" applyNumberFormat="1" applyFont="1" applyBorder="1" applyProtection="1"/>
    <xf numFmtId="164" fontId="11" fillId="0" borderId="0" xfId="1" applyNumberFormat="1" applyFont="1" applyFill="1" applyBorder="1" applyProtection="1"/>
    <xf numFmtId="0" fontId="12" fillId="0" borderId="0" xfId="0" applyFont="1" applyProtection="1"/>
    <xf numFmtId="0" fontId="11" fillId="0" borderId="0" xfId="0" applyFont="1" applyProtection="1"/>
    <xf numFmtId="0" fontId="13" fillId="0" borderId="0" xfId="0" applyFont="1" applyProtection="1"/>
    <xf numFmtId="0" fontId="15" fillId="0" borderId="0" xfId="0" applyFont="1" applyProtection="1"/>
    <xf numFmtId="0" fontId="13" fillId="0" borderId="32" xfId="0" applyFont="1" applyBorder="1" applyProtection="1"/>
    <xf numFmtId="164" fontId="13" fillId="0" borderId="23" xfId="1" applyNumberFormat="1" applyFont="1" applyBorder="1" applyProtection="1"/>
    <xf numFmtId="164" fontId="13" fillId="0" borderId="32" xfId="1" applyNumberFormat="1" applyFont="1" applyBorder="1" applyProtection="1"/>
    <xf numFmtId="0" fontId="13" fillId="8" borderId="0" xfId="0" applyFont="1" applyFill="1" applyProtection="1"/>
    <xf numFmtId="164" fontId="11" fillId="8" borderId="31" xfId="1" applyNumberFormat="1" applyFont="1" applyFill="1" applyBorder="1" applyProtection="1"/>
    <xf numFmtId="164" fontId="11" fillId="8" borderId="0" xfId="1" applyNumberFormat="1" applyFont="1" applyFill="1" applyProtection="1"/>
    <xf numFmtId="0" fontId="11" fillId="0" borderId="32" xfId="0" applyFont="1" applyBorder="1" applyProtection="1"/>
    <xf numFmtId="0" fontId="13" fillId="11" borderId="0" xfId="0" applyFont="1" applyFill="1" applyProtection="1"/>
    <xf numFmtId="164" fontId="11" fillId="11" borderId="31" xfId="1" applyNumberFormat="1" applyFont="1" applyFill="1" applyBorder="1" applyProtection="1"/>
    <xf numFmtId="164" fontId="11" fillId="11" borderId="0" xfId="1" applyNumberFormat="1" applyFont="1" applyFill="1" applyProtection="1"/>
    <xf numFmtId="9" fontId="18" fillId="13" borderId="0" xfId="17" applyNumberFormat="1" applyFont="1" applyFill="1" applyAlignment="1" applyProtection="1">
      <alignment horizontal="right"/>
      <protection locked="0"/>
    </xf>
    <xf numFmtId="0" fontId="17" fillId="8" borderId="0" xfId="11" applyFont="1" applyFill="1" applyAlignment="1" applyProtection="1">
      <alignment horizontal="left"/>
    </xf>
    <xf numFmtId="0" fontId="17" fillId="8" borderId="0" xfId="11" applyFont="1" applyFill="1" applyAlignment="1" applyProtection="1">
      <alignment horizontal="right" wrapText="1"/>
    </xf>
    <xf numFmtId="0" fontId="0" fillId="0" borderId="0" xfId="0" applyFont="1" applyProtection="1"/>
    <xf numFmtId="0" fontId="0" fillId="13" borderId="0" xfId="11" applyFont="1" applyFill="1" applyProtection="1"/>
    <xf numFmtId="177" fontId="0" fillId="13" borderId="0" xfId="11" applyNumberFormat="1" applyFont="1" applyFill="1" applyAlignment="1" applyProtection="1">
      <alignment horizontal="right"/>
    </xf>
    <xf numFmtId="0" fontId="17" fillId="13" borderId="29" xfId="11" applyFont="1" applyFill="1" applyBorder="1" applyProtection="1"/>
    <xf numFmtId="3" fontId="17" fillId="13" borderId="29" xfId="11" applyNumberFormat="1" applyFont="1" applyFill="1" applyBorder="1" applyAlignment="1" applyProtection="1">
      <alignment horizontal="right"/>
    </xf>
    <xf numFmtId="1" fontId="17" fillId="13" borderId="29" xfId="11" applyNumberFormat="1" applyFont="1" applyFill="1" applyBorder="1" applyAlignment="1" applyProtection="1">
      <alignment horizontal="right"/>
    </xf>
    <xf numFmtId="9" fontId="17" fillId="13" borderId="29" xfId="11" applyNumberFormat="1" applyFont="1" applyFill="1" applyBorder="1" applyAlignment="1" applyProtection="1">
      <alignment horizontal="right"/>
    </xf>
    <xf numFmtId="177" fontId="17" fillId="13" borderId="29" xfId="11" applyNumberFormat="1" applyFont="1" applyFill="1" applyBorder="1" applyAlignment="1" applyProtection="1">
      <alignment horizontal="right"/>
    </xf>
    <xf numFmtId="0" fontId="0" fillId="13" borderId="0" xfId="0" applyFont="1" applyFill="1" applyProtection="1"/>
    <xf numFmtId="0" fontId="17" fillId="8" borderId="0" xfId="11" applyFont="1" applyFill="1" applyProtection="1"/>
    <xf numFmtId="177" fontId="17" fillId="8" borderId="0" xfId="11" applyNumberFormat="1" applyFont="1" applyFill="1" applyProtection="1"/>
    <xf numFmtId="0" fontId="0" fillId="8" borderId="0" xfId="11" applyFont="1" applyFill="1" applyProtection="1"/>
    <xf numFmtId="10" fontId="0" fillId="0" borderId="0" xfId="2" applyNumberFormat="1" applyFont="1" applyProtection="1"/>
    <xf numFmtId="0" fontId="17" fillId="8" borderId="29" xfId="11" applyFont="1" applyFill="1" applyBorder="1" applyProtection="1"/>
    <xf numFmtId="177" fontId="17" fillId="8" borderId="29" xfId="11" applyNumberFormat="1" applyFont="1" applyFill="1" applyBorder="1" applyProtection="1"/>
    <xf numFmtId="10" fontId="18" fillId="13" borderId="0" xfId="17" applyNumberFormat="1" applyFont="1" applyFill="1" applyAlignment="1" applyProtection="1">
      <alignment horizontal="right"/>
    </xf>
    <xf numFmtId="178" fontId="0" fillId="8" borderId="0" xfId="11" applyNumberFormat="1" applyFont="1" applyFill="1" applyProtection="1"/>
    <xf numFmtId="0" fontId="31" fillId="0" borderId="0" xfId="0" applyFont="1" applyProtection="1"/>
    <xf numFmtId="0" fontId="32" fillId="0" borderId="0" xfId="0" applyFont="1" applyProtection="1"/>
    <xf numFmtId="10" fontId="18" fillId="13" borderId="0" xfId="17" applyNumberFormat="1" applyFont="1" applyFill="1" applyAlignment="1" applyProtection="1">
      <alignment horizontal="right"/>
      <protection locked="0"/>
    </xf>
    <xf numFmtId="177" fontId="0" fillId="0" borderId="0" xfId="0" applyNumberFormat="1" applyFont="1" applyProtection="1"/>
    <xf numFmtId="0" fontId="12" fillId="0" borderId="0" xfId="0" applyFont="1"/>
    <xf numFmtId="0" fontId="11" fillId="0" borderId="0" xfId="0" applyFont="1"/>
    <xf numFmtId="0" fontId="13" fillId="0" borderId="0" xfId="0" applyFont="1" applyAlignment="1">
      <alignment horizontal="right"/>
    </xf>
    <xf numFmtId="9" fontId="11" fillId="0" borderId="0" xfId="0" applyNumberFormat="1" applyFont="1"/>
    <xf numFmtId="9" fontId="14" fillId="0" borderId="0" xfId="0" applyNumberFormat="1" applyFont="1" applyAlignment="1">
      <alignment horizontal="center"/>
    </xf>
    <xf numFmtId="9" fontId="11" fillId="0" borderId="0" xfId="1" applyNumberFormat="1" applyFont="1"/>
    <xf numFmtId="43" fontId="11" fillId="0" borderId="0" xfId="1" applyNumberFormat="1" applyFont="1"/>
    <xf numFmtId="164" fontId="11" fillId="0" borderId="0" xfId="0" applyNumberFormat="1" applyFont="1"/>
    <xf numFmtId="6" fontId="11" fillId="0" borderId="0" xfId="0" applyNumberFormat="1" applyFont="1"/>
    <xf numFmtId="166" fontId="11" fillId="0" borderId="0" xfId="0" applyNumberFormat="1" applyFont="1"/>
    <xf numFmtId="0" fontId="34" fillId="0" borderId="0" xfId="0" applyFont="1"/>
    <xf numFmtId="6" fontId="11" fillId="0" borderId="0" xfId="1" applyNumberFormat="1" applyFont="1"/>
    <xf numFmtId="9" fontId="14" fillId="0" borderId="0" xfId="2" applyNumberFormat="1" applyFont="1" applyAlignment="1">
      <alignment horizontal="left"/>
    </xf>
    <xf numFmtId="164" fontId="11" fillId="0" borderId="0" xfId="1" applyNumberFormat="1" applyFont="1"/>
    <xf numFmtId="2" fontId="11" fillId="0" borderId="0" xfId="0" applyNumberFormat="1" applyFont="1" applyAlignment="1">
      <alignment horizontal="right"/>
    </xf>
    <xf numFmtId="6" fontId="33" fillId="15" borderId="0" xfId="18" applyNumberFormat="1"/>
    <xf numFmtId="0" fontId="15" fillId="8" borderId="43" xfId="15" applyFont="1" applyFill="1" applyBorder="1"/>
    <xf numFmtId="4" fontId="15" fillId="8" borderId="44" xfId="15" applyNumberFormat="1" applyFont="1" applyFill="1" applyBorder="1"/>
    <xf numFmtId="170" fontId="0" fillId="0" borderId="0" xfId="0" applyNumberFormat="1" applyProtection="1"/>
    <xf numFmtId="0" fontId="0" fillId="0" borderId="0" xfId="0" applyAlignment="1" applyProtection="1">
      <alignment horizontal="right"/>
    </xf>
    <xf numFmtId="10" fontId="18" fillId="0" borderId="0" xfId="0" applyNumberFormat="1" applyFont="1" applyProtection="1"/>
    <xf numFmtId="0" fontId="17" fillId="0" borderId="0" xfId="0" applyFont="1" applyAlignment="1" applyProtection="1">
      <alignment horizontal="center"/>
    </xf>
    <xf numFmtId="0" fontId="13" fillId="13" borderId="37" xfId="11" applyFont="1" applyFill="1" applyBorder="1" applyAlignment="1">
      <alignment horizontal="center" vertical="center" textRotation="255"/>
    </xf>
    <xf numFmtId="0" fontId="13" fillId="13" borderId="38" xfId="11" applyFont="1" applyFill="1" applyBorder="1" applyAlignment="1">
      <alignment horizontal="center" vertical="center" textRotation="255"/>
    </xf>
    <xf numFmtId="0" fontId="13" fillId="13" borderId="24" xfId="11" applyFont="1" applyFill="1" applyBorder="1" applyAlignment="1">
      <alignment horizontal="center" vertical="center" textRotation="255"/>
    </xf>
    <xf numFmtId="0" fontId="12" fillId="10" borderId="0" xfId="11" applyFont="1" applyFill="1" applyAlignment="1">
      <alignment horizontal="center"/>
    </xf>
    <xf numFmtId="0" fontId="12" fillId="13" borderId="0" xfId="11" applyFont="1" applyFill="1" applyAlignment="1">
      <alignment horizontal="center"/>
    </xf>
    <xf numFmtId="0" fontId="13" fillId="10" borderId="18" xfId="11" applyFont="1" applyFill="1" applyBorder="1" applyAlignment="1">
      <alignment horizontal="center" vertical="center" wrapText="1"/>
    </xf>
    <xf numFmtId="0" fontId="13" fillId="10" borderId="19" xfId="11" applyFont="1" applyFill="1" applyBorder="1" applyAlignment="1">
      <alignment horizontal="center" vertical="center" wrapText="1"/>
    </xf>
    <xf numFmtId="0" fontId="13" fillId="10" borderId="30" xfId="11" applyFont="1" applyFill="1" applyBorder="1" applyAlignment="1">
      <alignment horizontal="center" vertical="center" wrapText="1"/>
    </xf>
    <xf numFmtId="0" fontId="13" fillId="10" borderId="31" xfId="11" applyFont="1" applyFill="1" applyBorder="1" applyAlignment="1">
      <alignment horizontal="center" vertical="center" wrapText="1"/>
    </xf>
    <xf numFmtId="0" fontId="13" fillId="10" borderId="21" xfId="11" applyFont="1" applyFill="1" applyBorder="1" applyAlignment="1">
      <alignment horizontal="center" vertical="center" wrapText="1"/>
    </xf>
    <xf numFmtId="0" fontId="13" fillId="10" borderId="22" xfId="11" applyFont="1" applyFill="1" applyBorder="1" applyAlignment="1">
      <alignment horizontal="center" vertical="center" wrapText="1"/>
    </xf>
    <xf numFmtId="0" fontId="13" fillId="13" borderId="36" xfId="11" applyFont="1" applyFill="1" applyBorder="1" applyAlignment="1">
      <alignment horizontal="center"/>
    </xf>
    <xf numFmtId="0" fontId="13" fillId="13" borderId="32" xfId="11" applyFont="1" applyFill="1" applyBorder="1" applyAlignment="1">
      <alignment horizontal="center"/>
    </xf>
    <xf numFmtId="0" fontId="13" fillId="13" borderId="23" xfId="1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4" fillId="0" borderId="0" xfId="3" applyFont="1" applyAlignment="1">
      <alignment horizontal="left" wrapText="1"/>
    </xf>
    <xf numFmtId="0" fontId="4" fillId="3" borderId="1" xfId="3" applyFont="1" applyFill="1" applyBorder="1" applyAlignment="1">
      <alignment horizontal="left" wrapText="1"/>
    </xf>
    <xf numFmtId="0" fontId="4" fillId="3" borderId="3" xfId="3" applyFont="1" applyFill="1" applyBorder="1" applyAlignment="1">
      <alignment horizontal="left" wrapText="1"/>
    </xf>
  </cellXfs>
  <cellStyles count="19">
    <cellStyle name="Bad" xfId="18" builtinId="27"/>
    <cellStyle name="Calculation" xfId="10" builtinId="22"/>
    <cellStyle name="Comma" xfId="1" builtinId="3"/>
    <cellStyle name="Comma 2" xfId="14"/>
    <cellStyle name="Comma 2 13" xfId="13"/>
    <cellStyle name="Comma 2 2" xfId="5"/>
    <cellStyle name="Currency" xfId="9" builtinId="4"/>
    <cellStyle name="Currency 2 3" xfId="7"/>
    <cellStyle name="Good" xfId="17" builtinId="26"/>
    <cellStyle name="Normal" xfId="0" builtinId="0"/>
    <cellStyle name="Normal 2" xfId="4"/>
    <cellStyle name="Normal 28 2" xfId="8"/>
    <cellStyle name="Normal 3" xfId="11"/>
    <cellStyle name="Normal 39" xfId="3"/>
    <cellStyle name="Normal 70" xfId="15"/>
    <cellStyle name="Percent" xfId="2" builtinId="5"/>
    <cellStyle name="Percent 2" xfId="12"/>
    <cellStyle name="Percent 2 4" xfId="6"/>
    <cellStyle name="Percent 39" xfId="16"/>
  </cellStyles>
  <dxfs count="9">
    <dxf>
      <fill>
        <patternFill patternType="none">
          <fgColor indexed="64"/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BC_FF\New%20Chancerygate\Cashflow%20forecast%20and%20bank%20rec\February%202020%20Business%20Plan%20-%20For%20board%20meeting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Summary"/>
      <sheetName val="Capex analayis"/>
      <sheetName val="Cashflow"/>
      <sheetName val="Budget"/>
      <sheetName val="Asset Management"/>
      <sheetName val="Harrison Interest"/>
      <sheetName val="Bank Interest"/>
      <sheetName val="Lloyds funding"/>
      <sheetName val="Aintree - Mersey Reach"/>
      <sheetName val="Beeston"/>
      <sheetName val="Bournemouth"/>
      <sheetName val="Birms AMH"/>
      <sheetName val="Bishops Cleeve "/>
      <sheetName val="Bracknell"/>
      <sheetName val="Bredbury"/>
      <sheetName val="Chadderton car park"/>
      <sheetName val="Cheltenham"/>
      <sheetName val="Chertsey"/>
      <sheetName val="Chesham"/>
      <sheetName val="Chorley"/>
      <sheetName val="Coventry"/>
      <sheetName val="Croydon"/>
      <sheetName val="Dartford"/>
      <sheetName val="Emersons Green "/>
      <sheetName val="Gemini 8"/>
      <sheetName val="Harlow - bus depot"/>
      <sheetName val="Harlow - Trade counter"/>
      <sheetName val="Havant"/>
      <sheetName val="High Wycombe, Verco"/>
      <sheetName val="Ipswich "/>
      <sheetName val="Leamington spa"/>
      <sheetName val="Knutsford"/>
      <sheetName val="Livingston "/>
      <sheetName val="Maidstone"/>
      <sheetName val="Marlow "/>
      <sheetName val="Minworth"/>
      <sheetName val="Norwich - Allied B"/>
      <sheetName val="Northampton "/>
      <sheetName val="Poole"/>
      <sheetName val="Rochester"/>
      <sheetName val="Sidcup"/>
      <sheetName val="Tonbridge"/>
      <sheetName val="Warmley no office"/>
      <sheetName val="Warwick"/>
      <sheetName val="West Molesey"/>
      <sheetName val="Wooburn Green"/>
    </sheetNames>
    <sheetDataSet>
      <sheetData sheetId="0"/>
      <sheetData sheetId="1"/>
      <sheetData sheetId="2"/>
      <sheetData sheetId="3"/>
      <sheetData sheetId="4">
        <row r="1">
          <cell r="Q1">
            <v>43556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ables/table1.xml><?xml version="1.0" encoding="utf-8"?>
<table xmlns="http://schemas.openxmlformats.org/spreadsheetml/2006/main" id="1" name="SageReportData1" displayName="SageReportData1" ref="A2:N76" totalsRowShown="0">
  <autoFilter ref="A2:N76"/>
  <sortState ref="A3:N76">
    <sortCondition ref="I2:I76"/>
  </sortState>
  <tableColumns count="14">
    <tableColumn id="1" name="Company.Name"/>
    <tableColumn id="2" name="NominalRecord.AccountReference"/>
    <tableColumn id="3" name="NominalRecord.AccountName"/>
    <tableColumn id="5" name="TransactionNominal.Amount" dataDxfId="0" dataCellStyle="Comma"/>
    <tableColumn id="6" name="TransactionNominal.BroughtForwardFlag"/>
    <tableColumn id="7" name="TransactionNominal.Number"/>
    <tableColumn id="8" name="TransactionNominal.Type"/>
    <tableColumn id="9" name="TransactionNominal.Date"/>
    <tableColumn id="10" name="TransactionNominal.AccountReference"/>
    <tableColumn id="11" name="TransactionNominal.Reference"/>
    <tableColumn id="12" name="TransactionNominal.Details"/>
    <tableColumn id="13" name="TransactionNominal.DepartmentNumber"/>
    <tableColumn id="14" name="TransactionNominal.VATCode"/>
    <tableColumn id="4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AI30"/>
  <sheetViews>
    <sheetView showGridLines="0" workbookViewId="0">
      <selection activeCell="E10" sqref="E10"/>
    </sheetView>
  </sheetViews>
  <sheetFormatPr defaultColWidth="9.140625" defaultRowHeight="15" x14ac:dyDescent="0.25"/>
  <cols>
    <col min="1" max="1" width="23.42578125" style="327" bestFit="1" customWidth="1"/>
    <col min="2" max="2" width="15.28515625" style="327" bestFit="1" customWidth="1"/>
    <col min="3" max="3" width="4.7109375" style="327" customWidth="1"/>
    <col min="4" max="4" width="27.5703125" style="327" bestFit="1" customWidth="1"/>
    <col min="5" max="5" width="12.5703125" style="327" bestFit="1" customWidth="1"/>
    <col min="6" max="6" width="4.7109375" style="327" customWidth="1"/>
    <col min="7" max="7" width="47.5703125" style="327" customWidth="1"/>
    <col min="8" max="8" width="15.140625" style="327" customWidth="1"/>
    <col min="9" max="9" width="11.42578125" style="327" customWidth="1"/>
    <col min="10" max="11" width="9.140625" style="327"/>
    <col min="12" max="12" width="12.5703125" style="327" bestFit="1" customWidth="1"/>
    <col min="13" max="16384" width="9.140625" style="327"/>
  </cols>
  <sheetData>
    <row r="1" spans="1:35" x14ac:dyDescent="0.25">
      <c r="A1" s="417" t="s">
        <v>0</v>
      </c>
      <c r="B1" s="417"/>
      <c r="D1" s="417" t="s">
        <v>1</v>
      </c>
      <c r="E1" s="417"/>
      <c r="G1" s="417" t="s">
        <v>2</v>
      </c>
      <c r="H1" s="417"/>
      <c r="I1" s="417"/>
      <c r="N1" s="349"/>
      <c r="O1" s="350" t="s">
        <v>3</v>
      </c>
      <c r="P1" s="350" t="s">
        <v>4</v>
      </c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</row>
    <row r="2" spans="1:35" x14ac:dyDescent="0.25">
      <c r="A2" s="327" t="s">
        <v>5</v>
      </c>
      <c r="B2" s="236">
        <v>1596000</v>
      </c>
      <c r="D2" s="327" t="s">
        <v>6</v>
      </c>
      <c r="E2" s="237">
        <v>43100</v>
      </c>
      <c r="N2" s="349"/>
      <c r="O2" s="350" t="s">
        <v>7</v>
      </c>
      <c r="P2" s="350" t="s">
        <v>8</v>
      </c>
      <c r="Q2" s="349"/>
      <c r="R2" s="349"/>
      <c r="S2" s="349"/>
      <c r="T2" s="349"/>
      <c r="U2" s="350" t="s">
        <v>4</v>
      </c>
      <c r="V2" s="349"/>
      <c r="W2" s="349"/>
      <c r="X2" s="349"/>
      <c r="Y2" s="349"/>
      <c r="Z2" s="349"/>
      <c r="AA2" s="349"/>
      <c r="AB2" s="349"/>
      <c r="AC2" s="349"/>
      <c r="AD2" s="349"/>
      <c r="AE2" s="349"/>
      <c r="AF2" s="349"/>
      <c r="AG2" s="349"/>
      <c r="AH2" s="349"/>
      <c r="AI2" s="349"/>
    </row>
    <row r="3" spans="1:35" x14ac:dyDescent="0.25">
      <c r="A3" s="327" t="s">
        <v>9</v>
      </c>
      <c r="B3" s="236">
        <v>21597000</v>
      </c>
      <c r="D3" s="327" t="s">
        <v>10</v>
      </c>
      <c r="E3" s="238">
        <v>58</v>
      </c>
      <c r="G3" s="415" t="s">
        <v>11</v>
      </c>
      <c r="H3" s="328">
        <f>Total_Costs</f>
        <v>25429721</v>
      </c>
      <c r="N3" s="349"/>
      <c r="O3" s="349"/>
      <c r="P3" s="349"/>
      <c r="Q3" s="349"/>
      <c r="R3" s="349"/>
      <c r="S3" s="349"/>
      <c r="T3" s="349"/>
      <c r="U3" s="350" t="s">
        <v>8</v>
      </c>
      <c r="V3" s="349"/>
      <c r="W3" s="349"/>
      <c r="X3" s="349"/>
      <c r="Y3" s="349"/>
      <c r="Z3" s="349"/>
      <c r="AA3" s="349"/>
      <c r="AB3" s="349"/>
      <c r="AC3" s="349"/>
      <c r="AD3" s="349"/>
      <c r="AE3" s="349"/>
      <c r="AF3" s="349"/>
      <c r="AG3" s="349"/>
      <c r="AH3" s="349"/>
      <c r="AI3" s="349"/>
    </row>
    <row r="4" spans="1:35" x14ac:dyDescent="0.25">
      <c r="A4" s="327" t="s">
        <v>12</v>
      </c>
      <c r="B4" s="236">
        <v>0</v>
      </c>
      <c r="D4" s="329" t="s">
        <v>13</v>
      </c>
      <c r="E4" s="243">
        <f>EDATE(E2,E3)</f>
        <v>44865</v>
      </c>
      <c r="G4" s="415" t="s">
        <v>14</v>
      </c>
      <c r="H4" s="328">
        <f ca="1">Interest_Roll</f>
        <v>566907.39896990184</v>
      </c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</row>
    <row r="5" spans="1:35" x14ac:dyDescent="0.25">
      <c r="A5" s="327" t="s">
        <v>15</v>
      </c>
      <c r="B5" s="236">
        <v>1588811</v>
      </c>
      <c r="G5" s="415" t="s">
        <v>16</v>
      </c>
      <c r="H5" s="328">
        <f ca="1">Non_Utilisation_Fee_Value</f>
        <v>238711.22176980184</v>
      </c>
      <c r="N5" s="349"/>
      <c r="O5" s="349"/>
      <c r="P5" s="349"/>
      <c r="Q5" s="349"/>
      <c r="R5" s="349"/>
      <c r="S5" s="349"/>
      <c r="T5" s="349"/>
      <c r="U5" s="349"/>
      <c r="V5" s="349"/>
      <c r="W5" s="349"/>
      <c r="X5" s="349"/>
      <c r="Y5" s="349"/>
      <c r="Z5" s="349"/>
      <c r="AA5" s="349"/>
      <c r="AB5" s="349"/>
      <c r="AC5" s="349"/>
      <c r="AD5" s="349"/>
      <c r="AE5" s="349"/>
      <c r="AF5" s="349"/>
      <c r="AG5" s="349"/>
      <c r="AH5" s="349"/>
      <c r="AI5" s="349"/>
    </row>
    <row r="6" spans="1:35" x14ac:dyDescent="0.25">
      <c r="A6" s="327" t="s">
        <v>17</v>
      </c>
      <c r="B6" s="236">
        <v>647910</v>
      </c>
      <c r="D6" s="327" t="s">
        <v>18</v>
      </c>
      <c r="E6" s="238">
        <v>21</v>
      </c>
      <c r="G6" s="415" t="s">
        <v>19</v>
      </c>
      <c r="H6" s="328">
        <f ca="1">Total_Debt*Arrangement_Fee_Percent</f>
        <v>238262.41835182378</v>
      </c>
      <c r="N6" s="349"/>
      <c r="O6" s="349"/>
      <c r="P6" s="349"/>
      <c r="Q6" s="349"/>
      <c r="R6" s="349"/>
      <c r="S6" s="349"/>
      <c r="T6" s="349"/>
      <c r="U6" s="349"/>
      <c r="V6" s="349"/>
      <c r="W6" s="349"/>
      <c r="X6" s="349"/>
      <c r="Y6" s="349"/>
      <c r="Z6" s="349"/>
      <c r="AA6" s="349"/>
      <c r="AB6" s="349"/>
      <c r="AC6" s="349"/>
      <c r="AD6" s="349"/>
      <c r="AE6" s="349"/>
      <c r="AF6" s="349"/>
      <c r="AG6" s="349"/>
      <c r="AH6" s="349"/>
      <c r="AI6" s="349"/>
    </row>
    <row r="7" spans="1:35" ht="15.75" thickBot="1" x14ac:dyDescent="0.3">
      <c r="A7" s="327" t="s">
        <v>20</v>
      </c>
      <c r="B7" s="236">
        <v>0</v>
      </c>
      <c r="D7" s="327" t="s">
        <v>21</v>
      </c>
      <c r="E7" s="243">
        <f>EOMONTH(E2,E6)</f>
        <v>43738</v>
      </c>
      <c r="G7" s="331" t="s">
        <v>11</v>
      </c>
      <c r="H7" s="330">
        <f ca="1">Total_Costs+Interest_Roll+Non_Utilisation_Fee_Value+Arrangement_Fee_Value</f>
        <v>26473602.039091531</v>
      </c>
      <c r="I7" s="327" t="s">
        <v>22</v>
      </c>
      <c r="L7" s="414"/>
      <c r="N7" s="349"/>
      <c r="O7" s="349"/>
      <c r="P7" s="349"/>
      <c r="Q7" s="349"/>
      <c r="R7" s="349"/>
      <c r="S7" s="349"/>
      <c r="T7" s="349"/>
      <c r="U7" s="349"/>
      <c r="V7" s="349"/>
      <c r="W7" s="349"/>
      <c r="X7" s="349"/>
      <c r="Y7" s="349"/>
      <c r="Z7" s="349"/>
      <c r="AA7" s="349"/>
      <c r="AB7" s="349"/>
      <c r="AC7" s="349"/>
      <c r="AD7" s="349"/>
      <c r="AE7" s="349"/>
      <c r="AF7" s="349"/>
      <c r="AG7" s="349"/>
      <c r="AH7" s="349"/>
      <c r="AI7" s="349"/>
    </row>
    <row r="8" spans="1:35" ht="16.5" thickTop="1" thickBot="1" x14ac:dyDescent="0.3">
      <c r="A8" s="331" t="s">
        <v>11</v>
      </c>
      <c r="B8" s="241">
        <f>Acquisition_Costs+Construction_Costs+Contingency+Other_Costs+Professional_Fees+Marketing_Costs</f>
        <v>25429721</v>
      </c>
      <c r="D8" s="327" t="s">
        <v>23</v>
      </c>
      <c r="E8" s="238">
        <v>3</v>
      </c>
      <c r="G8" s="415"/>
      <c r="H8" s="328"/>
      <c r="N8" s="349"/>
      <c r="O8" s="349"/>
      <c r="P8" s="349"/>
      <c r="Q8" s="349"/>
      <c r="R8" s="349"/>
      <c r="S8" s="349"/>
      <c r="T8" s="349"/>
      <c r="U8" s="349"/>
      <c r="V8" s="349"/>
      <c r="W8" s="349"/>
      <c r="X8" s="349"/>
      <c r="Y8" s="349"/>
      <c r="Z8" s="349"/>
      <c r="AA8" s="349"/>
      <c r="AB8" s="349"/>
      <c r="AC8" s="349"/>
      <c r="AD8" s="349"/>
      <c r="AE8" s="349"/>
      <c r="AF8" s="349"/>
      <c r="AG8" s="349"/>
      <c r="AH8" s="349"/>
      <c r="AI8" s="349"/>
    </row>
    <row r="9" spans="1:35" ht="15.75" thickTop="1" x14ac:dyDescent="0.25">
      <c r="D9" s="327" t="s">
        <v>24</v>
      </c>
      <c r="E9" s="243">
        <f>EOMONTH(EDATE(Practical_Completion_Date,IRU_PPC_Mnths),1)</f>
        <v>43861</v>
      </c>
      <c r="G9" s="415" t="s">
        <v>25</v>
      </c>
      <c r="H9" s="328">
        <f ca="1">Total_Costs_InclFees*LTC</f>
        <v>15884161.223454919</v>
      </c>
      <c r="N9" s="349"/>
      <c r="O9" s="349"/>
      <c r="P9" s="349"/>
      <c r="Q9" s="349"/>
      <c r="R9" s="349"/>
      <c r="S9" s="349"/>
      <c r="T9" s="349"/>
      <c r="U9" s="349"/>
      <c r="V9" s="349"/>
      <c r="W9" s="349"/>
      <c r="X9" s="349"/>
      <c r="Y9" s="349"/>
      <c r="Z9" s="349"/>
      <c r="AA9" s="349"/>
      <c r="AB9" s="349"/>
      <c r="AC9" s="349"/>
      <c r="AD9" s="349"/>
      <c r="AE9" s="349"/>
      <c r="AF9" s="349"/>
      <c r="AG9" s="349"/>
      <c r="AH9" s="349"/>
      <c r="AI9" s="349"/>
    </row>
    <row r="10" spans="1:35" x14ac:dyDescent="0.25">
      <c r="D10" s="327" t="s">
        <v>26</v>
      </c>
      <c r="E10" s="327" t="s">
        <v>7</v>
      </c>
      <c r="G10" s="415" t="s">
        <v>27</v>
      </c>
      <c r="H10" s="328">
        <f ca="1">Total_Costs_InclFees-Total_Debt</f>
        <v>10589440.815636612</v>
      </c>
      <c r="N10" s="349"/>
      <c r="O10" s="349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9"/>
      <c r="AE10" s="349"/>
      <c r="AF10" s="349"/>
      <c r="AG10" s="349"/>
      <c r="AH10" s="349"/>
      <c r="AI10" s="349"/>
    </row>
    <row r="11" spans="1:35" x14ac:dyDescent="0.25">
      <c r="D11" s="327" t="str">
        <f>IF(Repayment_Type="Amortising","Specify Amort Amounts?","")</f>
        <v>Specify Amort Amounts?</v>
      </c>
      <c r="E11" s="327" t="s">
        <v>8</v>
      </c>
      <c r="G11" s="415" t="s">
        <v>28</v>
      </c>
      <c r="H11" s="328">
        <f ca="1">Total_Debt*Exit_Fee_Percent</f>
        <v>2382624.1835182379</v>
      </c>
      <c r="N11" s="349"/>
      <c r="O11" s="349"/>
      <c r="P11" s="349"/>
      <c r="Q11" s="349"/>
      <c r="R11" s="349"/>
      <c r="S11" s="349"/>
      <c r="T11" s="349"/>
      <c r="U11" s="349"/>
      <c r="V11" s="349"/>
      <c r="W11" s="349"/>
      <c r="X11" s="349"/>
      <c r="Y11" s="349"/>
      <c r="Z11" s="349"/>
      <c r="AA11" s="349"/>
      <c r="AB11" s="349"/>
      <c r="AC11" s="349"/>
      <c r="AD11" s="349"/>
      <c r="AE11" s="349"/>
      <c r="AF11" s="349"/>
      <c r="AG11" s="349"/>
      <c r="AH11" s="349"/>
      <c r="AI11" s="349"/>
    </row>
    <row r="12" spans="1:35" x14ac:dyDescent="0.25">
      <c r="N12" s="349"/>
      <c r="O12" s="349"/>
      <c r="P12" s="349"/>
      <c r="Q12" s="349"/>
      <c r="R12" s="349"/>
      <c r="S12" s="349"/>
      <c r="T12" s="349"/>
      <c r="U12" s="349"/>
      <c r="V12" s="349"/>
      <c r="W12" s="349"/>
      <c r="X12" s="349"/>
      <c r="Y12" s="349"/>
      <c r="Z12" s="349"/>
      <c r="AA12" s="349"/>
      <c r="AB12" s="349"/>
      <c r="AC12" s="349"/>
      <c r="AD12" s="349"/>
      <c r="AE12" s="349"/>
      <c r="AF12" s="349"/>
      <c r="AG12" s="349"/>
      <c r="AH12" s="349"/>
      <c r="AI12" s="349"/>
    </row>
    <row r="13" spans="1:35" x14ac:dyDescent="0.25">
      <c r="A13" s="417" t="s">
        <v>29</v>
      </c>
      <c r="B13" s="417"/>
      <c r="D13" s="417" t="s">
        <v>30</v>
      </c>
      <c r="E13" s="417"/>
      <c r="N13" s="349"/>
      <c r="O13" s="349"/>
      <c r="P13" s="349"/>
      <c r="Q13" s="349"/>
      <c r="R13" s="349"/>
      <c r="S13" s="349"/>
      <c r="T13" s="349"/>
      <c r="U13" s="349"/>
      <c r="V13" s="349"/>
      <c r="W13" s="349"/>
      <c r="X13" s="349"/>
      <c r="Y13" s="349"/>
      <c r="Z13" s="349"/>
      <c r="AA13" s="349"/>
      <c r="AB13" s="349"/>
      <c r="AC13" s="349"/>
      <c r="AD13" s="349"/>
      <c r="AE13" s="349"/>
      <c r="AF13" s="349"/>
      <c r="AG13" s="349"/>
      <c r="AH13" s="349"/>
      <c r="AI13" s="349"/>
    </row>
    <row r="14" spans="1:35" x14ac:dyDescent="0.25">
      <c r="A14" s="327" t="s">
        <v>31</v>
      </c>
      <c r="B14" s="239">
        <v>0.04</v>
      </c>
      <c r="D14" s="327" t="s">
        <v>32</v>
      </c>
      <c r="E14" s="236">
        <v>1500000</v>
      </c>
      <c r="G14" s="327" t="s">
        <v>33</v>
      </c>
      <c r="H14" s="332">
        <f ca="1">Capital_Guarantee/Total_SnrDebt_Sources_Uses</f>
        <v>9.4433692714291126E-2</v>
      </c>
      <c r="N14" s="349"/>
      <c r="O14" s="349"/>
      <c r="P14" s="349"/>
      <c r="Q14" s="349"/>
      <c r="R14" s="349"/>
      <c r="S14" s="349"/>
      <c r="T14" s="349"/>
      <c r="U14" s="349"/>
      <c r="V14" s="349"/>
      <c r="W14" s="349"/>
      <c r="X14" s="349"/>
      <c r="Y14" s="349"/>
      <c r="Z14" s="349"/>
      <c r="AA14" s="349"/>
      <c r="AB14" s="349"/>
      <c r="AC14" s="349"/>
      <c r="AD14" s="349"/>
      <c r="AE14" s="349"/>
      <c r="AF14" s="349"/>
      <c r="AG14" s="349"/>
      <c r="AH14" s="349"/>
      <c r="AI14" s="349"/>
    </row>
    <row r="15" spans="1:35" x14ac:dyDescent="0.25">
      <c r="A15" s="327" t="s">
        <v>34</v>
      </c>
      <c r="B15" s="239">
        <v>5.0000000000000001E-3</v>
      </c>
      <c r="D15" s="327" t="s">
        <v>35</v>
      </c>
      <c r="E15" s="236">
        <v>0</v>
      </c>
      <c r="G15" s="327" t="s">
        <v>36</v>
      </c>
      <c r="H15" s="332">
        <f>Capital_Guarantee/Construction_Costs</f>
        <v>6.9454090845950833E-2</v>
      </c>
      <c r="N15" s="349"/>
      <c r="O15" s="349"/>
      <c r="P15" s="349"/>
      <c r="Q15" s="349"/>
      <c r="R15" s="349"/>
      <c r="S15" s="349"/>
      <c r="T15" s="349"/>
      <c r="U15" s="349"/>
      <c r="V15" s="349"/>
      <c r="W15" s="349"/>
      <c r="X15" s="349"/>
      <c r="Y15" s="349"/>
      <c r="Z15" s="349"/>
      <c r="AA15" s="349"/>
      <c r="AB15" s="349"/>
      <c r="AC15" s="349"/>
      <c r="AD15" s="349"/>
      <c r="AE15" s="349"/>
      <c r="AF15" s="349"/>
      <c r="AG15" s="349"/>
      <c r="AH15" s="349"/>
      <c r="AI15" s="349"/>
    </row>
    <row r="16" spans="1:35" ht="15.75" thickBot="1" x14ac:dyDescent="0.3">
      <c r="A16" s="329" t="s">
        <v>37</v>
      </c>
      <c r="B16" s="242">
        <f>Development_Margin+LIBOR</f>
        <v>4.4999999999999998E-2</v>
      </c>
      <c r="D16" s="327" t="s">
        <v>38</v>
      </c>
      <c r="E16" s="236">
        <v>0</v>
      </c>
      <c r="G16" s="327" t="s">
        <v>39</v>
      </c>
      <c r="H16" s="332">
        <f>Cost_Overrun_Guarantee/Construction_Costs</f>
        <v>0</v>
      </c>
      <c r="N16" s="349"/>
      <c r="O16" s="349"/>
      <c r="P16" s="349"/>
      <c r="Q16" s="349"/>
      <c r="R16" s="349"/>
      <c r="S16" s="349"/>
      <c r="T16" s="349"/>
      <c r="U16" s="349"/>
      <c r="V16" s="349"/>
      <c r="W16" s="349"/>
      <c r="X16" s="349"/>
      <c r="Y16" s="349"/>
      <c r="Z16" s="349"/>
      <c r="AA16" s="349"/>
      <c r="AB16" s="349"/>
      <c r="AC16" s="349"/>
      <c r="AD16" s="349"/>
      <c r="AE16" s="349"/>
      <c r="AF16" s="349"/>
      <c r="AG16" s="349"/>
      <c r="AH16" s="349"/>
      <c r="AI16" s="349"/>
    </row>
    <row r="17" spans="1:35" ht="15.75" thickTop="1" x14ac:dyDescent="0.25">
      <c r="A17" s="327" t="s">
        <v>40</v>
      </c>
      <c r="B17" s="240">
        <v>1.2500000000000001E-2</v>
      </c>
      <c r="G17" s="327" t="s">
        <v>41</v>
      </c>
      <c r="H17" s="332" t="e">
        <f ca="1">Interest_Shortfall_Guarantee_Amount/Interest_pa</f>
        <v>#DIV/0!</v>
      </c>
      <c r="N17" s="349"/>
      <c r="O17" s="349"/>
      <c r="P17" s="349"/>
      <c r="Q17" s="349"/>
      <c r="R17" s="349"/>
      <c r="S17" s="349"/>
      <c r="T17" s="349"/>
      <c r="U17" s="349"/>
      <c r="V17" s="349"/>
      <c r="W17" s="349"/>
      <c r="X17" s="349"/>
      <c r="Y17" s="349"/>
      <c r="Z17" s="349"/>
      <c r="AA17" s="349"/>
      <c r="AB17" s="349"/>
      <c r="AC17" s="349"/>
      <c r="AD17" s="349"/>
      <c r="AE17" s="349"/>
      <c r="AF17" s="349"/>
      <c r="AG17" s="349"/>
      <c r="AH17" s="349"/>
      <c r="AI17" s="349"/>
    </row>
    <row r="18" spans="1:35" x14ac:dyDescent="0.25">
      <c r="A18" s="327" t="s">
        <v>19</v>
      </c>
      <c r="B18" s="240">
        <v>1.4999999999999999E-2</v>
      </c>
      <c r="D18" s="327" t="s">
        <v>42</v>
      </c>
      <c r="N18" s="349"/>
      <c r="O18" s="349"/>
      <c r="P18" s="349"/>
      <c r="Q18" s="349"/>
      <c r="R18" s="349"/>
      <c r="S18" s="349"/>
      <c r="T18" s="349"/>
      <c r="U18" s="349"/>
      <c r="V18" s="349"/>
      <c r="W18" s="349"/>
      <c r="X18" s="349"/>
      <c r="Y18" s="349"/>
      <c r="Z18" s="349"/>
      <c r="AA18" s="349"/>
      <c r="AB18" s="349"/>
      <c r="AC18" s="349"/>
      <c r="AD18" s="349"/>
      <c r="AE18" s="349"/>
      <c r="AF18" s="349"/>
      <c r="AG18" s="349"/>
      <c r="AH18" s="349"/>
      <c r="AI18" s="349"/>
    </row>
    <row r="19" spans="1:35" x14ac:dyDescent="0.25">
      <c r="A19" s="327" t="s">
        <v>28</v>
      </c>
      <c r="B19" s="240">
        <v>0.15</v>
      </c>
      <c r="D19" s="327" t="s">
        <v>43</v>
      </c>
      <c r="E19" s="240">
        <v>0</v>
      </c>
      <c r="G19" s="417" t="str">
        <f>IF(Repayment_Type="Amortising","Amortisation Amounts","")</f>
        <v>Amortisation Amounts</v>
      </c>
      <c r="H19" s="417"/>
      <c r="N19" s="349"/>
      <c r="O19" s="349"/>
      <c r="P19" s="349"/>
      <c r="Q19" s="349"/>
      <c r="R19" s="349"/>
      <c r="S19" s="349"/>
      <c r="T19" s="349"/>
      <c r="U19" s="349"/>
      <c r="V19" s="349"/>
      <c r="W19" s="349"/>
      <c r="X19" s="349"/>
      <c r="Y19" s="349"/>
      <c r="Z19" s="349"/>
      <c r="AA19" s="349"/>
      <c r="AB19" s="349"/>
      <c r="AC19" s="349"/>
      <c r="AD19" s="349"/>
      <c r="AE19" s="349"/>
      <c r="AF19" s="349"/>
      <c r="AG19" s="349"/>
      <c r="AH19" s="349"/>
      <c r="AI19" s="349"/>
    </row>
    <row r="20" spans="1:35" x14ac:dyDescent="0.25">
      <c r="D20" s="327" t="s">
        <v>44</v>
      </c>
      <c r="E20" s="240">
        <v>0</v>
      </c>
      <c r="G20" s="415" t="str">
        <f>IF($E$11="Yes","Year 1 Amount","")</f>
        <v/>
      </c>
      <c r="H20" s="236">
        <v>0</v>
      </c>
      <c r="N20" s="349"/>
      <c r="O20" s="349"/>
      <c r="P20" s="349"/>
      <c r="Q20" s="349"/>
      <c r="R20" s="349"/>
      <c r="S20" s="349"/>
      <c r="T20" s="349"/>
      <c r="U20" s="349"/>
      <c r="V20" s="349"/>
      <c r="W20" s="349"/>
      <c r="X20" s="349"/>
      <c r="Y20" s="349"/>
      <c r="Z20" s="349"/>
      <c r="AA20" s="349"/>
      <c r="AB20" s="349"/>
      <c r="AC20" s="349"/>
      <c r="AD20" s="349"/>
      <c r="AE20" s="349"/>
      <c r="AF20" s="349"/>
      <c r="AG20" s="349"/>
      <c r="AH20" s="349"/>
      <c r="AI20" s="349"/>
    </row>
    <row r="21" spans="1:35" x14ac:dyDescent="0.25">
      <c r="A21" s="327" t="s">
        <v>45</v>
      </c>
      <c r="B21" s="240">
        <v>0.6</v>
      </c>
      <c r="D21" s="327" t="s">
        <v>46</v>
      </c>
      <c r="E21" s="240">
        <v>0</v>
      </c>
      <c r="G21" s="415" t="str">
        <f>IF($E$11="Yes","Year 2 Amount","")</f>
        <v/>
      </c>
      <c r="H21" s="236">
        <v>0</v>
      </c>
      <c r="N21" s="349"/>
      <c r="O21" s="349"/>
      <c r="P21" s="349"/>
      <c r="Q21" s="349"/>
      <c r="R21" s="349"/>
      <c r="S21" s="349"/>
      <c r="T21" s="349"/>
      <c r="U21" s="349"/>
      <c r="V21" s="349"/>
      <c r="W21" s="349"/>
      <c r="X21" s="349"/>
      <c r="Y21" s="349"/>
      <c r="Z21" s="349"/>
      <c r="AA21" s="349"/>
      <c r="AB21" s="349"/>
      <c r="AC21" s="349"/>
      <c r="AD21" s="349"/>
      <c r="AE21" s="349"/>
      <c r="AF21" s="349"/>
      <c r="AG21" s="349"/>
      <c r="AH21" s="349"/>
      <c r="AI21" s="349"/>
    </row>
    <row r="22" spans="1:35" x14ac:dyDescent="0.25">
      <c r="B22" s="416"/>
      <c r="D22" s="327" t="s">
        <v>47</v>
      </c>
      <c r="E22" s="240">
        <v>0</v>
      </c>
      <c r="G22" s="415"/>
      <c r="H22" s="236"/>
      <c r="N22" s="349"/>
      <c r="O22" s="349"/>
      <c r="P22" s="349"/>
      <c r="Q22" s="349"/>
      <c r="R22" s="349"/>
      <c r="S22" s="349"/>
      <c r="T22" s="349"/>
      <c r="U22" s="349"/>
      <c r="V22" s="349"/>
      <c r="W22" s="349"/>
      <c r="X22" s="349"/>
      <c r="Y22" s="349"/>
      <c r="Z22" s="349"/>
      <c r="AA22" s="349"/>
      <c r="AB22" s="349"/>
      <c r="AC22" s="349"/>
      <c r="AD22" s="349"/>
      <c r="AE22" s="349"/>
      <c r="AF22" s="349"/>
      <c r="AG22" s="349"/>
      <c r="AH22" s="349"/>
      <c r="AI22" s="349"/>
    </row>
    <row r="23" spans="1:35" x14ac:dyDescent="0.25">
      <c r="A23" s="327" t="s">
        <v>48</v>
      </c>
      <c r="B23" s="349">
        <f>Term-Development_Period_Mnths</f>
        <v>37</v>
      </c>
      <c r="D23" s="327" t="s">
        <v>49</v>
      </c>
      <c r="E23" s="240">
        <v>0</v>
      </c>
      <c r="G23" s="415"/>
      <c r="H23" s="236"/>
      <c r="N23" s="349"/>
      <c r="O23" s="349"/>
      <c r="P23" s="349"/>
      <c r="Q23" s="349"/>
      <c r="R23" s="349"/>
      <c r="S23" s="349"/>
      <c r="T23" s="349"/>
      <c r="U23" s="349"/>
      <c r="V23" s="349"/>
      <c r="W23" s="349"/>
      <c r="X23" s="349"/>
      <c r="Y23" s="349"/>
      <c r="Z23" s="349"/>
      <c r="AA23" s="349"/>
      <c r="AB23" s="349"/>
      <c r="AC23" s="349"/>
      <c r="AD23" s="349"/>
      <c r="AE23" s="349"/>
      <c r="AF23" s="349"/>
      <c r="AG23" s="349"/>
      <c r="AH23" s="349"/>
      <c r="AI23" s="349"/>
    </row>
    <row r="24" spans="1:35" x14ac:dyDescent="0.25">
      <c r="A24" s="327" t="s">
        <v>50</v>
      </c>
      <c r="B24" s="351" t="s">
        <v>8</v>
      </c>
      <c r="D24" s="327" t="s">
        <v>51</v>
      </c>
      <c r="E24" s="240">
        <v>0</v>
      </c>
      <c r="G24" s="415"/>
      <c r="H24" s="236"/>
      <c r="N24" s="349"/>
      <c r="O24" s="349"/>
      <c r="P24" s="349"/>
      <c r="Q24" s="349"/>
      <c r="R24" s="349"/>
      <c r="S24" s="349"/>
      <c r="T24" s="349"/>
      <c r="U24" s="349"/>
      <c r="V24" s="349"/>
      <c r="W24" s="349"/>
      <c r="X24" s="349"/>
      <c r="Y24" s="349"/>
      <c r="Z24" s="349"/>
      <c r="AA24" s="349"/>
      <c r="AB24" s="349"/>
      <c r="AC24" s="349"/>
      <c r="AD24" s="349"/>
      <c r="AE24" s="349"/>
      <c r="AF24" s="349"/>
      <c r="AG24" s="349"/>
      <c r="AH24" s="349"/>
      <c r="AI24" s="349"/>
    </row>
    <row r="25" spans="1:35" x14ac:dyDescent="0.25">
      <c r="A25" s="346" t="s">
        <v>52</v>
      </c>
      <c r="B25" s="239">
        <v>0.01</v>
      </c>
      <c r="D25" s="327" t="s">
        <v>53</v>
      </c>
      <c r="E25" s="240">
        <v>0</v>
      </c>
      <c r="N25" s="349"/>
      <c r="O25" s="349"/>
      <c r="P25" s="349"/>
      <c r="Q25" s="349"/>
      <c r="R25" s="349"/>
      <c r="S25" s="349"/>
      <c r="T25" s="349"/>
      <c r="U25" s="349"/>
      <c r="V25" s="349"/>
      <c r="W25" s="349"/>
      <c r="X25" s="349"/>
      <c r="Y25" s="349"/>
      <c r="Z25" s="349"/>
      <c r="AA25" s="349"/>
      <c r="AB25" s="349"/>
      <c r="AC25" s="349"/>
      <c r="AD25" s="349"/>
      <c r="AE25" s="349"/>
      <c r="AF25" s="349"/>
      <c r="AG25" s="349"/>
      <c r="AH25" s="349"/>
      <c r="AI25" s="349"/>
    </row>
    <row r="26" spans="1:35" x14ac:dyDescent="0.25">
      <c r="A26" s="346" t="s">
        <v>54</v>
      </c>
      <c r="B26" s="239">
        <f>IF(B24="Yes",LIBOR,0)</f>
        <v>0</v>
      </c>
      <c r="D26" s="327" t="s">
        <v>55</v>
      </c>
      <c r="E26" s="240">
        <v>0</v>
      </c>
      <c r="N26" s="349"/>
      <c r="O26" s="349"/>
      <c r="P26" s="349"/>
      <c r="Q26" s="349"/>
      <c r="R26" s="349"/>
      <c r="S26" s="349"/>
      <c r="T26" s="349"/>
      <c r="U26" s="349"/>
      <c r="V26" s="349"/>
      <c r="W26" s="349"/>
      <c r="X26" s="349"/>
      <c r="Y26" s="349"/>
      <c r="Z26" s="349"/>
      <c r="AA26" s="349"/>
      <c r="AB26" s="349"/>
      <c r="AC26" s="349"/>
      <c r="AD26" s="349"/>
      <c r="AE26" s="349"/>
      <c r="AF26" s="349"/>
      <c r="AG26" s="349"/>
      <c r="AH26" s="349"/>
      <c r="AI26" s="349"/>
    </row>
    <row r="27" spans="1:35" ht="15.75" thickBot="1" x14ac:dyDescent="0.3">
      <c r="A27" s="347" t="s">
        <v>56</v>
      </c>
      <c r="B27" s="242">
        <f>IF(B24="No",0,SUM(B25:B26))</f>
        <v>0</v>
      </c>
      <c r="D27" s="327" t="s">
        <v>57</v>
      </c>
      <c r="E27" s="240">
        <v>0</v>
      </c>
      <c r="N27" s="349"/>
      <c r="O27" s="349"/>
      <c r="P27" s="349"/>
      <c r="Q27" s="349"/>
      <c r="R27" s="349"/>
      <c r="S27" s="349"/>
      <c r="T27" s="349"/>
      <c r="U27" s="349"/>
      <c r="V27" s="349"/>
      <c r="W27" s="349"/>
      <c r="X27" s="349"/>
      <c r="Y27" s="349"/>
      <c r="Z27" s="349"/>
      <c r="AA27" s="349"/>
      <c r="AB27" s="349"/>
      <c r="AC27" s="349"/>
      <c r="AD27" s="349"/>
      <c r="AE27" s="349"/>
      <c r="AF27" s="349"/>
      <c r="AG27" s="349"/>
      <c r="AH27" s="349"/>
      <c r="AI27" s="349"/>
    </row>
    <row r="28" spans="1:35" ht="15.75" thickTop="1" x14ac:dyDescent="0.25">
      <c r="D28" s="327" t="s">
        <v>58</v>
      </c>
      <c r="E28" s="240">
        <v>0</v>
      </c>
      <c r="N28" s="349"/>
      <c r="O28" s="349"/>
      <c r="P28" s="349"/>
      <c r="Q28" s="349"/>
      <c r="R28" s="349"/>
      <c r="S28" s="349"/>
      <c r="T28" s="349"/>
      <c r="U28" s="349"/>
      <c r="V28" s="349"/>
      <c r="W28" s="349"/>
      <c r="X28" s="349"/>
      <c r="Y28" s="349"/>
      <c r="Z28" s="349"/>
      <c r="AA28" s="349"/>
      <c r="AB28" s="349"/>
      <c r="AC28" s="349"/>
      <c r="AD28" s="349"/>
      <c r="AE28" s="349"/>
      <c r="AF28" s="349"/>
      <c r="AG28" s="349"/>
      <c r="AH28" s="349"/>
      <c r="AI28" s="349"/>
    </row>
    <row r="29" spans="1:35" x14ac:dyDescent="0.25">
      <c r="N29" s="349"/>
      <c r="O29" s="349"/>
      <c r="P29" s="349"/>
      <c r="Q29" s="349"/>
      <c r="R29" s="349"/>
      <c r="S29" s="349"/>
      <c r="T29" s="349"/>
      <c r="U29" s="349"/>
      <c r="V29" s="349"/>
      <c r="W29" s="349"/>
      <c r="X29" s="349"/>
      <c r="Y29" s="349"/>
      <c r="Z29" s="349"/>
      <c r="AA29" s="349"/>
      <c r="AB29" s="349"/>
      <c r="AC29" s="349"/>
      <c r="AD29" s="349"/>
      <c r="AE29" s="349"/>
      <c r="AF29" s="349"/>
      <c r="AG29" s="349"/>
      <c r="AH29" s="349"/>
      <c r="AI29" s="349"/>
    </row>
    <row r="30" spans="1:35" x14ac:dyDescent="0.25">
      <c r="N30" s="349"/>
      <c r="O30" s="349"/>
      <c r="P30" s="349"/>
      <c r="Q30" s="349"/>
      <c r="R30" s="349"/>
      <c r="S30" s="349"/>
      <c r="T30" s="349"/>
      <c r="U30" s="349"/>
      <c r="V30" s="349"/>
      <c r="W30" s="349"/>
      <c r="X30" s="349"/>
      <c r="Y30" s="349"/>
      <c r="Z30" s="349"/>
      <c r="AA30" s="349"/>
      <c r="AB30" s="349"/>
      <c r="AC30" s="349"/>
      <c r="AD30" s="349"/>
      <c r="AE30" s="349"/>
      <c r="AF30" s="349"/>
      <c r="AG30" s="349"/>
      <c r="AH30" s="349"/>
      <c r="AI30" s="349"/>
    </row>
  </sheetData>
  <mergeCells count="6">
    <mergeCell ref="G19:H19"/>
    <mergeCell ref="A1:B1"/>
    <mergeCell ref="A13:B13"/>
    <mergeCell ref="D1:E1"/>
    <mergeCell ref="D13:E13"/>
    <mergeCell ref="G1:I1"/>
  </mergeCells>
  <dataValidations count="3">
    <dataValidation type="list" allowBlank="1" showInputMessage="1" showErrorMessage="1" sqref="B24">
      <formula1>$U$2:$U$3</formula1>
    </dataValidation>
    <dataValidation type="list" allowBlank="1" showInputMessage="1" showErrorMessage="1" sqref="E10">
      <formula1>$O$1:$O$2</formula1>
    </dataValidation>
    <dataValidation type="list" allowBlank="1" showInputMessage="1" showErrorMessage="1" sqref="E11">
      <formula1>$P$1:$P$2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BP63"/>
  <sheetViews>
    <sheetView showGridLines="0" zoomScaleNormal="100" workbookViewId="0">
      <pane xSplit="5" ySplit="4" topLeftCell="AX20" activePane="bottomRight" state="frozen"/>
      <selection pane="topRight" activeCell="F1" sqref="F1"/>
      <selection pane="bottomLeft" activeCell="A5" sqref="A5"/>
      <selection pane="bottomRight" activeCell="R49" sqref="R49"/>
    </sheetView>
  </sheetViews>
  <sheetFormatPr defaultColWidth="9" defaultRowHeight="12.75" x14ac:dyDescent="0.2"/>
  <cols>
    <col min="1" max="1" width="22.42578125" style="214" bestFit="1" customWidth="1"/>
    <col min="2" max="2" width="12.7109375" style="218" bestFit="1" customWidth="1"/>
    <col min="3" max="3" width="12" style="219" bestFit="1" customWidth="1"/>
    <col min="4" max="4" width="9" style="219"/>
    <col min="5" max="5" width="9" style="218"/>
    <col min="6" max="6" width="10.7109375" style="219" bestFit="1" customWidth="1"/>
    <col min="7" max="15" width="11.28515625" style="219" bestFit="1" customWidth="1"/>
    <col min="16" max="16" width="11.28515625" style="218" bestFit="1" customWidth="1"/>
    <col min="17" max="18" width="12.42578125" style="219" bestFit="1" customWidth="1"/>
    <col min="19" max="19" width="11.28515625" style="219" bestFit="1" customWidth="1"/>
    <col min="20" max="20" width="12.42578125" style="219" bestFit="1" customWidth="1"/>
    <col min="21" max="21" width="11.28515625" style="219" bestFit="1" customWidth="1"/>
    <col min="22" max="22" width="12.42578125" style="219" bestFit="1" customWidth="1"/>
    <col min="23" max="25" width="11.28515625" style="219" bestFit="1" customWidth="1"/>
    <col min="26" max="28" width="12.42578125" style="219" bestFit="1" customWidth="1"/>
    <col min="29" max="29" width="11.28515625" style="219" bestFit="1" customWidth="1"/>
    <col min="30" max="68" width="11" style="220" bestFit="1" customWidth="1"/>
    <col min="69" max="16384" width="9" style="220"/>
  </cols>
  <sheetData>
    <row r="1" spans="1:68" s="216" customFormat="1" x14ac:dyDescent="0.2">
      <c r="A1" s="214"/>
      <c r="B1" s="215"/>
      <c r="C1" s="214"/>
      <c r="D1" s="214"/>
      <c r="E1" s="215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5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  <c r="BD1" s="214"/>
      <c r="BE1" s="214"/>
      <c r="BF1" s="214"/>
      <c r="BG1" s="214"/>
      <c r="BH1" s="214"/>
      <c r="BI1" s="214"/>
      <c r="BJ1" s="214"/>
      <c r="BK1" s="214"/>
      <c r="BL1" s="214"/>
    </row>
    <row r="2" spans="1:68" s="216" customFormat="1" x14ac:dyDescent="0.2">
      <c r="A2" s="214"/>
      <c r="B2" s="215"/>
      <c r="C2" s="214"/>
      <c r="D2" s="214"/>
      <c r="E2" s="215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</row>
    <row r="3" spans="1:68" s="247" customFormat="1" x14ac:dyDescent="0.2">
      <c r="A3" s="244" t="s">
        <v>59</v>
      </c>
      <c r="B3" s="245"/>
      <c r="C3" s="246"/>
      <c r="D3" s="245"/>
      <c r="E3" s="245"/>
      <c r="F3" s="348">
        <v>0</v>
      </c>
      <c r="G3" s="348">
        <f t="shared" ref="G3:AC3" si="0">IF(F3&lt;Term,F3+1,"")</f>
        <v>1</v>
      </c>
      <c r="H3" s="348">
        <f t="shared" si="0"/>
        <v>2</v>
      </c>
      <c r="I3" s="348">
        <f t="shared" si="0"/>
        <v>3</v>
      </c>
      <c r="J3" s="348">
        <f t="shared" si="0"/>
        <v>4</v>
      </c>
      <c r="K3" s="348">
        <f t="shared" si="0"/>
        <v>5</v>
      </c>
      <c r="L3" s="348">
        <f t="shared" si="0"/>
        <v>6</v>
      </c>
      <c r="M3" s="348">
        <f t="shared" si="0"/>
        <v>7</v>
      </c>
      <c r="N3" s="348">
        <f t="shared" si="0"/>
        <v>8</v>
      </c>
      <c r="O3" s="348">
        <f t="shared" si="0"/>
        <v>9</v>
      </c>
      <c r="P3" s="348">
        <f t="shared" si="0"/>
        <v>10</v>
      </c>
      <c r="Q3" s="348">
        <f t="shared" si="0"/>
        <v>11</v>
      </c>
      <c r="R3" s="348">
        <f t="shared" si="0"/>
        <v>12</v>
      </c>
      <c r="S3" s="348">
        <f t="shared" si="0"/>
        <v>13</v>
      </c>
      <c r="T3" s="348">
        <f t="shared" si="0"/>
        <v>14</v>
      </c>
      <c r="U3" s="348">
        <f t="shared" si="0"/>
        <v>15</v>
      </c>
      <c r="V3" s="348">
        <f t="shared" si="0"/>
        <v>16</v>
      </c>
      <c r="W3" s="348">
        <f t="shared" si="0"/>
        <v>17</v>
      </c>
      <c r="X3" s="348">
        <f t="shared" si="0"/>
        <v>18</v>
      </c>
      <c r="Y3" s="348">
        <f t="shared" si="0"/>
        <v>19</v>
      </c>
      <c r="Z3" s="348">
        <f t="shared" si="0"/>
        <v>20</v>
      </c>
      <c r="AA3" s="348">
        <f t="shared" si="0"/>
        <v>21</v>
      </c>
      <c r="AB3" s="348">
        <f t="shared" si="0"/>
        <v>22</v>
      </c>
      <c r="AC3" s="348">
        <f t="shared" si="0"/>
        <v>23</v>
      </c>
      <c r="AD3" s="348">
        <f t="shared" ref="AD3" si="1">IF(AC3&lt;Term,AC3+1,"")</f>
        <v>24</v>
      </c>
      <c r="AE3" s="348">
        <f t="shared" ref="AE3" si="2">IF(AD3&lt;Term,AD3+1,"")</f>
        <v>25</v>
      </c>
      <c r="AF3" s="348">
        <f t="shared" ref="AF3" si="3">IF(AE3&lt;Term,AE3+1,"")</f>
        <v>26</v>
      </c>
      <c r="AG3" s="348">
        <f t="shared" ref="AG3" si="4">IF(AF3&lt;Term,AF3+1,"")</f>
        <v>27</v>
      </c>
      <c r="AH3" s="348">
        <f t="shared" ref="AH3" si="5">IF(AG3&lt;Term,AG3+1,"")</f>
        <v>28</v>
      </c>
      <c r="AI3" s="348">
        <f t="shared" ref="AI3" si="6">IF(AH3&lt;Term,AH3+1,"")</f>
        <v>29</v>
      </c>
      <c r="AJ3" s="348">
        <f t="shared" ref="AJ3" si="7">IF(AI3&lt;Term,AI3+1,"")</f>
        <v>30</v>
      </c>
      <c r="AK3" s="348">
        <f t="shared" ref="AK3" si="8">IF(AJ3&lt;Term,AJ3+1,"")</f>
        <v>31</v>
      </c>
      <c r="AL3" s="348">
        <f t="shared" ref="AL3" si="9">IF(AK3&lt;Term,AK3+1,"")</f>
        <v>32</v>
      </c>
      <c r="AM3" s="348">
        <f t="shared" ref="AM3" si="10">IF(AL3&lt;Term,AL3+1,"")</f>
        <v>33</v>
      </c>
      <c r="AN3" s="348">
        <f t="shared" ref="AN3" si="11">IF(AM3&lt;Term,AM3+1,"")</f>
        <v>34</v>
      </c>
      <c r="AO3" s="348">
        <f t="shared" ref="AO3" si="12">IF(AN3&lt;Term,AN3+1,"")</f>
        <v>35</v>
      </c>
      <c r="AP3" s="348">
        <f t="shared" ref="AP3" si="13">IF(AO3&lt;Term,AO3+1,"")</f>
        <v>36</v>
      </c>
      <c r="AQ3" s="348">
        <f t="shared" ref="AQ3" si="14">IF(AP3&lt;Term,AP3+1,"")</f>
        <v>37</v>
      </c>
      <c r="AR3" s="348">
        <f t="shared" ref="AR3" si="15">IF(AQ3&lt;Term,AQ3+1,"")</f>
        <v>38</v>
      </c>
      <c r="AS3" s="348">
        <f t="shared" ref="AS3" si="16">IF(AR3&lt;Term,AR3+1,"")</f>
        <v>39</v>
      </c>
      <c r="AT3" s="348">
        <f t="shared" ref="AT3" si="17">IF(AS3&lt;Term,AS3+1,"")</f>
        <v>40</v>
      </c>
      <c r="AU3" s="348">
        <f t="shared" ref="AU3" si="18">IF(AT3&lt;Term,AT3+1,"")</f>
        <v>41</v>
      </c>
      <c r="AV3" s="348">
        <f t="shared" ref="AV3" si="19">IF(AU3&lt;Term,AU3+1,"")</f>
        <v>42</v>
      </c>
      <c r="AW3" s="348">
        <f t="shared" ref="AW3" si="20">IF(AV3&lt;Term,AV3+1,"")</f>
        <v>43</v>
      </c>
      <c r="AX3" s="348">
        <f t="shared" ref="AX3" si="21">IF(AW3&lt;Term,AW3+1,"")</f>
        <v>44</v>
      </c>
      <c r="AY3" s="348">
        <f t="shared" ref="AY3" si="22">IF(AX3&lt;Term,AX3+1,"")</f>
        <v>45</v>
      </c>
      <c r="AZ3" s="348">
        <f t="shared" ref="AZ3" si="23">IF(AY3&lt;Term,AY3+1,"")</f>
        <v>46</v>
      </c>
      <c r="BA3" s="348">
        <f t="shared" ref="BA3" si="24">IF(AZ3&lt;Term,AZ3+1,"")</f>
        <v>47</v>
      </c>
      <c r="BB3" s="348">
        <f t="shared" ref="BB3" si="25">IF(BA3&lt;Term,BA3+1,"")</f>
        <v>48</v>
      </c>
      <c r="BC3" s="348">
        <f t="shared" ref="BC3" si="26">IF(BB3&lt;Term,BB3+1,"")</f>
        <v>49</v>
      </c>
      <c r="BD3" s="348">
        <f t="shared" ref="BD3" si="27">IF(BC3&lt;Term,BC3+1,"")</f>
        <v>50</v>
      </c>
      <c r="BE3" s="348">
        <f t="shared" ref="BE3" si="28">IF(BD3&lt;Term,BD3+1,"")</f>
        <v>51</v>
      </c>
      <c r="BF3" s="348">
        <f t="shared" ref="BF3" si="29">IF(BE3&lt;Term,BE3+1,"")</f>
        <v>52</v>
      </c>
      <c r="BG3" s="348">
        <f t="shared" ref="BG3" si="30">IF(BF3&lt;Term,BF3+1,"")</f>
        <v>53</v>
      </c>
      <c r="BH3" s="348">
        <f t="shared" ref="BH3" si="31">IF(BG3&lt;Term,BG3+1,"")</f>
        <v>54</v>
      </c>
      <c r="BI3" s="348">
        <f t="shared" ref="BI3" si="32">IF(BH3&lt;Term,BH3+1,"")</f>
        <v>55</v>
      </c>
      <c r="BJ3" s="348">
        <f t="shared" ref="BJ3" si="33">IF(BI3&lt;Term,BI3+1,"")</f>
        <v>56</v>
      </c>
      <c r="BK3" s="348">
        <f t="shared" ref="BK3" si="34">IF(BJ3&lt;Term,BJ3+1,"")</f>
        <v>57</v>
      </c>
      <c r="BL3" s="348">
        <f t="shared" ref="BL3" si="35">IF(BK3&lt;Term,BK3+1,"")</f>
        <v>58</v>
      </c>
      <c r="BM3" s="348" t="str">
        <f t="shared" ref="BM3" si="36">IF(BL3&lt;Term,BL3+1,"")</f>
        <v/>
      </c>
      <c r="BN3" s="348" t="str">
        <f t="shared" ref="BN3" si="37">IF(BM3&lt;Term,BM3+1,"")</f>
        <v/>
      </c>
      <c r="BO3" s="348" t="str">
        <f t="shared" ref="BO3" si="38">IF(BN3&lt;Term,BN3+1,"")</f>
        <v/>
      </c>
      <c r="BP3" s="348" t="str">
        <f t="shared" ref="BP3" si="39">IF(BO3&lt;Term,BO3+1,"")</f>
        <v/>
      </c>
    </row>
    <row r="4" spans="1:68" s="247" customFormat="1" x14ac:dyDescent="0.2">
      <c r="A4" s="244" t="s">
        <v>60</v>
      </c>
      <c r="B4" s="245"/>
      <c r="C4" s="246"/>
      <c r="D4" s="245"/>
      <c r="E4" s="245"/>
      <c r="F4" s="248">
        <f>Start_Date</f>
        <v>43100</v>
      </c>
      <c r="G4" s="249">
        <f t="shared" ref="G4:AC4" si="40">IF(G3&lt;=Term,EOMONTH(F4, 1),"")</f>
        <v>43131</v>
      </c>
      <c r="H4" s="249">
        <f t="shared" si="40"/>
        <v>43159</v>
      </c>
      <c r="I4" s="249">
        <f t="shared" si="40"/>
        <v>43190</v>
      </c>
      <c r="J4" s="249">
        <f t="shared" si="40"/>
        <v>43220</v>
      </c>
      <c r="K4" s="249">
        <f t="shared" si="40"/>
        <v>43251</v>
      </c>
      <c r="L4" s="249">
        <f t="shared" si="40"/>
        <v>43281</v>
      </c>
      <c r="M4" s="249">
        <f t="shared" si="40"/>
        <v>43312</v>
      </c>
      <c r="N4" s="249">
        <f t="shared" si="40"/>
        <v>43343</v>
      </c>
      <c r="O4" s="249">
        <f t="shared" si="40"/>
        <v>43373</v>
      </c>
      <c r="P4" s="249">
        <f t="shared" si="40"/>
        <v>43404</v>
      </c>
      <c r="Q4" s="249">
        <f t="shared" si="40"/>
        <v>43434</v>
      </c>
      <c r="R4" s="249">
        <f t="shared" si="40"/>
        <v>43465</v>
      </c>
      <c r="S4" s="249">
        <f t="shared" si="40"/>
        <v>43496</v>
      </c>
      <c r="T4" s="249">
        <f t="shared" si="40"/>
        <v>43524</v>
      </c>
      <c r="U4" s="249">
        <f t="shared" si="40"/>
        <v>43555</v>
      </c>
      <c r="V4" s="249">
        <f t="shared" si="40"/>
        <v>43585</v>
      </c>
      <c r="W4" s="249">
        <f t="shared" si="40"/>
        <v>43616</v>
      </c>
      <c r="X4" s="249">
        <f t="shared" si="40"/>
        <v>43646</v>
      </c>
      <c r="Y4" s="249">
        <f t="shared" si="40"/>
        <v>43677</v>
      </c>
      <c r="Z4" s="249">
        <f t="shared" si="40"/>
        <v>43708</v>
      </c>
      <c r="AA4" s="249">
        <f t="shared" si="40"/>
        <v>43738</v>
      </c>
      <c r="AB4" s="250">
        <f t="shared" si="40"/>
        <v>43769</v>
      </c>
      <c r="AC4" s="250">
        <f t="shared" si="40"/>
        <v>43799</v>
      </c>
      <c r="AD4" s="250">
        <f t="shared" ref="AD4" si="41">IF(AD3&lt;=Term,EOMONTH(AC4, 1),"")</f>
        <v>43830</v>
      </c>
      <c r="AE4" s="250">
        <f t="shared" ref="AE4" si="42">IF(AE3&lt;=Term,EOMONTH(AD4, 1),"")</f>
        <v>43861</v>
      </c>
      <c r="AF4" s="250">
        <f t="shared" ref="AF4" si="43">IF(AF3&lt;=Term,EOMONTH(AE4, 1),"")</f>
        <v>43890</v>
      </c>
      <c r="AG4" s="250">
        <f t="shared" ref="AG4" si="44">IF(AG3&lt;=Term,EOMONTH(AF4, 1),"")</f>
        <v>43921</v>
      </c>
      <c r="AH4" s="250">
        <f t="shared" ref="AH4" si="45">IF(AH3&lt;=Term,EOMONTH(AG4, 1),"")</f>
        <v>43951</v>
      </c>
      <c r="AI4" s="250">
        <f t="shared" ref="AI4" si="46">IF(AI3&lt;=Term,EOMONTH(AH4, 1),"")</f>
        <v>43982</v>
      </c>
      <c r="AJ4" s="250">
        <f t="shared" ref="AJ4" si="47">IF(AJ3&lt;=Term,EOMONTH(AI4, 1),"")</f>
        <v>44012</v>
      </c>
      <c r="AK4" s="250">
        <f t="shared" ref="AK4" si="48">IF(AK3&lt;=Term,EOMONTH(AJ4, 1),"")</f>
        <v>44043</v>
      </c>
      <c r="AL4" s="250">
        <f t="shared" ref="AL4" si="49">IF(AL3&lt;=Term,EOMONTH(AK4, 1),"")</f>
        <v>44074</v>
      </c>
      <c r="AM4" s="250">
        <f t="shared" ref="AM4" si="50">IF(AM3&lt;=Term,EOMONTH(AL4, 1),"")</f>
        <v>44104</v>
      </c>
      <c r="AN4" s="250">
        <f t="shared" ref="AN4" si="51">IF(AN3&lt;=Term,EOMONTH(AM4, 1),"")</f>
        <v>44135</v>
      </c>
      <c r="AO4" s="250">
        <f t="shared" ref="AO4" si="52">IF(AO3&lt;=Term,EOMONTH(AN4, 1),"")</f>
        <v>44165</v>
      </c>
      <c r="AP4" s="250">
        <f t="shared" ref="AP4" si="53">IF(AP3&lt;=Term,EOMONTH(AO4, 1),"")</f>
        <v>44196</v>
      </c>
      <c r="AQ4" s="250">
        <f t="shared" ref="AQ4" si="54">IF(AQ3&lt;=Term,EOMONTH(AP4, 1),"")</f>
        <v>44227</v>
      </c>
      <c r="AR4" s="250">
        <f t="shared" ref="AR4" si="55">IF(AR3&lt;=Term,EOMONTH(AQ4, 1),"")</f>
        <v>44255</v>
      </c>
      <c r="AS4" s="250">
        <f t="shared" ref="AS4" si="56">IF(AS3&lt;=Term,EOMONTH(AR4, 1),"")</f>
        <v>44286</v>
      </c>
      <c r="AT4" s="250">
        <f t="shared" ref="AT4" si="57">IF(AT3&lt;=Term,EOMONTH(AS4, 1),"")</f>
        <v>44316</v>
      </c>
      <c r="AU4" s="250">
        <f t="shared" ref="AU4" si="58">IF(AU3&lt;=Term,EOMONTH(AT4, 1),"")</f>
        <v>44347</v>
      </c>
      <c r="AV4" s="250">
        <f t="shared" ref="AV4" si="59">IF(AV3&lt;=Term,EOMONTH(AU4, 1),"")</f>
        <v>44377</v>
      </c>
      <c r="AW4" s="250">
        <f t="shared" ref="AW4" si="60">IF(AW3&lt;=Term,EOMONTH(AV4, 1),"")</f>
        <v>44408</v>
      </c>
      <c r="AX4" s="250">
        <f t="shared" ref="AX4" si="61">IF(AX3&lt;=Term,EOMONTH(AW4, 1),"")</f>
        <v>44439</v>
      </c>
      <c r="AY4" s="250">
        <f t="shared" ref="AY4" si="62">IF(AY3&lt;=Term,EOMONTH(AX4, 1),"")</f>
        <v>44469</v>
      </c>
      <c r="AZ4" s="250">
        <f t="shared" ref="AZ4" si="63">IF(AZ3&lt;=Term,EOMONTH(AY4, 1),"")</f>
        <v>44500</v>
      </c>
      <c r="BA4" s="250">
        <f t="shared" ref="BA4" si="64">IF(BA3&lt;=Term,EOMONTH(AZ4, 1),"")</f>
        <v>44530</v>
      </c>
      <c r="BB4" s="250">
        <f t="shared" ref="BB4" si="65">IF(BB3&lt;=Term,EOMONTH(BA4, 1),"")</f>
        <v>44561</v>
      </c>
      <c r="BC4" s="250">
        <f t="shared" ref="BC4" si="66">IF(BC3&lt;=Term,EOMONTH(BB4, 1),"")</f>
        <v>44592</v>
      </c>
      <c r="BD4" s="250">
        <f t="shared" ref="BD4" si="67">IF(BD3&lt;=Term,EOMONTH(BC4, 1),"")</f>
        <v>44620</v>
      </c>
      <c r="BE4" s="250">
        <f t="shared" ref="BE4" si="68">IF(BE3&lt;=Term,EOMONTH(BD4, 1),"")</f>
        <v>44651</v>
      </c>
      <c r="BF4" s="250">
        <f t="shared" ref="BF4" si="69">IF(BF3&lt;=Term,EOMONTH(BE4, 1),"")</f>
        <v>44681</v>
      </c>
      <c r="BG4" s="250">
        <f t="shared" ref="BG4" si="70">IF(BG3&lt;=Term,EOMONTH(BF4, 1),"")</f>
        <v>44712</v>
      </c>
      <c r="BH4" s="250">
        <f t="shared" ref="BH4" si="71">IF(BH3&lt;=Term,EOMONTH(BG4, 1),"")</f>
        <v>44742</v>
      </c>
      <c r="BI4" s="250">
        <f t="shared" ref="BI4" si="72">IF(BI3&lt;=Term,EOMONTH(BH4, 1),"")</f>
        <v>44773</v>
      </c>
      <c r="BJ4" s="250">
        <f t="shared" ref="BJ4" si="73">IF(BJ3&lt;=Term,EOMONTH(BI4, 1),"")</f>
        <v>44804</v>
      </c>
      <c r="BK4" s="250">
        <f t="shared" ref="BK4" si="74">IF(BK3&lt;=Term,EOMONTH(BJ4, 1),"")</f>
        <v>44834</v>
      </c>
      <c r="BL4" s="250">
        <f t="shared" ref="BL4" si="75">IF(BL3&lt;=Term,EOMONTH(BK4, 1),"")</f>
        <v>44865</v>
      </c>
      <c r="BM4" s="250" t="str">
        <f t="shared" ref="BM4" si="76">IF(BM3&lt;=Term,EOMONTH(BL4, 1),"")</f>
        <v/>
      </c>
      <c r="BN4" s="250" t="str">
        <f t="shared" ref="BN4" si="77">IF(BN3&lt;=Term,EOMONTH(BM4, 1),"")</f>
        <v/>
      </c>
      <c r="BO4" s="250" t="str">
        <f t="shared" ref="BO4" si="78">IF(BO3&lt;=Term,EOMONTH(BN4, 1),"")</f>
        <v/>
      </c>
      <c r="BP4" s="250" t="str">
        <f t="shared" ref="BP4" si="79">IF(BP3&lt;=Term,EOMONTH(BO4, 1),"")</f>
        <v/>
      </c>
    </row>
    <row r="5" spans="1:68" x14ac:dyDescent="0.2"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4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</row>
    <row r="6" spans="1:68" x14ac:dyDescent="0.2">
      <c r="A6" s="217" t="s">
        <v>61</v>
      </c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4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3"/>
      <c r="BE6" s="233"/>
      <c r="BF6" s="233"/>
      <c r="BG6" s="233"/>
      <c r="BH6" s="233"/>
      <c r="BI6" s="233"/>
      <c r="BJ6" s="233"/>
      <c r="BK6" s="233"/>
      <c r="BL6" s="233"/>
      <c r="BM6" s="233"/>
      <c r="BN6" s="233"/>
      <c r="BO6" s="233"/>
      <c r="BP6" s="233"/>
    </row>
    <row r="7" spans="1:68" x14ac:dyDescent="0.2"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4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233"/>
      <c r="BH7" s="233"/>
      <c r="BI7" s="233"/>
      <c r="BJ7" s="233"/>
      <c r="BK7" s="233"/>
      <c r="BL7" s="233"/>
      <c r="BM7" s="233"/>
      <c r="BN7" s="233"/>
      <c r="BO7" s="233"/>
      <c r="BP7" s="233"/>
    </row>
    <row r="8" spans="1:68" x14ac:dyDescent="0.2">
      <c r="A8" s="214" t="s">
        <v>62</v>
      </c>
      <c r="B8" s="218">
        <f>SUM(F8:BP8)</f>
        <v>6260852.9999999879</v>
      </c>
      <c r="F8" s="233">
        <v>0</v>
      </c>
      <c r="G8" s="233">
        <v>0</v>
      </c>
      <c r="H8" s="233">
        <v>0</v>
      </c>
      <c r="I8" s="233">
        <v>0</v>
      </c>
      <c r="J8" s="233">
        <v>0</v>
      </c>
      <c r="K8" s="233">
        <v>0</v>
      </c>
      <c r="L8" s="233">
        <v>0</v>
      </c>
      <c r="M8" s="233">
        <v>0</v>
      </c>
      <c r="N8" s="233">
        <v>0</v>
      </c>
      <c r="O8" s="233">
        <v>0</v>
      </c>
      <c r="P8" s="233">
        <v>0</v>
      </c>
      <c r="Q8" s="233">
        <v>0</v>
      </c>
      <c r="R8" s="233">
        <v>0</v>
      </c>
      <c r="S8" s="233">
        <v>0</v>
      </c>
      <c r="T8" s="233">
        <v>0</v>
      </c>
      <c r="U8" s="233">
        <v>0</v>
      </c>
      <c r="V8" s="233">
        <v>0</v>
      </c>
      <c r="W8" s="233">
        <v>0</v>
      </c>
      <c r="X8" s="233">
        <v>0</v>
      </c>
      <c r="Y8" s="233">
        <v>0</v>
      </c>
      <c r="Z8" s="233">
        <v>0</v>
      </c>
      <c r="AA8" s="233">
        <v>0</v>
      </c>
      <c r="AB8" s="233">
        <v>173912.58333333299</v>
      </c>
      <c r="AC8" s="233">
        <v>173912.58333333299</v>
      </c>
      <c r="AD8" s="233">
        <v>173912.58333333299</v>
      </c>
      <c r="AE8" s="233">
        <v>173912.58333333299</v>
      </c>
      <c r="AF8" s="233">
        <v>173912.58333333299</v>
      </c>
      <c r="AG8" s="233">
        <v>173912.58333333299</v>
      </c>
      <c r="AH8" s="233">
        <v>173912.58333333299</v>
      </c>
      <c r="AI8" s="233">
        <v>173912.58333333299</v>
      </c>
      <c r="AJ8" s="233">
        <v>173912.58333333299</v>
      </c>
      <c r="AK8" s="233">
        <v>173912.58333333299</v>
      </c>
      <c r="AL8" s="233">
        <v>173912.58333333299</v>
      </c>
      <c r="AM8" s="233">
        <v>173912.58333333299</v>
      </c>
      <c r="AN8" s="233">
        <v>173912.58333333299</v>
      </c>
      <c r="AO8" s="233">
        <v>173912.58333333299</v>
      </c>
      <c r="AP8" s="233">
        <v>173912.58333333299</v>
      </c>
      <c r="AQ8" s="233">
        <v>173912.58333333299</v>
      </c>
      <c r="AR8" s="233">
        <v>173912.58333333299</v>
      </c>
      <c r="AS8" s="233">
        <v>173912.58333333299</v>
      </c>
      <c r="AT8" s="233">
        <v>173912.58333333299</v>
      </c>
      <c r="AU8" s="233">
        <v>173912.58333333299</v>
      </c>
      <c r="AV8" s="233">
        <v>173912.58333333299</v>
      </c>
      <c r="AW8" s="233">
        <v>173912.58333333299</v>
      </c>
      <c r="AX8" s="233">
        <v>173912.58333333299</v>
      </c>
      <c r="AY8" s="233">
        <v>173912.58333333299</v>
      </c>
      <c r="AZ8" s="233">
        <v>173912.58333333299</v>
      </c>
      <c r="BA8" s="233">
        <v>173912.58333333299</v>
      </c>
      <c r="BB8" s="233">
        <v>173912.58333333299</v>
      </c>
      <c r="BC8" s="233">
        <v>173912.58333333299</v>
      </c>
      <c r="BD8" s="233">
        <v>173912.58333333299</v>
      </c>
      <c r="BE8" s="233">
        <v>173912.58333333299</v>
      </c>
      <c r="BF8" s="233">
        <v>173912.58333333299</v>
      </c>
      <c r="BG8" s="233">
        <v>173912.58333333299</v>
      </c>
      <c r="BH8" s="233">
        <v>173912.58333333299</v>
      </c>
      <c r="BI8" s="233">
        <v>173912.58333333299</v>
      </c>
      <c r="BJ8" s="233">
        <v>173912.58333333299</v>
      </c>
      <c r="BK8" s="233">
        <v>173912.58333333299</v>
      </c>
      <c r="BL8" s="233"/>
      <c r="BM8" s="233"/>
      <c r="BN8" s="233"/>
      <c r="BO8" s="233"/>
      <c r="BP8" s="233"/>
    </row>
    <row r="9" spans="1:68" x14ac:dyDescent="0.2">
      <c r="A9" s="214" t="s">
        <v>63</v>
      </c>
      <c r="B9" s="218">
        <f>SUM(F9:BP9)</f>
        <v>31632451</v>
      </c>
      <c r="F9" s="233">
        <v>0</v>
      </c>
      <c r="G9" s="233">
        <v>0</v>
      </c>
      <c r="H9" s="233">
        <v>0</v>
      </c>
      <c r="I9" s="233">
        <v>0</v>
      </c>
      <c r="J9" s="233">
        <v>0</v>
      </c>
      <c r="K9" s="233">
        <v>0</v>
      </c>
      <c r="L9" s="233">
        <v>0</v>
      </c>
      <c r="M9" s="233">
        <v>0</v>
      </c>
      <c r="N9" s="233">
        <v>0</v>
      </c>
      <c r="O9" s="233">
        <v>0</v>
      </c>
      <c r="P9" s="233">
        <v>0</v>
      </c>
      <c r="Q9" s="233">
        <v>0</v>
      </c>
      <c r="R9" s="233">
        <v>0</v>
      </c>
      <c r="S9" s="233">
        <v>0</v>
      </c>
      <c r="T9" s="233">
        <v>0</v>
      </c>
      <c r="U9" s="233">
        <v>0</v>
      </c>
      <c r="V9" s="233">
        <v>0</v>
      </c>
      <c r="W9" s="233">
        <v>0</v>
      </c>
      <c r="X9" s="233">
        <v>0</v>
      </c>
      <c r="Y9" s="233">
        <v>0</v>
      </c>
      <c r="Z9" s="233">
        <v>0</v>
      </c>
      <c r="AA9" s="233">
        <v>0</v>
      </c>
      <c r="AB9" s="233">
        <v>0</v>
      </c>
      <c r="AC9" s="233">
        <v>0</v>
      </c>
      <c r="AD9" s="219">
        <v>0</v>
      </c>
      <c r="AE9" s="219">
        <v>0</v>
      </c>
      <c r="AF9" s="219">
        <v>0</v>
      </c>
      <c r="AG9" s="219">
        <v>0</v>
      </c>
      <c r="AH9" s="219">
        <v>0</v>
      </c>
      <c r="AI9" s="219">
        <v>0</v>
      </c>
      <c r="AJ9" s="219">
        <v>0</v>
      </c>
      <c r="AK9" s="219">
        <v>0</v>
      </c>
      <c r="AL9" s="219">
        <v>0</v>
      </c>
      <c r="AM9" s="219">
        <v>0</v>
      </c>
      <c r="AN9" s="219">
        <v>0</v>
      </c>
      <c r="AO9" s="219">
        <v>0</v>
      </c>
      <c r="AP9" s="219">
        <v>0</v>
      </c>
      <c r="AQ9" s="219">
        <v>0</v>
      </c>
      <c r="AR9" s="219">
        <v>0</v>
      </c>
      <c r="AS9" s="219">
        <v>0</v>
      </c>
      <c r="AT9" s="219">
        <v>0</v>
      </c>
      <c r="AU9" s="219">
        <v>0</v>
      </c>
      <c r="AV9" s="219"/>
      <c r="AW9" s="219">
        <v>0</v>
      </c>
      <c r="AX9" s="219">
        <v>0</v>
      </c>
      <c r="AY9" s="219">
        <v>0</v>
      </c>
      <c r="AZ9" s="219">
        <v>0</v>
      </c>
      <c r="BA9" s="219">
        <v>0</v>
      </c>
      <c r="BB9" s="219">
        <v>0</v>
      </c>
      <c r="BC9" s="219">
        <v>0</v>
      </c>
      <c r="BD9" s="219">
        <v>0</v>
      </c>
      <c r="BE9" s="219">
        <v>0</v>
      </c>
      <c r="BF9" s="219">
        <v>0</v>
      </c>
      <c r="BH9" s="219">
        <v>0</v>
      </c>
      <c r="BI9" s="219">
        <v>0</v>
      </c>
      <c r="BJ9" s="219">
        <v>0</v>
      </c>
      <c r="BK9" s="233">
        <v>31632451</v>
      </c>
      <c r="BL9" s="233"/>
      <c r="BM9" s="219"/>
      <c r="BN9" s="219"/>
      <c r="BO9" s="219"/>
      <c r="BP9" s="219"/>
    </row>
    <row r="10" spans="1:68" x14ac:dyDescent="0.2"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4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</row>
    <row r="11" spans="1:68" ht="13.5" thickBot="1" x14ac:dyDescent="0.25">
      <c r="A11" s="221" t="s">
        <v>64</v>
      </c>
      <c r="B11" s="226">
        <f>SUM(B8:B9)</f>
        <v>37893303.999999985</v>
      </c>
      <c r="C11" s="227">
        <f>SUM(F11:BP11)</f>
        <v>37893303.999999985</v>
      </c>
      <c r="D11" s="224"/>
      <c r="E11" s="225"/>
      <c r="F11" s="223">
        <f t="shared" ref="F11:R11" si="80">SUM(F8:F10)</f>
        <v>0</v>
      </c>
      <c r="G11" s="223">
        <f t="shared" si="80"/>
        <v>0</v>
      </c>
      <c r="H11" s="223">
        <f t="shared" si="80"/>
        <v>0</v>
      </c>
      <c r="I11" s="223">
        <f t="shared" si="80"/>
        <v>0</v>
      </c>
      <c r="J11" s="223">
        <f t="shared" si="80"/>
        <v>0</v>
      </c>
      <c r="K11" s="223">
        <f t="shared" si="80"/>
        <v>0</v>
      </c>
      <c r="L11" s="223">
        <f t="shared" si="80"/>
        <v>0</v>
      </c>
      <c r="M11" s="223">
        <f t="shared" si="80"/>
        <v>0</v>
      </c>
      <c r="N11" s="223">
        <f t="shared" si="80"/>
        <v>0</v>
      </c>
      <c r="O11" s="223">
        <f t="shared" si="80"/>
        <v>0</v>
      </c>
      <c r="P11" s="222">
        <f t="shared" si="80"/>
        <v>0</v>
      </c>
      <c r="Q11" s="223">
        <f t="shared" si="80"/>
        <v>0</v>
      </c>
      <c r="R11" s="223">
        <f t="shared" si="80"/>
        <v>0</v>
      </c>
      <c r="S11" s="223">
        <f>SUM(S8:S10)</f>
        <v>0</v>
      </c>
      <c r="T11" s="223">
        <f t="shared" ref="T11:AC11" si="81">SUM(T8:T10)</f>
        <v>0</v>
      </c>
      <c r="U11" s="223">
        <f t="shared" si="81"/>
        <v>0</v>
      </c>
      <c r="V11" s="223">
        <f t="shared" si="81"/>
        <v>0</v>
      </c>
      <c r="W11" s="223">
        <f t="shared" si="81"/>
        <v>0</v>
      </c>
      <c r="X11" s="223">
        <f t="shared" si="81"/>
        <v>0</v>
      </c>
      <c r="Y11" s="223">
        <f t="shared" si="81"/>
        <v>0</v>
      </c>
      <c r="Z11" s="223">
        <f t="shared" si="81"/>
        <v>0</v>
      </c>
      <c r="AA11" s="223">
        <f t="shared" si="81"/>
        <v>0</v>
      </c>
      <c r="AB11" s="223">
        <f t="shared" si="81"/>
        <v>173912.58333333299</v>
      </c>
      <c r="AC11" s="223">
        <f t="shared" si="81"/>
        <v>173912.58333333299</v>
      </c>
      <c r="AD11" s="223">
        <f t="shared" ref="AD11:BP11" si="82">SUM(AD8:AD10)</f>
        <v>173912.58333333299</v>
      </c>
      <c r="AE11" s="223">
        <f t="shared" si="82"/>
        <v>173912.58333333299</v>
      </c>
      <c r="AF11" s="223">
        <f t="shared" si="82"/>
        <v>173912.58333333299</v>
      </c>
      <c r="AG11" s="223">
        <f t="shared" si="82"/>
        <v>173912.58333333299</v>
      </c>
      <c r="AH11" s="223">
        <f t="shared" si="82"/>
        <v>173912.58333333299</v>
      </c>
      <c r="AI11" s="223">
        <f t="shared" si="82"/>
        <v>173912.58333333299</v>
      </c>
      <c r="AJ11" s="223">
        <f t="shared" si="82"/>
        <v>173912.58333333299</v>
      </c>
      <c r="AK11" s="223">
        <f t="shared" si="82"/>
        <v>173912.58333333299</v>
      </c>
      <c r="AL11" s="223">
        <f t="shared" si="82"/>
        <v>173912.58333333299</v>
      </c>
      <c r="AM11" s="223">
        <f t="shared" si="82"/>
        <v>173912.58333333299</v>
      </c>
      <c r="AN11" s="223">
        <f t="shared" si="82"/>
        <v>173912.58333333299</v>
      </c>
      <c r="AO11" s="223">
        <f t="shared" si="82"/>
        <v>173912.58333333299</v>
      </c>
      <c r="AP11" s="223">
        <f t="shared" si="82"/>
        <v>173912.58333333299</v>
      </c>
      <c r="AQ11" s="223">
        <f t="shared" si="82"/>
        <v>173912.58333333299</v>
      </c>
      <c r="AR11" s="223">
        <f t="shared" si="82"/>
        <v>173912.58333333299</v>
      </c>
      <c r="AS11" s="223">
        <f t="shared" si="82"/>
        <v>173912.58333333299</v>
      </c>
      <c r="AT11" s="223">
        <f t="shared" si="82"/>
        <v>173912.58333333299</v>
      </c>
      <c r="AU11" s="223">
        <f t="shared" si="82"/>
        <v>173912.58333333299</v>
      </c>
      <c r="AV11" s="223">
        <f t="shared" si="82"/>
        <v>173912.58333333299</v>
      </c>
      <c r="AW11" s="223">
        <f t="shared" si="82"/>
        <v>173912.58333333299</v>
      </c>
      <c r="AX11" s="223">
        <f t="shared" si="82"/>
        <v>173912.58333333299</v>
      </c>
      <c r="AY11" s="223">
        <f t="shared" si="82"/>
        <v>173912.58333333299</v>
      </c>
      <c r="AZ11" s="223">
        <f t="shared" si="82"/>
        <v>173912.58333333299</v>
      </c>
      <c r="BA11" s="223">
        <f t="shared" si="82"/>
        <v>173912.58333333299</v>
      </c>
      <c r="BB11" s="223">
        <f t="shared" si="82"/>
        <v>173912.58333333299</v>
      </c>
      <c r="BC11" s="223">
        <f t="shared" si="82"/>
        <v>173912.58333333299</v>
      </c>
      <c r="BD11" s="223">
        <f t="shared" si="82"/>
        <v>173912.58333333299</v>
      </c>
      <c r="BE11" s="223">
        <f t="shared" si="82"/>
        <v>173912.58333333299</v>
      </c>
      <c r="BF11" s="223">
        <f t="shared" si="82"/>
        <v>173912.58333333299</v>
      </c>
      <c r="BG11" s="223">
        <f t="shared" si="82"/>
        <v>173912.58333333299</v>
      </c>
      <c r="BH11" s="223">
        <f t="shared" si="82"/>
        <v>173912.58333333299</v>
      </c>
      <c r="BI11" s="223">
        <f t="shared" si="82"/>
        <v>173912.58333333299</v>
      </c>
      <c r="BJ11" s="223">
        <f t="shared" si="82"/>
        <v>173912.58333333299</v>
      </c>
      <c r="BK11" s="223">
        <f t="shared" si="82"/>
        <v>31806363.583333332</v>
      </c>
      <c r="BL11" s="223">
        <f t="shared" si="82"/>
        <v>0</v>
      </c>
      <c r="BM11" s="223">
        <f t="shared" si="82"/>
        <v>0</v>
      </c>
      <c r="BN11" s="223">
        <f t="shared" si="82"/>
        <v>0</v>
      </c>
      <c r="BO11" s="223">
        <f t="shared" si="82"/>
        <v>0</v>
      </c>
      <c r="BP11" s="223">
        <f t="shared" si="82"/>
        <v>0</v>
      </c>
    </row>
    <row r="12" spans="1:68" x14ac:dyDescent="0.2"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4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33"/>
      <c r="AX12" s="233"/>
      <c r="AY12" s="233"/>
      <c r="AZ12" s="233"/>
      <c r="BA12" s="233"/>
      <c r="BB12" s="233"/>
      <c r="BC12" s="233"/>
      <c r="BD12" s="233"/>
      <c r="BE12" s="233"/>
      <c r="BF12" s="233"/>
      <c r="BG12" s="233"/>
      <c r="BH12" s="233"/>
      <c r="BI12" s="233"/>
      <c r="BJ12" s="233"/>
      <c r="BK12" s="233"/>
      <c r="BL12" s="233"/>
      <c r="BM12" s="233"/>
      <c r="BN12" s="233"/>
      <c r="BO12" s="233"/>
      <c r="BP12" s="233"/>
    </row>
    <row r="13" spans="1:68" x14ac:dyDescent="0.2">
      <c r="A13" s="358" t="s">
        <v>0</v>
      </c>
      <c r="B13" s="228"/>
      <c r="C13" s="229"/>
      <c r="D13" s="229"/>
      <c r="E13" s="228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4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3"/>
      <c r="BD13" s="233"/>
      <c r="BE13" s="233"/>
      <c r="BF13" s="233"/>
      <c r="BG13" s="233"/>
      <c r="BH13" s="233"/>
      <c r="BI13" s="233"/>
      <c r="BJ13" s="233"/>
      <c r="BK13" s="233"/>
      <c r="BL13" s="233"/>
      <c r="BM13" s="233"/>
      <c r="BN13" s="233"/>
      <c r="BO13" s="233"/>
      <c r="BP13" s="233"/>
    </row>
    <row r="14" spans="1:68" x14ac:dyDescent="0.2">
      <c r="A14" s="359"/>
      <c r="B14" s="228"/>
      <c r="C14" s="229"/>
      <c r="D14" s="229"/>
      <c r="E14" s="228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4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33"/>
      <c r="AX14" s="233"/>
      <c r="AY14" s="233"/>
      <c r="AZ14" s="233"/>
      <c r="BA14" s="233"/>
      <c r="BB14" s="233"/>
      <c r="BC14" s="233"/>
      <c r="BD14" s="233"/>
      <c r="BE14" s="233"/>
      <c r="BF14" s="233"/>
      <c r="BG14" s="233"/>
      <c r="BH14" s="233"/>
      <c r="BI14" s="233"/>
      <c r="BJ14" s="233"/>
      <c r="BK14" s="233"/>
      <c r="BL14" s="233"/>
      <c r="BM14" s="233"/>
      <c r="BN14" s="233"/>
      <c r="BO14" s="233"/>
      <c r="BP14" s="233"/>
    </row>
    <row r="15" spans="1:68" x14ac:dyDescent="0.2">
      <c r="A15" s="359" t="s">
        <v>5</v>
      </c>
      <c r="B15" s="228">
        <f>Acquisition_Costs</f>
        <v>1596000</v>
      </c>
      <c r="C15" s="229">
        <f t="shared" ref="C15:C20" si="83">SUM(F15:XFD15)</f>
        <v>1596000</v>
      </c>
      <c r="D15" s="229"/>
      <c r="E15" s="228"/>
      <c r="F15" s="233">
        <v>1596000</v>
      </c>
      <c r="G15" s="233">
        <v>0</v>
      </c>
      <c r="H15" s="233">
        <v>0</v>
      </c>
      <c r="I15" s="233">
        <v>0</v>
      </c>
      <c r="J15" s="233">
        <v>0</v>
      </c>
      <c r="K15" s="233">
        <v>0</v>
      </c>
      <c r="L15" s="233">
        <v>0</v>
      </c>
      <c r="M15" s="233">
        <v>0</v>
      </c>
      <c r="N15" s="233">
        <v>0</v>
      </c>
      <c r="O15" s="233">
        <v>0</v>
      </c>
      <c r="P15" s="233">
        <v>0</v>
      </c>
      <c r="Q15" s="233">
        <v>0</v>
      </c>
      <c r="R15" s="233">
        <v>0</v>
      </c>
      <c r="S15" s="233">
        <v>0</v>
      </c>
      <c r="T15" s="233">
        <v>0</v>
      </c>
      <c r="U15" s="233">
        <v>0</v>
      </c>
      <c r="V15" s="233">
        <v>0</v>
      </c>
      <c r="W15" s="233">
        <v>0</v>
      </c>
      <c r="X15" s="233">
        <v>0</v>
      </c>
      <c r="Y15" s="233">
        <v>0</v>
      </c>
      <c r="Z15" s="233">
        <v>0</v>
      </c>
      <c r="AA15" s="233">
        <v>0</v>
      </c>
      <c r="AB15" s="233">
        <v>0</v>
      </c>
      <c r="AC15" s="233">
        <v>0</v>
      </c>
      <c r="AD15" s="233">
        <v>0</v>
      </c>
      <c r="AE15" s="233">
        <v>0</v>
      </c>
      <c r="AF15" s="233">
        <v>0</v>
      </c>
      <c r="AG15" s="233">
        <v>0</v>
      </c>
      <c r="AH15" s="233">
        <v>0</v>
      </c>
      <c r="AI15" s="233">
        <v>0</v>
      </c>
      <c r="AJ15" s="233">
        <v>0</v>
      </c>
      <c r="AK15" s="233">
        <v>0</v>
      </c>
      <c r="AL15" s="233">
        <v>0</v>
      </c>
      <c r="AM15" s="233">
        <v>0</v>
      </c>
      <c r="AN15" s="233">
        <v>0</v>
      </c>
      <c r="AO15" s="233">
        <v>0</v>
      </c>
      <c r="AP15" s="233">
        <v>0</v>
      </c>
      <c r="AQ15" s="233">
        <v>0</v>
      </c>
      <c r="AR15" s="233">
        <v>0</v>
      </c>
      <c r="AS15" s="233">
        <v>0</v>
      </c>
      <c r="AT15" s="233">
        <v>0</v>
      </c>
      <c r="AU15" s="233">
        <v>0</v>
      </c>
      <c r="AV15" s="233">
        <v>0</v>
      </c>
      <c r="AW15" s="233">
        <v>0</v>
      </c>
      <c r="AX15" s="233">
        <v>0</v>
      </c>
      <c r="AY15" s="233">
        <v>0</v>
      </c>
      <c r="AZ15" s="233">
        <v>0</v>
      </c>
      <c r="BA15" s="233">
        <v>0</v>
      </c>
      <c r="BB15" s="233">
        <v>0</v>
      </c>
      <c r="BC15" s="233">
        <v>0</v>
      </c>
      <c r="BD15" s="233">
        <v>0</v>
      </c>
      <c r="BE15" s="233">
        <v>0</v>
      </c>
      <c r="BF15" s="233">
        <v>0</v>
      </c>
      <c r="BG15" s="233">
        <v>0</v>
      </c>
      <c r="BH15" s="233">
        <v>0</v>
      </c>
      <c r="BI15" s="233">
        <v>0</v>
      </c>
      <c r="BJ15" s="233">
        <v>0</v>
      </c>
      <c r="BK15" s="233">
        <v>0</v>
      </c>
      <c r="BL15" s="233">
        <v>0</v>
      </c>
      <c r="BM15" s="233">
        <v>0</v>
      </c>
      <c r="BN15" s="233">
        <v>0</v>
      </c>
      <c r="BO15" s="233">
        <v>0</v>
      </c>
      <c r="BP15" s="233">
        <v>0</v>
      </c>
    </row>
    <row r="16" spans="1:68" x14ac:dyDescent="0.2">
      <c r="A16" s="359" t="s">
        <v>9</v>
      </c>
      <c r="B16" s="228">
        <f>Construction_Costs</f>
        <v>21597000</v>
      </c>
      <c r="C16" s="229">
        <f t="shared" si="83"/>
        <v>21596999.999999993</v>
      </c>
      <c r="D16" s="229"/>
      <c r="E16" s="228"/>
      <c r="F16" s="233">
        <v>981681.818181818</v>
      </c>
      <c r="G16" s="233">
        <v>981681.818181818</v>
      </c>
      <c r="H16" s="233">
        <v>981681.818181818</v>
      </c>
      <c r="I16" s="233">
        <v>981681.818181818</v>
      </c>
      <c r="J16" s="233">
        <v>981681.818181818</v>
      </c>
      <c r="K16" s="233">
        <v>981681.818181818</v>
      </c>
      <c r="L16" s="233">
        <v>981681.818181818</v>
      </c>
      <c r="M16" s="233">
        <v>981681.818181818</v>
      </c>
      <c r="N16" s="233">
        <v>981681.818181818</v>
      </c>
      <c r="O16" s="233">
        <v>981681.818181818</v>
      </c>
      <c r="P16" s="233">
        <v>981681.818181818</v>
      </c>
      <c r="Q16" s="233">
        <v>981681.818181818</v>
      </c>
      <c r="R16" s="233">
        <v>981681.818181818</v>
      </c>
      <c r="S16" s="233">
        <v>981681.818181818</v>
      </c>
      <c r="T16" s="233">
        <v>981681.818181818</v>
      </c>
      <c r="U16" s="233">
        <v>981681.818181818</v>
      </c>
      <c r="V16" s="233">
        <v>981681.818181818</v>
      </c>
      <c r="W16" s="233">
        <v>981681.818181818</v>
      </c>
      <c r="X16" s="233">
        <v>981681.818181818</v>
      </c>
      <c r="Y16" s="233">
        <v>981681.818181818</v>
      </c>
      <c r="Z16" s="233">
        <v>981681.818181818</v>
      </c>
      <c r="AA16" s="233">
        <v>981681.818181818</v>
      </c>
      <c r="AB16" s="233">
        <v>0</v>
      </c>
      <c r="AC16" s="233">
        <v>0</v>
      </c>
      <c r="AD16" s="233">
        <v>0</v>
      </c>
      <c r="AE16" s="233">
        <v>0</v>
      </c>
      <c r="AF16" s="233">
        <v>0</v>
      </c>
      <c r="AG16" s="233">
        <v>0</v>
      </c>
      <c r="AH16" s="233">
        <v>0</v>
      </c>
      <c r="AI16" s="233">
        <v>0</v>
      </c>
      <c r="AJ16" s="233">
        <v>0</v>
      </c>
      <c r="AK16" s="233">
        <v>0</v>
      </c>
      <c r="AL16" s="233">
        <v>0</v>
      </c>
      <c r="AM16" s="233">
        <v>0</v>
      </c>
      <c r="AN16" s="233">
        <v>0</v>
      </c>
      <c r="AO16" s="233">
        <v>0</v>
      </c>
      <c r="AP16" s="233">
        <v>0</v>
      </c>
      <c r="AQ16" s="233">
        <v>0</v>
      </c>
      <c r="AR16" s="233">
        <v>0</v>
      </c>
      <c r="AS16" s="233">
        <v>0</v>
      </c>
      <c r="AT16" s="233">
        <v>0</v>
      </c>
      <c r="AU16" s="233">
        <v>0</v>
      </c>
      <c r="AV16" s="233">
        <v>0</v>
      </c>
      <c r="AW16" s="233">
        <v>0</v>
      </c>
      <c r="AX16" s="233">
        <v>0</v>
      </c>
      <c r="AY16" s="233">
        <v>0</v>
      </c>
      <c r="AZ16" s="233">
        <v>0</v>
      </c>
      <c r="BA16" s="233">
        <v>0</v>
      </c>
      <c r="BB16" s="233">
        <v>0</v>
      </c>
      <c r="BC16" s="233">
        <v>0</v>
      </c>
      <c r="BD16" s="233">
        <v>0</v>
      </c>
      <c r="BE16" s="233">
        <v>0</v>
      </c>
      <c r="BF16" s="233">
        <v>0</v>
      </c>
      <c r="BG16" s="233">
        <v>0</v>
      </c>
      <c r="BH16" s="233">
        <v>0</v>
      </c>
      <c r="BI16" s="233">
        <v>0</v>
      </c>
      <c r="BJ16" s="233">
        <v>0</v>
      </c>
      <c r="BK16" s="233">
        <v>0</v>
      </c>
      <c r="BL16" s="233">
        <v>0</v>
      </c>
      <c r="BM16" s="233">
        <v>0</v>
      </c>
      <c r="BN16" s="233">
        <v>0</v>
      </c>
      <c r="BO16" s="233">
        <v>0</v>
      </c>
      <c r="BP16" s="233">
        <v>0</v>
      </c>
    </row>
    <row r="17" spans="1:68" x14ac:dyDescent="0.2">
      <c r="A17" s="359" t="s">
        <v>12</v>
      </c>
      <c r="B17" s="228">
        <f>Contingency</f>
        <v>0</v>
      </c>
      <c r="C17" s="229">
        <f t="shared" si="83"/>
        <v>0</v>
      </c>
      <c r="D17" s="229"/>
      <c r="E17" s="228"/>
      <c r="F17" s="233">
        <v>0</v>
      </c>
      <c r="G17" s="233">
        <v>0</v>
      </c>
      <c r="H17" s="233">
        <v>0</v>
      </c>
      <c r="I17" s="233">
        <v>0</v>
      </c>
      <c r="J17" s="233">
        <v>0</v>
      </c>
      <c r="K17" s="233">
        <v>0</v>
      </c>
      <c r="L17" s="233">
        <v>0</v>
      </c>
      <c r="M17" s="233">
        <v>0</v>
      </c>
      <c r="N17" s="233">
        <v>0</v>
      </c>
      <c r="O17" s="233">
        <v>0</v>
      </c>
      <c r="P17" s="233">
        <v>0</v>
      </c>
      <c r="Q17" s="233">
        <v>0</v>
      </c>
      <c r="R17" s="233">
        <v>0</v>
      </c>
      <c r="S17" s="233">
        <v>0</v>
      </c>
      <c r="T17" s="233">
        <v>0</v>
      </c>
      <c r="U17" s="233">
        <v>0</v>
      </c>
      <c r="V17" s="233">
        <v>0</v>
      </c>
      <c r="W17" s="233">
        <v>0</v>
      </c>
      <c r="X17" s="233">
        <v>0</v>
      </c>
      <c r="Y17" s="233">
        <v>0</v>
      </c>
      <c r="Z17" s="233">
        <v>0</v>
      </c>
      <c r="AA17" s="233">
        <v>0</v>
      </c>
      <c r="AB17" s="233">
        <v>0</v>
      </c>
      <c r="AC17" s="233">
        <v>0</v>
      </c>
      <c r="AD17" s="233">
        <v>0</v>
      </c>
      <c r="AE17" s="233">
        <v>0</v>
      </c>
      <c r="AF17" s="233">
        <v>0</v>
      </c>
      <c r="AG17" s="233">
        <v>0</v>
      </c>
      <c r="AH17" s="233">
        <v>0</v>
      </c>
      <c r="AI17" s="233">
        <v>0</v>
      </c>
      <c r="AJ17" s="233">
        <v>0</v>
      </c>
      <c r="AK17" s="233">
        <v>0</v>
      </c>
      <c r="AL17" s="233">
        <v>0</v>
      </c>
      <c r="AM17" s="233">
        <v>0</v>
      </c>
      <c r="AN17" s="233">
        <v>0</v>
      </c>
      <c r="AO17" s="233">
        <v>0</v>
      </c>
      <c r="AP17" s="233">
        <v>0</v>
      </c>
      <c r="AQ17" s="233">
        <v>0</v>
      </c>
      <c r="AR17" s="233">
        <v>0</v>
      </c>
      <c r="AS17" s="233">
        <v>0</v>
      </c>
      <c r="AT17" s="233">
        <v>0</v>
      </c>
      <c r="AU17" s="233">
        <v>0</v>
      </c>
      <c r="AV17" s="233">
        <v>0</v>
      </c>
      <c r="AW17" s="233">
        <v>0</v>
      </c>
      <c r="AX17" s="233">
        <v>0</v>
      </c>
      <c r="AY17" s="233">
        <v>0</v>
      </c>
      <c r="AZ17" s="233">
        <v>0</v>
      </c>
      <c r="BA17" s="233">
        <v>0</v>
      </c>
      <c r="BB17" s="233">
        <v>0</v>
      </c>
      <c r="BC17" s="233">
        <v>0</v>
      </c>
      <c r="BD17" s="233">
        <v>0</v>
      </c>
      <c r="BE17" s="233">
        <v>0</v>
      </c>
      <c r="BF17" s="233">
        <v>0</v>
      </c>
      <c r="BG17" s="233">
        <v>0</v>
      </c>
      <c r="BH17" s="233">
        <v>0</v>
      </c>
      <c r="BI17" s="233">
        <v>0</v>
      </c>
      <c r="BJ17" s="233">
        <v>0</v>
      </c>
      <c r="BK17" s="233">
        <v>0</v>
      </c>
      <c r="BL17" s="233">
        <v>0</v>
      </c>
      <c r="BM17" s="233">
        <v>0</v>
      </c>
      <c r="BN17" s="233">
        <v>0</v>
      </c>
      <c r="BO17" s="233">
        <v>0</v>
      </c>
      <c r="BP17" s="233">
        <v>0</v>
      </c>
    </row>
    <row r="18" spans="1:68" x14ac:dyDescent="0.2">
      <c r="A18" s="359" t="s">
        <v>65</v>
      </c>
      <c r="B18" s="228">
        <f>Other_Costs</f>
        <v>1588811</v>
      </c>
      <c r="C18" s="229">
        <f t="shared" si="83"/>
        <v>1588810.9999999998</v>
      </c>
      <c r="D18" s="229"/>
      <c r="E18" s="228"/>
      <c r="F18" s="233">
        <v>72218.681818181794</v>
      </c>
      <c r="G18" s="233">
        <v>72218.681818181794</v>
      </c>
      <c r="H18" s="233">
        <v>72218.681818181794</v>
      </c>
      <c r="I18" s="233">
        <v>72218.681818181794</v>
      </c>
      <c r="J18" s="233">
        <v>72218.681818181794</v>
      </c>
      <c r="K18" s="233">
        <v>72218.681818181794</v>
      </c>
      <c r="L18" s="233">
        <v>72218.681818181794</v>
      </c>
      <c r="M18" s="233">
        <v>72218.681818181794</v>
      </c>
      <c r="N18" s="233">
        <v>72218.681818181794</v>
      </c>
      <c r="O18" s="233">
        <v>72218.681818181794</v>
      </c>
      <c r="P18" s="233">
        <v>72218.681818181794</v>
      </c>
      <c r="Q18" s="233">
        <v>72218.681818181794</v>
      </c>
      <c r="R18" s="233">
        <v>72218.681818181794</v>
      </c>
      <c r="S18" s="233">
        <v>72218.681818181794</v>
      </c>
      <c r="T18" s="233">
        <v>72218.681818181794</v>
      </c>
      <c r="U18" s="233">
        <v>72218.681818181794</v>
      </c>
      <c r="V18" s="233">
        <v>72218.681818181794</v>
      </c>
      <c r="W18" s="233">
        <v>72218.681818181794</v>
      </c>
      <c r="X18" s="233">
        <v>72218.681818181794</v>
      </c>
      <c r="Y18" s="233">
        <v>72218.681818181794</v>
      </c>
      <c r="Z18" s="233">
        <v>72218.681818181794</v>
      </c>
      <c r="AA18" s="233">
        <v>72218.681818181794</v>
      </c>
      <c r="AB18" s="233"/>
      <c r="AC18" s="233"/>
      <c r="AD18" s="233"/>
      <c r="AE18" s="233"/>
      <c r="AF18" s="233"/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33"/>
      <c r="AX18" s="233"/>
      <c r="AY18" s="233"/>
      <c r="AZ18" s="233"/>
      <c r="BA18" s="233"/>
      <c r="BB18" s="233"/>
      <c r="BC18" s="233"/>
      <c r="BD18" s="233"/>
      <c r="BE18" s="233"/>
      <c r="BF18" s="233"/>
      <c r="BG18" s="233"/>
      <c r="BH18" s="233"/>
      <c r="BI18" s="233"/>
      <c r="BJ18" s="233"/>
      <c r="BK18" s="233"/>
      <c r="BL18" s="233"/>
      <c r="BM18" s="233"/>
      <c r="BN18" s="233"/>
      <c r="BO18" s="233"/>
      <c r="BP18" s="233"/>
    </row>
    <row r="19" spans="1:68" x14ac:dyDescent="0.2">
      <c r="A19" s="359" t="s">
        <v>17</v>
      </c>
      <c r="B19" s="228">
        <f>Professional_Fees</f>
        <v>647910</v>
      </c>
      <c r="C19" s="229">
        <f t="shared" si="83"/>
        <v>647909.9999999986</v>
      </c>
      <c r="D19" s="229"/>
      <c r="E19" s="228"/>
      <c r="F19" s="233">
        <v>29450.4545454545</v>
      </c>
      <c r="G19" s="233">
        <v>29450.4545454545</v>
      </c>
      <c r="H19" s="233">
        <v>29450.4545454545</v>
      </c>
      <c r="I19" s="233">
        <v>29450.4545454545</v>
      </c>
      <c r="J19" s="233">
        <v>29450.4545454545</v>
      </c>
      <c r="K19" s="233">
        <v>29450.4545454545</v>
      </c>
      <c r="L19" s="233">
        <v>29450.4545454545</v>
      </c>
      <c r="M19" s="233">
        <v>29450.4545454545</v>
      </c>
      <c r="N19" s="233">
        <v>29450.4545454545</v>
      </c>
      <c r="O19" s="233">
        <v>29450.4545454545</v>
      </c>
      <c r="P19" s="233">
        <v>29450.4545454545</v>
      </c>
      <c r="Q19" s="233">
        <v>29450.4545454545</v>
      </c>
      <c r="R19" s="233">
        <v>29450.4545454545</v>
      </c>
      <c r="S19" s="233">
        <v>29450.4545454545</v>
      </c>
      <c r="T19" s="233">
        <v>29450.4545454545</v>
      </c>
      <c r="U19" s="233">
        <v>29450.4545454545</v>
      </c>
      <c r="V19" s="233">
        <v>29450.4545454545</v>
      </c>
      <c r="W19" s="233">
        <v>29450.4545454545</v>
      </c>
      <c r="X19" s="233">
        <v>29450.4545454545</v>
      </c>
      <c r="Y19" s="233">
        <v>29450.4545454545</v>
      </c>
      <c r="Z19" s="233">
        <v>29450.4545454545</v>
      </c>
      <c r="AA19" s="233">
        <v>29450.4545454545</v>
      </c>
      <c r="AB19" s="233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</row>
    <row r="20" spans="1:68" x14ac:dyDescent="0.2">
      <c r="A20" s="359" t="s">
        <v>20</v>
      </c>
      <c r="B20" s="228">
        <f>Marketing_Costs</f>
        <v>0</v>
      </c>
      <c r="C20" s="229">
        <f t="shared" si="83"/>
        <v>0</v>
      </c>
      <c r="D20" s="229"/>
      <c r="E20" s="228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33"/>
      <c r="Y20" s="233"/>
      <c r="Z20" s="233"/>
      <c r="AA20" s="233"/>
      <c r="AB20" s="233"/>
      <c r="AC20" s="233"/>
      <c r="AD20" s="233"/>
      <c r="AE20" s="233"/>
      <c r="AF20" s="233"/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33"/>
      <c r="AX20" s="233"/>
      <c r="AY20" s="233"/>
      <c r="AZ20" s="233"/>
      <c r="BA20" s="233"/>
      <c r="BB20" s="233"/>
      <c r="BC20" s="233"/>
      <c r="BD20" s="233"/>
      <c r="BE20" s="233"/>
      <c r="BF20" s="233"/>
      <c r="BG20" s="233"/>
      <c r="BH20" s="233"/>
      <c r="BI20" s="233"/>
      <c r="BJ20" s="233"/>
      <c r="BK20" s="233"/>
      <c r="BL20" s="233"/>
      <c r="BM20" s="233"/>
      <c r="BN20" s="233"/>
      <c r="BO20" s="233"/>
      <c r="BP20" s="233"/>
    </row>
    <row r="21" spans="1:68" x14ac:dyDescent="0.2">
      <c r="A21" s="359"/>
      <c r="B21" s="228"/>
      <c r="C21" s="229"/>
      <c r="D21" s="229"/>
      <c r="E21" s="228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</row>
    <row r="22" spans="1:68" s="354" customFormat="1" ht="13.5" thickBot="1" x14ac:dyDescent="0.25">
      <c r="A22" s="353" t="s">
        <v>11</v>
      </c>
      <c r="B22" s="226">
        <f>Total_Costs</f>
        <v>25429721</v>
      </c>
      <c r="C22" s="227">
        <f>SUM(C15:C21)</f>
        <v>25429720.999999993</v>
      </c>
      <c r="D22" s="227"/>
      <c r="E22" s="226"/>
      <c r="F22" s="227">
        <f>SUM(F15:F21)</f>
        <v>2679350.9545454541</v>
      </c>
      <c r="G22" s="227">
        <f t="shared" ref="G22:AC22" si="84">SUM(G15:G21)</f>
        <v>1083350.9545454544</v>
      </c>
      <c r="H22" s="227">
        <f t="shared" si="84"/>
        <v>1083350.9545454544</v>
      </c>
      <c r="I22" s="227">
        <f t="shared" si="84"/>
        <v>1083350.9545454544</v>
      </c>
      <c r="J22" s="227">
        <f t="shared" si="84"/>
        <v>1083350.9545454544</v>
      </c>
      <c r="K22" s="227">
        <f t="shared" si="84"/>
        <v>1083350.9545454544</v>
      </c>
      <c r="L22" s="227">
        <f t="shared" si="84"/>
        <v>1083350.9545454544</v>
      </c>
      <c r="M22" s="227">
        <f t="shared" si="84"/>
        <v>1083350.9545454544</v>
      </c>
      <c r="N22" s="227">
        <f t="shared" si="84"/>
        <v>1083350.9545454544</v>
      </c>
      <c r="O22" s="227">
        <f t="shared" si="84"/>
        <v>1083350.9545454544</v>
      </c>
      <c r="P22" s="226">
        <f t="shared" si="84"/>
        <v>1083350.9545454544</v>
      </c>
      <c r="Q22" s="227">
        <f t="shared" si="84"/>
        <v>1083350.9545454544</v>
      </c>
      <c r="R22" s="227">
        <f t="shared" si="84"/>
        <v>1083350.9545454544</v>
      </c>
      <c r="S22" s="227">
        <f t="shared" si="84"/>
        <v>1083350.9545454544</v>
      </c>
      <c r="T22" s="227">
        <f t="shared" si="84"/>
        <v>1083350.9545454544</v>
      </c>
      <c r="U22" s="227">
        <f t="shared" si="84"/>
        <v>1083350.9545454544</v>
      </c>
      <c r="V22" s="227">
        <f t="shared" si="84"/>
        <v>1083350.9545454544</v>
      </c>
      <c r="W22" s="227">
        <f t="shared" si="84"/>
        <v>1083350.9545454544</v>
      </c>
      <c r="X22" s="227">
        <f t="shared" si="84"/>
        <v>1083350.9545454544</v>
      </c>
      <c r="Y22" s="227">
        <f t="shared" si="84"/>
        <v>1083350.9545454544</v>
      </c>
      <c r="Z22" s="227">
        <f t="shared" si="84"/>
        <v>1083350.9545454544</v>
      </c>
      <c r="AA22" s="227">
        <f t="shared" si="84"/>
        <v>1083350.9545454544</v>
      </c>
      <c r="AB22" s="227">
        <f t="shared" si="84"/>
        <v>0</v>
      </c>
      <c r="AC22" s="227">
        <f t="shared" si="84"/>
        <v>0</v>
      </c>
      <c r="AD22" s="227">
        <f t="shared" ref="AD22:BP22" si="85">SUM(AD15:AD21)</f>
        <v>0</v>
      </c>
      <c r="AE22" s="227">
        <f t="shared" si="85"/>
        <v>0</v>
      </c>
      <c r="AF22" s="227">
        <f t="shared" si="85"/>
        <v>0</v>
      </c>
      <c r="AG22" s="227">
        <f t="shared" si="85"/>
        <v>0</v>
      </c>
      <c r="AH22" s="227">
        <f t="shared" si="85"/>
        <v>0</v>
      </c>
      <c r="AI22" s="227">
        <f t="shared" si="85"/>
        <v>0</v>
      </c>
      <c r="AJ22" s="227">
        <f t="shared" si="85"/>
        <v>0</v>
      </c>
      <c r="AK22" s="227">
        <f t="shared" si="85"/>
        <v>0</v>
      </c>
      <c r="AL22" s="227">
        <f t="shared" si="85"/>
        <v>0</v>
      </c>
      <c r="AM22" s="227">
        <f t="shared" si="85"/>
        <v>0</v>
      </c>
      <c r="AN22" s="227">
        <f t="shared" si="85"/>
        <v>0</v>
      </c>
      <c r="AO22" s="227">
        <f t="shared" si="85"/>
        <v>0</v>
      </c>
      <c r="AP22" s="227">
        <f t="shared" si="85"/>
        <v>0</v>
      </c>
      <c r="AQ22" s="227">
        <f t="shared" si="85"/>
        <v>0</v>
      </c>
      <c r="AR22" s="227">
        <f t="shared" si="85"/>
        <v>0</v>
      </c>
      <c r="AS22" s="227">
        <f t="shared" si="85"/>
        <v>0</v>
      </c>
      <c r="AT22" s="227">
        <f t="shared" si="85"/>
        <v>0</v>
      </c>
      <c r="AU22" s="227">
        <f t="shared" si="85"/>
        <v>0</v>
      </c>
      <c r="AV22" s="227">
        <f t="shared" si="85"/>
        <v>0</v>
      </c>
      <c r="AW22" s="227">
        <f t="shared" si="85"/>
        <v>0</v>
      </c>
      <c r="AX22" s="227">
        <f t="shared" si="85"/>
        <v>0</v>
      </c>
      <c r="AY22" s="227">
        <f t="shared" si="85"/>
        <v>0</v>
      </c>
      <c r="AZ22" s="227">
        <f t="shared" si="85"/>
        <v>0</v>
      </c>
      <c r="BA22" s="227">
        <f t="shared" si="85"/>
        <v>0</v>
      </c>
      <c r="BB22" s="227">
        <f t="shared" si="85"/>
        <v>0</v>
      </c>
      <c r="BC22" s="227">
        <f t="shared" si="85"/>
        <v>0</v>
      </c>
      <c r="BD22" s="227">
        <f t="shared" si="85"/>
        <v>0</v>
      </c>
      <c r="BE22" s="227">
        <f t="shared" si="85"/>
        <v>0</v>
      </c>
      <c r="BF22" s="227">
        <f t="shared" si="85"/>
        <v>0</v>
      </c>
      <c r="BG22" s="227">
        <f t="shared" si="85"/>
        <v>0</v>
      </c>
      <c r="BH22" s="227">
        <f t="shared" si="85"/>
        <v>0</v>
      </c>
      <c r="BI22" s="227">
        <f t="shared" si="85"/>
        <v>0</v>
      </c>
      <c r="BJ22" s="227">
        <f t="shared" si="85"/>
        <v>0</v>
      </c>
      <c r="BK22" s="227">
        <f t="shared" si="85"/>
        <v>0</v>
      </c>
      <c r="BL22" s="227">
        <f t="shared" si="85"/>
        <v>0</v>
      </c>
      <c r="BM22" s="227">
        <f t="shared" si="85"/>
        <v>0</v>
      </c>
      <c r="BN22" s="227">
        <f t="shared" si="85"/>
        <v>0</v>
      </c>
      <c r="BO22" s="227">
        <f t="shared" si="85"/>
        <v>0</v>
      </c>
      <c r="BP22" s="227">
        <f t="shared" si="85"/>
        <v>0</v>
      </c>
    </row>
    <row r="23" spans="1:68" s="357" customFormat="1" x14ac:dyDescent="0.2">
      <c r="A23" s="359" t="s">
        <v>66</v>
      </c>
      <c r="B23" s="228"/>
      <c r="C23" s="229"/>
      <c r="D23" s="229"/>
      <c r="E23" s="228"/>
      <c r="F23" s="229">
        <f>SUM(F22)</f>
        <v>2679350.9545454541</v>
      </c>
      <c r="G23" s="229">
        <f>IF(G22=0,0,SUM($F$22:G22))</f>
        <v>3762701.9090909082</v>
      </c>
      <c r="H23" s="229">
        <f>SUM($F$22:H22)</f>
        <v>4846052.8636363624</v>
      </c>
      <c r="I23" s="229">
        <f>SUM($F$22:I22)</f>
        <v>5929403.8181818165</v>
      </c>
      <c r="J23" s="229">
        <f>SUM($F$22:J22)</f>
        <v>7012754.7727272706</v>
      </c>
      <c r="K23" s="229">
        <f>SUM($F$22:K22)</f>
        <v>8096105.7272727247</v>
      </c>
      <c r="L23" s="229">
        <f>SUM($F$22:L22)</f>
        <v>9179456.6818181798</v>
      </c>
      <c r="M23" s="229">
        <f>SUM($F$22:M22)</f>
        <v>10262807.636363635</v>
      </c>
      <c r="N23" s="229">
        <f>SUM($F$22:N22)</f>
        <v>11346158.59090909</v>
      </c>
      <c r="O23" s="229">
        <f>SUM($F$22:O22)</f>
        <v>12429509.545454545</v>
      </c>
      <c r="P23" s="229">
        <f>SUM($F$22:P22)</f>
        <v>13512860.5</v>
      </c>
      <c r="Q23" s="229">
        <f>SUM($F$22:Q22)</f>
        <v>14596211.454545455</v>
      </c>
      <c r="R23" s="229">
        <f>SUM($F$22:R22)</f>
        <v>15679562.40909091</v>
      </c>
      <c r="S23" s="229">
        <f>SUM($F$22:S22)</f>
        <v>16762913.363636365</v>
      </c>
      <c r="T23" s="229">
        <f>SUM($F$22:T22)</f>
        <v>17846264.31818182</v>
      </c>
      <c r="U23" s="229">
        <f>SUM($F$22:U22)</f>
        <v>18929615.272727273</v>
      </c>
      <c r="V23" s="229">
        <f>SUM($F$22:V22)</f>
        <v>20012966.227272727</v>
      </c>
      <c r="W23" s="229">
        <f>SUM($F$22:W22)</f>
        <v>21096317.18181818</v>
      </c>
      <c r="X23" s="229">
        <f>SUM($F$22:X22)</f>
        <v>22179668.136363633</v>
      </c>
      <c r="Y23" s="229">
        <f>SUM($F$22:Y22)</f>
        <v>23263019.090909086</v>
      </c>
      <c r="Z23" s="229">
        <f>SUM($F$22:Z22)</f>
        <v>24346370.045454539</v>
      </c>
      <c r="AA23" s="229">
        <f>SUM($F$22:AA22)</f>
        <v>25429720.999999993</v>
      </c>
      <c r="AB23" s="229">
        <f>SUM($F$22:AB22)</f>
        <v>25429720.999999993</v>
      </c>
      <c r="AC23" s="229">
        <f>SUM($F$22:AC22)</f>
        <v>25429720.999999993</v>
      </c>
      <c r="AD23" s="229">
        <f>SUM($F$22:AD22)</f>
        <v>25429720.999999993</v>
      </c>
      <c r="AE23" s="229">
        <f>SUM($F$22:AE22)</f>
        <v>25429720.999999993</v>
      </c>
      <c r="AF23" s="229">
        <f>SUM($F$22:AF22)</f>
        <v>25429720.999999993</v>
      </c>
      <c r="AG23" s="229">
        <f>SUM($F$22:AG22)</f>
        <v>25429720.999999993</v>
      </c>
      <c r="AH23" s="229">
        <f>SUM($F$22:AH22)</f>
        <v>25429720.999999993</v>
      </c>
      <c r="AI23" s="229">
        <f>SUM($F$22:AI22)</f>
        <v>25429720.999999993</v>
      </c>
      <c r="AJ23" s="229">
        <f>SUM($F$22:AJ22)</f>
        <v>25429720.999999993</v>
      </c>
      <c r="AK23" s="229">
        <f>SUM($F$22:AK22)</f>
        <v>25429720.999999993</v>
      </c>
      <c r="AL23" s="229">
        <f>SUM($F$22:AL22)</f>
        <v>25429720.999999993</v>
      </c>
      <c r="AM23" s="229">
        <f>SUM($F$22:AM22)</f>
        <v>25429720.999999993</v>
      </c>
      <c r="AN23" s="229">
        <f>SUM($F$22:AN22)</f>
        <v>25429720.999999993</v>
      </c>
      <c r="AO23" s="229">
        <f>SUM($F$22:AO22)</f>
        <v>25429720.999999993</v>
      </c>
      <c r="AP23" s="229">
        <f>SUM($F$22:AP22)</f>
        <v>25429720.999999993</v>
      </c>
      <c r="AQ23" s="229">
        <f>SUM($F$22:AQ22)</f>
        <v>25429720.999999993</v>
      </c>
      <c r="AR23" s="229">
        <f>SUM($F$22:AR22)</f>
        <v>25429720.999999993</v>
      </c>
      <c r="AS23" s="229">
        <f>SUM($F$22:AS22)</f>
        <v>25429720.999999993</v>
      </c>
      <c r="AT23" s="229">
        <f>SUM($F$22:AT22)</f>
        <v>25429720.999999993</v>
      </c>
      <c r="AU23" s="229">
        <f>SUM($F$22:AU22)</f>
        <v>25429720.999999993</v>
      </c>
      <c r="AV23" s="229">
        <f>SUM($F$22:AV22)</f>
        <v>25429720.999999993</v>
      </c>
      <c r="AW23" s="229">
        <f>SUM($F$22:AW22)</f>
        <v>25429720.999999993</v>
      </c>
      <c r="AX23" s="229">
        <f>SUM($F$22:AX22)</f>
        <v>25429720.999999993</v>
      </c>
      <c r="AY23" s="229">
        <f>SUM($F$22:AY22)</f>
        <v>25429720.999999993</v>
      </c>
      <c r="AZ23" s="229">
        <f>SUM($F$22:AZ22)</f>
        <v>25429720.999999993</v>
      </c>
      <c r="BA23" s="229">
        <f>SUM($F$22:BA22)</f>
        <v>25429720.999999993</v>
      </c>
      <c r="BB23" s="229">
        <f>SUM($F$22:BB22)</f>
        <v>25429720.999999993</v>
      </c>
      <c r="BC23" s="229">
        <f>SUM($F$22:BC22)</f>
        <v>25429720.999999993</v>
      </c>
      <c r="BD23" s="229">
        <f>SUM($F$22:BD22)</f>
        <v>25429720.999999993</v>
      </c>
      <c r="BE23" s="229">
        <f>SUM($F$22:BE22)</f>
        <v>25429720.999999993</v>
      </c>
      <c r="BF23" s="229">
        <f>SUM($F$22:BF22)</f>
        <v>25429720.999999993</v>
      </c>
      <c r="BG23" s="229">
        <f>SUM($F$22:BG22)</f>
        <v>25429720.999999993</v>
      </c>
      <c r="BH23" s="229">
        <f>SUM($F$22:BH22)</f>
        <v>25429720.999999993</v>
      </c>
      <c r="BI23" s="229">
        <f>SUM($F$22:BI22)</f>
        <v>25429720.999999993</v>
      </c>
      <c r="BJ23" s="229">
        <f>SUM($F$22:BJ22)</f>
        <v>25429720.999999993</v>
      </c>
      <c r="BK23" s="229">
        <f>SUM($F$22:BK22)</f>
        <v>25429720.999999993</v>
      </c>
      <c r="BL23" s="229">
        <f>SUM($F$22:BL22)</f>
        <v>25429720.999999993</v>
      </c>
      <c r="BM23" s="229">
        <f>SUM($F$22:BM22)</f>
        <v>25429720.999999993</v>
      </c>
      <c r="BN23" s="229">
        <f>SUM($F$22:BN22)</f>
        <v>25429720.999999993</v>
      </c>
      <c r="BO23" s="229">
        <f>SUM($F$22:BO22)</f>
        <v>25429720.999999993</v>
      </c>
      <c r="BP23" s="229">
        <f>SUM($F$22:BP22)</f>
        <v>25429720.999999993</v>
      </c>
    </row>
    <row r="24" spans="1:68" s="357" customFormat="1" x14ac:dyDescent="0.2">
      <c r="A24" s="359"/>
      <c r="B24" s="228"/>
      <c r="C24" s="229"/>
      <c r="D24" s="229"/>
      <c r="E24" s="228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8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29"/>
      <c r="BB24" s="229"/>
      <c r="BC24" s="229"/>
      <c r="BD24" s="229"/>
      <c r="BE24" s="229"/>
      <c r="BF24" s="229"/>
      <c r="BG24" s="229"/>
      <c r="BH24" s="229"/>
      <c r="BI24" s="229"/>
      <c r="BJ24" s="229"/>
      <c r="BK24" s="229"/>
      <c r="BL24" s="229"/>
      <c r="BM24" s="229"/>
      <c r="BN24" s="229"/>
      <c r="BO24" s="229"/>
      <c r="BP24" s="229"/>
    </row>
    <row r="25" spans="1:68" s="357" customFormat="1" ht="13.5" thickBot="1" x14ac:dyDescent="0.25">
      <c r="A25" s="353" t="s">
        <v>67</v>
      </c>
      <c r="B25" s="355"/>
      <c r="C25" s="356"/>
      <c r="D25" s="356"/>
      <c r="E25" s="355"/>
      <c r="F25" s="227">
        <f>F11-F22</f>
        <v>-2679350.9545454541</v>
      </c>
      <c r="G25" s="227">
        <f t="shared" ref="G25:AC25" si="86">G11-G22</f>
        <v>-1083350.9545454544</v>
      </c>
      <c r="H25" s="227">
        <f t="shared" si="86"/>
        <v>-1083350.9545454544</v>
      </c>
      <c r="I25" s="227">
        <f t="shared" si="86"/>
        <v>-1083350.9545454544</v>
      </c>
      <c r="J25" s="227">
        <f t="shared" si="86"/>
        <v>-1083350.9545454544</v>
      </c>
      <c r="K25" s="227">
        <f t="shared" si="86"/>
        <v>-1083350.9545454544</v>
      </c>
      <c r="L25" s="227">
        <f t="shared" si="86"/>
        <v>-1083350.9545454544</v>
      </c>
      <c r="M25" s="227">
        <f t="shared" si="86"/>
        <v>-1083350.9545454544</v>
      </c>
      <c r="N25" s="227">
        <f t="shared" si="86"/>
        <v>-1083350.9545454544</v>
      </c>
      <c r="O25" s="227">
        <f t="shared" si="86"/>
        <v>-1083350.9545454544</v>
      </c>
      <c r="P25" s="226">
        <f t="shared" si="86"/>
        <v>-1083350.9545454544</v>
      </c>
      <c r="Q25" s="227">
        <f t="shared" si="86"/>
        <v>-1083350.9545454544</v>
      </c>
      <c r="R25" s="227">
        <f t="shared" si="86"/>
        <v>-1083350.9545454544</v>
      </c>
      <c r="S25" s="227">
        <f t="shared" si="86"/>
        <v>-1083350.9545454544</v>
      </c>
      <c r="T25" s="227">
        <f t="shared" si="86"/>
        <v>-1083350.9545454544</v>
      </c>
      <c r="U25" s="227">
        <f t="shared" si="86"/>
        <v>-1083350.9545454544</v>
      </c>
      <c r="V25" s="227">
        <f t="shared" si="86"/>
        <v>-1083350.9545454544</v>
      </c>
      <c r="W25" s="227">
        <f t="shared" si="86"/>
        <v>-1083350.9545454544</v>
      </c>
      <c r="X25" s="227">
        <f t="shared" si="86"/>
        <v>-1083350.9545454544</v>
      </c>
      <c r="Y25" s="227">
        <f t="shared" si="86"/>
        <v>-1083350.9545454544</v>
      </c>
      <c r="Z25" s="227">
        <f t="shared" si="86"/>
        <v>-1083350.9545454544</v>
      </c>
      <c r="AA25" s="227">
        <f t="shared" si="86"/>
        <v>-1083350.9545454544</v>
      </c>
      <c r="AB25" s="227">
        <f t="shared" si="86"/>
        <v>173912.58333333299</v>
      </c>
      <c r="AC25" s="227">
        <f t="shared" si="86"/>
        <v>173912.58333333299</v>
      </c>
      <c r="AD25" s="227">
        <f t="shared" ref="AD25:BP25" si="87">AD11-AD22</f>
        <v>173912.58333333299</v>
      </c>
      <c r="AE25" s="227">
        <f t="shared" si="87"/>
        <v>173912.58333333299</v>
      </c>
      <c r="AF25" s="227">
        <f t="shared" si="87"/>
        <v>173912.58333333299</v>
      </c>
      <c r="AG25" s="227">
        <f t="shared" si="87"/>
        <v>173912.58333333299</v>
      </c>
      <c r="AH25" s="227">
        <f t="shared" si="87"/>
        <v>173912.58333333299</v>
      </c>
      <c r="AI25" s="227">
        <f t="shared" si="87"/>
        <v>173912.58333333299</v>
      </c>
      <c r="AJ25" s="227">
        <f t="shared" si="87"/>
        <v>173912.58333333299</v>
      </c>
      <c r="AK25" s="227">
        <f t="shared" si="87"/>
        <v>173912.58333333299</v>
      </c>
      <c r="AL25" s="227">
        <f t="shared" si="87"/>
        <v>173912.58333333299</v>
      </c>
      <c r="AM25" s="227">
        <f t="shared" si="87"/>
        <v>173912.58333333299</v>
      </c>
      <c r="AN25" s="227">
        <f t="shared" si="87"/>
        <v>173912.58333333299</v>
      </c>
      <c r="AO25" s="227">
        <f t="shared" si="87"/>
        <v>173912.58333333299</v>
      </c>
      <c r="AP25" s="227">
        <f t="shared" si="87"/>
        <v>173912.58333333299</v>
      </c>
      <c r="AQ25" s="227">
        <f t="shared" si="87"/>
        <v>173912.58333333299</v>
      </c>
      <c r="AR25" s="227">
        <f t="shared" si="87"/>
        <v>173912.58333333299</v>
      </c>
      <c r="AS25" s="227">
        <f t="shared" si="87"/>
        <v>173912.58333333299</v>
      </c>
      <c r="AT25" s="227">
        <f t="shared" si="87"/>
        <v>173912.58333333299</v>
      </c>
      <c r="AU25" s="227">
        <f t="shared" si="87"/>
        <v>173912.58333333299</v>
      </c>
      <c r="AV25" s="227">
        <f t="shared" si="87"/>
        <v>173912.58333333299</v>
      </c>
      <c r="AW25" s="227">
        <f t="shared" si="87"/>
        <v>173912.58333333299</v>
      </c>
      <c r="AX25" s="227">
        <f t="shared" si="87"/>
        <v>173912.58333333299</v>
      </c>
      <c r="AY25" s="227">
        <f t="shared" si="87"/>
        <v>173912.58333333299</v>
      </c>
      <c r="AZ25" s="227">
        <f t="shared" si="87"/>
        <v>173912.58333333299</v>
      </c>
      <c r="BA25" s="227">
        <f t="shared" si="87"/>
        <v>173912.58333333299</v>
      </c>
      <c r="BB25" s="227">
        <f t="shared" si="87"/>
        <v>173912.58333333299</v>
      </c>
      <c r="BC25" s="227">
        <f t="shared" si="87"/>
        <v>173912.58333333299</v>
      </c>
      <c r="BD25" s="227">
        <f t="shared" si="87"/>
        <v>173912.58333333299</v>
      </c>
      <c r="BE25" s="227">
        <f t="shared" si="87"/>
        <v>173912.58333333299</v>
      </c>
      <c r="BF25" s="227">
        <f t="shared" si="87"/>
        <v>173912.58333333299</v>
      </c>
      <c r="BG25" s="227">
        <f t="shared" si="87"/>
        <v>173912.58333333299</v>
      </c>
      <c r="BH25" s="227">
        <f t="shared" si="87"/>
        <v>173912.58333333299</v>
      </c>
      <c r="BI25" s="227">
        <f t="shared" si="87"/>
        <v>173912.58333333299</v>
      </c>
      <c r="BJ25" s="227">
        <f t="shared" si="87"/>
        <v>173912.58333333299</v>
      </c>
      <c r="BK25" s="227">
        <f t="shared" si="87"/>
        <v>31806363.583333332</v>
      </c>
      <c r="BL25" s="227">
        <f t="shared" si="87"/>
        <v>0</v>
      </c>
      <c r="BM25" s="227">
        <f t="shared" si="87"/>
        <v>0</v>
      </c>
      <c r="BN25" s="227">
        <f t="shared" si="87"/>
        <v>0</v>
      </c>
      <c r="BO25" s="227">
        <f t="shared" si="87"/>
        <v>0</v>
      </c>
      <c r="BP25" s="227">
        <f t="shared" si="87"/>
        <v>0</v>
      </c>
    </row>
    <row r="26" spans="1:68" s="357" customFormat="1" x14ac:dyDescent="0.2">
      <c r="A26" s="359" t="s">
        <v>68</v>
      </c>
      <c r="B26" s="228"/>
      <c r="C26" s="229"/>
      <c r="D26" s="229"/>
      <c r="E26" s="228"/>
      <c r="F26" s="229">
        <f>SUM(F25)</f>
        <v>-2679350.9545454541</v>
      </c>
      <c r="G26" s="229">
        <f>SUM($F$25:G25)</f>
        <v>-3762701.9090909082</v>
      </c>
      <c r="H26" s="229">
        <f>SUM($F$25:H25)</f>
        <v>-4846052.8636363624</v>
      </c>
      <c r="I26" s="229">
        <f>SUM($F$25:I25)</f>
        <v>-5929403.8181818165</v>
      </c>
      <c r="J26" s="229">
        <f>SUM($F$25:J25)</f>
        <v>-7012754.7727272706</v>
      </c>
      <c r="K26" s="229">
        <f>SUM($F$25:K25)</f>
        <v>-8096105.7272727247</v>
      </c>
      <c r="L26" s="229">
        <f>SUM($F$25:L25)</f>
        <v>-9179456.6818181798</v>
      </c>
      <c r="M26" s="229">
        <f>SUM($F$25:M25)</f>
        <v>-10262807.636363635</v>
      </c>
      <c r="N26" s="229">
        <f>SUM($F$25:N25)</f>
        <v>-11346158.59090909</v>
      </c>
      <c r="O26" s="229">
        <f>SUM($F$25:O25)</f>
        <v>-12429509.545454545</v>
      </c>
      <c r="P26" s="228">
        <f>SUM($F$25:P25)</f>
        <v>-13512860.5</v>
      </c>
      <c r="Q26" s="229">
        <f>SUM($F$25:Q25)</f>
        <v>-14596211.454545455</v>
      </c>
      <c r="R26" s="229">
        <f>SUM($F$25:R25)</f>
        <v>-15679562.40909091</v>
      </c>
      <c r="S26" s="229">
        <f>SUM($F$25:S25)</f>
        <v>-16762913.363636365</v>
      </c>
      <c r="T26" s="229">
        <f>SUM($F$25:T25)</f>
        <v>-17846264.31818182</v>
      </c>
      <c r="U26" s="229">
        <f>SUM($F$25:U25)</f>
        <v>-18929615.272727273</v>
      </c>
      <c r="V26" s="229">
        <f>SUM($F$25:V25)</f>
        <v>-20012966.227272727</v>
      </c>
      <c r="W26" s="229">
        <f>SUM($F$25:W25)</f>
        <v>-21096317.18181818</v>
      </c>
      <c r="X26" s="229">
        <f>SUM($F$25:X25)</f>
        <v>-22179668.136363633</v>
      </c>
      <c r="Y26" s="229">
        <f>SUM($F$25:Y25)</f>
        <v>-23263019.090909086</v>
      </c>
      <c r="Z26" s="229">
        <f>SUM($F$25:Z25)</f>
        <v>-24346370.045454539</v>
      </c>
      <c r="AA26" s="229">
        <f>SUM($F$25:AA25)</f>
        <v>-25429720.999999993</v>
      </c>
      <c r="AB26" s="229">
        <f>SUM($F$25:AB25)</f>
        <v>-25255808.41666666</v>
      </c>
      <c r="AC26" s="229">
        <f>SUM($F$25:AC25)</f>
        <v>-25081895.833333328</v>
      </c>
      <c r="AD26" s="229">
        <f>SUM($F$25:AD25)</f>
        <v>-24907983.249999996</v>
      </c>
      <c r="AE26" s="229">
        <f>SUM($F$25:AE25)</f>
        <v>-24734070.666666664</v>
      </c>
      <c r="AF26" s="229">
        <f>SUM($F$25:AF25)</f>
        <v>-24560158.083333332</v>
      </c>
      <c r="AG26" s="229">
        <f>SUM($F$25:AG25)</f>
        <v>-24386245.5</v>
      </c>
      <c r="AH26" s="229">
        <f>SUM($F$25:AH25)</f>
        <v>-24212332.916666668</v>
      </c>
      <c r="AI26" s="229">
        <f>SUM($F$25:AI25)</f>
        <v>-24038420.333333336</v>
      </c>
      <c r="AJ26" s="229">
        <f>SUM($F$25:AJ25)</f>
        <v>-23864507.750000004</v>
      </c>
      <c r="AK26" s="229">
        <f>SUM($F$25:AK25)</f>
        <v>-23690595.166666672</v>
      </c>
      <c r="AL26" s="229">
        <f>SUM($F$25:AL25)</f>
        <v>-23516682.58333334</v>
      </c>
      <c r="AM26" s="229">
        <f>SUM($F$25:AM25)</f>
        <v>-23342770.000000007</v>
      </c>
      <c r="AN26" s="229">
        <f>SUM($F$25:AN25)</f>
        <v>-23168857.416666675</v>
      </c>
      <c r="AO26" s="229">
        <f>SUM($F$25:AO25)</f>
        <v>-22994944.833333343</v>
      </c>
      <c r="AP26" s="229">
        <f>SUM($F$25:AP25)</f>
        <v>-22821032.250000011</v>
      </c>
      <c r="AQ26" s="229">
        <f>SUM($F$25:AQ25)</f>
        <v>-22647119.666666679</v>
      </c>
      <c r="AR26" s="229">
        <f>SUM($F$25:AR25)</f>
        <v>-22473207.083333347</v>
      </c>
      <c r="AS26" s="229">
        <f>SUM($F$25:AS25)</f>
        <v>-22299294.500000015</v>
      </c>
      <c r="AT26" s="229">
        <f>SUM($F$25:AT25)</f>
        <v>-22125381.916666683</v>
      </c>
      <c r="AU26" s="229">
        <f>SUM($F$25:AU25)</f>
        <v>-21951469.333333351</v>
      </c>
      <c r="AV26" s="229">
        <f>SUM($F$25:AV25)</f>
        <v>-21777556.750000019</v>
      </c>
      <c r="AW26" s="229">
        <f>SUM($F$25:AW25)</f>
        <v>-21603644.166666687</v>
      </c>
      <c r="AX26" s="229">
        <f>SUM($F$25:AX25)</f>
        <v>-21429731.583333354</v>
      </c>
      <c r="AY26" s="229">
        <f>SUM($F$25:AY25)</f>
        <v>-21255819.000000022</v>
      </c>
      <c r="AZ26" s="229">
        <f>SUM($F$25:AZ25)</f>
        <v>-21081906.41666669</v>
      </c>
      <c r="BA26" s="229">
        <f>SUM($F$25:BA25)</f>
        <v>-20907993.833333358</v>
      </c>
      <c r="BB26" s="229">
        <f>SUM($F$25:BB25)</f>
        <v>-20734081.250000026</v>
      </c>
      <c r="BC26" s="229">
        <f>SUM($F$25:BC25)</f>
        <v>-20560168.666666694</v>
      </c>
      <c r="BD26" s="229">
        <f>SUM($F$25:BD25)</f>
        <v>-20386256.083333362</v>
      </c>
      <c r="BE26" s="229">
        <f>SUM($F$25:BE25)</f>
        <v>-20212343.50000003</v>
      </c>
      <c r="BF26" s="229">
        <f>SUM($F$25:BF25)</f>
        <v>-20038430.916666698</v>
      </c>
      <c r="BG26" s="229">
        <f>SUM($F$25:BG25)</f>
        <v>-19864518.333333366</v>
      </c>
      <c r="BH26" s="229">
        <f>SUM($F$25:BH25)</f>
        <v>-19690605.750000034</v>
      </c>
      <c r="BI26" s="229">
        <f>SUM($F$25:BI25)</f>
        <v>-19516693.166666701</v>
      </c>
      <c r="BJ26" s="229">
        <f>SUM($F$25:BJ25)</f>
        <v>-19342780.583333369</v>
      </c>
      <c r="BK26" s="229">
        <f>SUM($F$25:BK25)</f>
        <v>12463582.999999963</v>
      </c>
      <c r="BL26" s="229">
        <f>SUM($F$25:BL25)</f>
        <v>12463582.999999963</v>
      </c>
      <c r="BM26" s="229">
        <f>SUM($F$25:BM25)</f>
        <v>12463582.999999963</v>
      </c>
      <c r="BN26" s="229">
        <f>SUM($F$25:BN25)</f>
        <v>12463582.999999963</v>
      </c>
      <c r="BO26" s="229">
        <f>SUM($F$25:BO25)</f>
        <v>12463582.999999963</v>
      </c>
      <c r="BP26" s="229">
        <f>SUM($F$25:BP25)</f>
        <v>12463582.999999963</v>
      </c>
    </row>
    <row r="27" spans="1:68" s="357" customFormat="1" x14ac:dyDescent="0.2">
      <c r="A27" s="359"/>
      <c r="B27" s="228"/>
      <c r="C27" s="229"/>
      <c r="D27" s="229"/>
      <c r="E27" s="228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8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  <c r="AE27" s="229"/>
      <c r="AF27" s="229"/>
      <c r="AG27" s="229"/>
      <c r="AH27" s="229"/>
      <c r="AI27" s="229"/>
      <c r="AJ27" s="229"/>
      <c r="AK27" s="229"/>
      <c r="AL27" s="229"/>
      <c r="AM27" s="229"/>
      <c r="AN27" s="229"/>
      <c r="AO27" s="229"/>
      <c r="AP27" s="229"/>
      <c r="AQ27" s="229"/>
      <c r="AR27" s="229"/>
      <c r="AS27" s="229"/>
      <c r="AT27" s="229"/>
      <c r="AU27" s="229"/>
      <c r="AV27" s="229"/>
      <c r="AW27" s="229"/>
      <c r="AX27" s="229"/>
      <c r="AY27" s="229"/>
      <c r="AZ27" s="229"/>
      <c r="BA27" s="229"/>
      <c r="BB27" s="229"/>
      <c r="BC27" s="229"/>
      <c r="BD27" s="229"/>
      <c r="BE27" s="229"/>
      <c r="BF27" s="229"/>
      <c r="BG27" s="229"/>
      <c r="BH27" s="229"/>
      <c r="BI27" s="229"/>
      <c r="BJ27" s="229"/>
      <c r="BK27" s="229"/>
      <c r="BL27" s="229"/>
      <c r="BM27" s="229"/>
      <c r="BN27" s="229"/>
      <c r="BO27" s="229"/>
      <c r="BP27" s="229"/>
    </row>
    <row r="28" spans="1:68" s="357" customFormat="1" x14ac:dyDescent="0.2">
      <c r="A28" s="360" t="s">
        <v>69</v>
      </c>
      <c r="B28" s="228"/>
      <c r="C28" s="229"/>
      <c r="D28" s="229"/>
      <c r="E28" s="228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8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229"/>
      <c r="AL28" s="229"/>
      <c r="AM28" s="229"/>
      <c r="AN28" s="229"/>
      <c r="AO28" s="229"/>
      <c r="AP28" s="229"/>
      <c r="AQ28" s="229"/>
      <c r="AR28" s="229"/>
      <c r="AS28" s="229"/>
      <c r="AT28" s="229"/>
      <c r="AU28" s="229"/>
      <c r="AV28" s="229"/>
      <c r="AW28" s="229"/>
      <c r="AX28" s="229"/>
      <c r="AY28" s="229"/>
      <c r="AZ28" s="229"/>
      <c r="BA28" s="229"/>
      <c r="BB28" s="229"/>
      <c r="BC28" s="229"/>
      <c r="BD28" s="229"/>
      <c r="BE28" s="229"/>
      <c r="BF28" s="229"/>
      <c r="BG28" s="229"/>
      <c r="BH28" s="229"/>
      <c r="BI28" s="229"/>
      <c r="BJ28" s="229"/>
      <c r="BK28" s="229"/>
      <c r="BL28" s="229"/>
      <c r="BM28" s="229"/>
      <c r="BN28" s="229"/>
      <c r="BO28" s="229"/>
      <c r="BP28" s="229"/>
    </row>
    <row r="29" spans="1:68" s="357" customFormat="1" x14ac:dyDescent="0.2">
      <c r="A29" s="361" t="s">
        <v>29</v>
      </c>
      <c r="B29" s="228"/>
      <c r="C29" s="229">
        <f ca="1">SUM(F29:BP29)</f>
        <v>-2620886.6018700618</v>
      </c>
      <c r="D29" s="229"/>
      <c r="E29" s="228"/>
      <c r="F29" s="229">
        <f ca="1">-F49</f>
        <v>-238262.41835182378</v>
      </c>
      <c r="G29" s="229">
        <f t="shared" ref="G29:BP29" ca="1" si="88">-G49</f>
        <v>0</v>
      </c>
      <c r="H29" s="229">
        <f t="shared" ca="1" si="88"/>
        <v>0</v>
      </c>
      <c r="I29" s="229">
        <f t="shared" ca="1" si="88"/>
        <v>0</v>
      </c>
      <c r="J29" s="229">
        <f t="shared" ca="1" si="88"/>
        <v>0</v>
      </c>
      <c r="K29" s="229">
        <f t="shared" ca="1" si="88"/>
        <v>0</v>
      </c>
      <c r="L29" s="229">
        <f t="shared" ca="1" si="88"/>
        <v>0</v>
      </c>
      <c r="M29" s="229">
        <f t="shared" ca="1" si="88"/>
        <v>0</v>
      </c>
      <c r="N29" s="229">
        <f t="shared" ca="1" si="88"/>
        <v>0</v>
      </c>
      <c r="O29" s="229">
        <f t="shared" ca="1" si="88"/>
        <v>0</v>
      </c>
      <c r="P29" s="229">
        <f t="shared" ca="1" si="88"/>
        <v>0</v>
      </c>
      <c r="Q29" s="229">
        <f t="shared" ca="1" si="88"/>
        <v>0</v>
      </c>
      <c r="R29" s="229">
        <f t="shared" ca="1" si="88"/>
        <v>0</v>
      </c>
      <c r="S29" s="229">
        <f t="shared" ca="1" si="88"/>
        <v>0</v>
      </c>
      <c r="T29" s="229">
        <f t="shared" ca="1" si="88"/>
        <v>0</v>
      </c>
      <c r="U29" s="229">
        <f t="shared" ca="1" si="88"/>
        <v>0</v>
      </c>
      <c r="V29" s="229">
        <f t="shared" ca="1" si="88"/>
        <v>0</v>
      </c>
      <c r="W29" s="229">
        <f t="shared" ca="1" si="88"/>
        <v>0</v>
      </c>
      <c r="X29" s="229">
        <f t="shared" ca="1" si="88"/>
        <v>0</v>
      </c>
      <c r="Y29" s="229">
        <f t="shared" ca="1" si="88"/>
        <v>0</v>
      </c>
      <c r="Z29" s="229">
        <f t="shared" ca="1" si="88"/>
        <v>0</v>
      </c>
      <c r="AA29" s="229">
        <f t="shared" ca="1" si="88"/>
        <v>0</v>
      </c>
      <c r="AB29" s="229">
        <f t="shared" ca="1" si="88"/>
        <v>0</v>
      </c>
      <c r="AC29" s="229">
        <f t="shared" ca="1" si="88"/>
        <v>0</v>
      </c>
      <c r="AD29" s="229">
        <f t="shared" ca="1" si="88"/>
        <v>0</v>
      </c>
      <c r="AE29" s="229">
        <f t="shared" ca="1" si="88"/>
        <v>0</v>
      </c>
      <c r="AF29" s="229">
        <f t="shared" ca="1" si="88"/>
        <v>0</v>
      </c>
      <c r="AG29" s="229">
        <f t="shared" ca="1" si="88"/>
        <v>0</v>
      </c>
      <c r="AH29" s="229">
        <f t="shared" ca="1" si="88"/>
        <v>0</v>
      </c>
      <c r="AI29" s="229">
        <f t="shared" ca="1" si="88"/>
        <v>0</v>
      </c>
      <c r="AJ29" s="229">
        <f t="shared" ca="1" si="88"/>
        <v>0</v>
      </c>
      <c r="AK29" s="229">
        <f t="shared" ca="1" si="88"/>
        <v>0</v>
      </c>
      <c r="AL29" s="229">
        <f t="shared" ca="1" si="88"/>
        <v>0</v>
      </c>
      <c r="AM29" s="229">
        <f t="shared" ca="1" si="88"/>
        <v>0</v>
      </c>
      <c r="AN29" s="229">
        <f t="shared" ca="1" si="88"/>
        <v>0</v>
      </c>
      <c r="AO29" s="229">
        <f t="shared" ca="1" si="88"/>
        <v>0</v>
      </c>
      <c r="AP29" s="229">
        <f t="shared" ca="1" si="88"/>
        <v>0</v>
      </c>
      <c r="AQ29" s="229">
        <f t="shared" ca="1" si="88"/>
        <v>0</v>
      </c>
      <c r="AR29" s="229">
        <f t="shared" ca="1" si="88"/>
        <v>0</v>
      </c>
      <c r="AS29" s="229">
        <f t="shared" ca="1" si="88"/>
        <v>0</v>
      </c>
      <c r="AT29" s="229">
        <f t="shared" ca="1" si="88"/>
        <v>0</v>
      </c>
      <c r="AU29" s="229">
        <f t="shared" ca="1" si="88"/>
        <v>0</v>
      </c>
      <c r="AV29" s="229">
        <f t="shared" ca="1" si="88"/>
        <v>0</v>
      </c>
      <c r="AW29" s="229">
        <f t="shared" ca="1" si="88"/>
        <v>0</v>
      </c>
      <c r="AX29" s="229">
        <f t="shared" ca="1" si="88"/>
        <v>0</v>
      </c>
      <c r="AY29" s="229">
        <f t="shared" ca="1" si="88"/>
        <v>0</v>
      </c>
      <c r="AZ29" s="229">
        <f t="shared" ca="1" si="88"/>
        <v>0</v>
      </c>
      <c r="BA29" s="229">
        <f t="shared" ca="1" si="88"/>
        <v>0</v>
      </c>
      <c r="BB29" s="229">
        <f t="shared" ca="1" si="88"/>
        <v>0</v>
      </c>
      <c r="BC29" s="229">
        <f t="shared" ca="1" si="88"/>
        <v>0</v>
      </c>
      <c r="BD29" s="229">
        <f t="shared" ca="1" si="88"/>
        <v>0</v>
      </c>
      <c r="BE29" s="229">
        <f t="shared" ca="1" si="88"/>
        <v>0</v>
      </c>
      <c r="BF29" s="229">
        <f t="shared" ca="1" si="88"/>
        <v>0</v>
      </c>
      <c r="BG29" s="229">
        <f t="shared" ca="1" si="88"/>
        <v>0</v>
      </c>
      <c r="BH29" s="229">
        <f t="shared" ca="1" si="88"/>
        <v>0</v>
      </c>
      <c r="BI29" s="229">
        <f t="shared" ca="1" si="88"/>
        <v>0</v>
      </c>
      <c r="BJ29" s="229">
        <f t="shared" ca="1" si="88"/>
        <v>0</v>
      </c>
      <c r="BK29" s="229">
        <f t="shared" ca="1" si="88"/>
        <v>-2382624.1835182379</v>
      </c>
      <c r="BL29" s="229">
        <f t="shared" ca="1" si="88"/>
        <v>0</v>
      </c>
      <c r="BM29" s="229">
        <f t="shared" ca="1" si="88"/>
        <v>0</v>
      </c>
      <c r="BN29" s="229">
        <f t="shared" ca="1" si="88"/>
        <v>0</v>
      </c>
      <c r="BO29" s="229">
        <f t="shared" ca="1" si="88"/>
        <v>0</v>
      </c>
      <c r="BP29" s="229">
        <f t="shared" ca="1" si="88"/>
        <v>0</v>
      </c>
    </row>
    <row r="30" spans="1:68" s="357" customFormat="1" x14ac:dyDescent="0.2">
      <c r="A30" s="361" t="s">
        <v>70</v>
      </c>
      <c r="B30" s="228"/>
      <c r="C30" s="229">
        <f ca="1">SUM(F30:BP30)</f>
        <v>-2228985.6118163057</v>
      </c>
      <c r="D30" s="229"/>
      <c r="E30" s="228"/>
      <c r="F30" s="229">
        <f>-F50</f>
        <v>0</v>
      </c>
      <c r="G30" s="229">
        <f t="shared" ref="G30:BP30" ca="1" si="89">-G50</f>
        <v>-910.61937972820306</v>
      </c>
      <c r="H30" s="229">
        <f t="shared" ca="1" si="89"/>
        <v>-882.97834598860823</v>
      </c>
      <c r="I30" s="229">
        <f t="shared" ca="1" si="89"/>
        <v>-1038.2335419527592</v>
      </c>
      <c r="J30" s="229">
        <f t="shared" ca="1" si="89"/>
        <v>-1069.8866913369504</v>
      </c>
      <c r="K30" s="229">
        <f t="shared" ca="1" si="89"/>
        <v>-1170.8739518282562</v>
      </c>
      <c r="L30" s="229">
        <f t="shared" ca="1" si="89"/>
        <v>-1198.6026917368779</v>
      </c>
      <c r="M30" s="229">
        <f t="shared" ca="1" si="89"/>
        <v>-1304.2357770006095</v>
      </c>
      <c r="N30" s="229">
        <f t="shared" ca="1" si="89"/>
        <v>-1372.286055142089</v>
      </c>
      <c r="O30" s="229">
        <f t="shared" ca="1" si="89"/>
        <v>-4192.8748178758333</v>
      </c>
      <c r="P30" s="229">
        <f t="shared" ca="1" si="89"/>
        <v>-8547.0602911560509</v>
      </c>
      <c r="Q30" s="229">
        <f t="shared" ca="1" si="89"/>
        <v>-12363.46553711671</v>
      </c>
      <c r="R30" s="229">
        <f t="shared" ca="1" si="89"/>
        <v>-17012.557103274736</v>
      </c>
      <c r="S30" s="229">
        <f t="shared" ca="1" si="89"/>
        <v>-21264.444957654923</v>
      </c>
      <c r="T30" s="229">
        <f t="shared" ca="1" si="89"/>
        <v>-23057.610878954561</v>
      </c>
      <c r="U30" s="229">
        <f t="shared" ca="1" si="89"/>
        <v>-29790.405927354928</v>
      </c>
      <c r="V30" s="229">
        <f t="shared" ca="1" si="89"/>
        <v>-32978.287882519435</v>
      </c>
      <c r="W30" s="229">
        <f t="shared" ca="1" si="89"/>
        <v>-38371.442751094073</v>
      </c>
      <c r="X30" s="229">
        <f t="shared" ca="1" si="89"/>
        <v>-41305.439014462972</v>
      </c>
      <c r="Y30" s="229">
        <f t="shared" ca="1" si="89"/>
        <v>-46999.150805971156</v>
      </c>
      <c r="Z30" s="229">
        <f t="shared" ca="1" si="89"/>
        <v>-51333.809874475919</v>
      </c>
      <c r="AA30" s="229">
        <f t="shared" ca="1" si="89"/>
        <v>-53884.29076411701</v>
      </c>
      <c r="AB30" s="229">
        <f t="shared" ca="1" si="89"/>
        <v>-60032.018691036792</v>
      </c>
      <c r="AC30" s="229">
        <f t="shared" ca="1" si="89"/>
        <v>-57674.29987066485</v>
      </c>
      <c r="AD30" s="229">
        <f t="shared" ca="1" si="89"/>
        <v>-59152.523367457543</v>
      </c>
      <c r="AE30" s="229">
        <f t="shared" ca="1" si="89"/>
        <v>-58713.919850601662</v>
      </c>
      <c r="AF30" s="229">
        <f t="shared" ca="1" si="89"/>
        <v>-54514.050347982738</v>
      </c>
      <c r="AG30" s="229">
        <f t="shared" ca="1" si="89"/>
        <v>-57817.308647662016</v>
      </c>
      <c r="AH30" s="229">
        <f t="shared" ca="1" si="89"/>
        <v>-55522.840693442668</v>
      </c>
      <c r="AI30" s="229">
        <f t="shared" ca="1" si="89"/>
        <v>-56921.126184184868</v>
      </c>
      <c r="AJ30" s="229">
        <f t="shared" ca="1" si="89"/>
        <v>-54652.252694222931</v>
      </c>
      <c r="AK30" s="229">
        <f t="shared" ca="1" si="89"/>
        <v>-56018.191269213319</v>
      </c>
      <c r="AL30" s="229">
        <f t="shared" ca="1" si="89"/>
        <v>-55567.608592694283</v>
      </c>
      <c r="AM30" s="229">
        <f t="shared" ca="1" si="89"/>
        <v>-53337.39079956754</v>
      </c>
      <c r="AN30" s="229">
        <f t="shared" ca="1" si="89"/>
        <v>-54654.475350645538</v>
      </c>
      <c r="AO30" s="229">
        <f t="shared" ca="1" si="89"/>
        <v>-52450.336126424503</v>
      </c>
      <c r="AP30" s="229">
        <f t="shared" ca="1" si="89"/>
        <v>-53734.461938345594</v>
      </c>
      <c r="AQ30" s="229">
        <f t="shared" ca="1" si="89"/>
        <v>-53275.151036027768</v>
      </c>
      <c r="AR30" s="229">
        <f t="shared" ca="1" si="89"/>
        <v>-47703.044231787098</v>
      </c>
      <c r="AS30" s="229">
        <f t="shared" ca="1" si="89"/>
        <v>-52331.722200133539</v>
      </c>
      <c r="AT30" s="229">
        <f t="shared" ca="1" si="89"/>
        <v>-50193.919492093482</v>
      </c>
      <c r="AU30" s="229">
        <f t="shared" ca="1" si="89"/>
        <v>-51394.207577286026</v>
      </c>
      <c r="AV30" s="229">
        <f t="shared" ca="1" si="89"/>
        <v>-49283.179756596684</v>
      </c>
      <c r="AW30" s="229">
        <f t="shared" ca="1" si="89"/>
        <v>-50449.629078192243</v>
      </c>
      <c r="AX30" s="229">
        <f t="shared" ca="1" si="89"/>
        <v>-49977.763814669182</v>
      </c>
      <c r="AY30" s="229">
        <f t="shared" ca="1" si="89"/>
        <v>-47907.188826670041</v>
      </c>
      <c r="AZ30" s="229">
        <f t="shared" ca="1" si="89"/>
        <v>-49022.512859695678</v>
      </c>
      <c r="BA30" s="229">
        <f t="shared" ca="1" si="89"/>
        <v>-46979.219298660726</v>
      </c>
      <c r="BB30" s="229">
        <f t="shared" ca="1" si="89"/>
        <v>-48060.06439082147</v>
      </c>
      <c r="BC30" s="229">
        <f t="shared" ca="1" si="89"/>
        <v>-47579.066407465842</v>
      </c>
      <c r="BD30" s="229">
        <f t="shared" ca="1" si="89"/>
        <v>-42538.530403285607</v>
      </c>
      <c r="BE30" s="229">
        <f t="shared" ca="1" si="89"/>
        <v>-46594.129256920649</v>
      </c>
      <c r="BF30" s="229">
        <f t="shared" ca="1" si="89"/>
        <v>-44620.188958036524</v>
      </c>
      <c r="BG30" s="229">
        <f t="shared" ca="1" si="89"/>
        <v>-45613.383685440829</v>
      </c>
      <c r="BH30" s="229">
        <f t="shared" ca="1" si="89"/>
        <v>-43667.452925348029</v>
      </c>
      <c r="BI30" s="229">
        <f t="shared" ca="1" si="89"/>
        <v>-44625.248506186195</v>
      </c>
      <c r="BJ30" s="229">
        <f t="shared" ca="1" si="89"/>
        <v>-44131.122938833134</v>
      </c>
      <c r="BK30" s="229">
        <f t="shared" ca="1" si="89"/>
        <v>-42227.524707265831</v>
      </c>
      <c r="BL30" s="229">
        <f t="shared" ca="1" si="89"/>
        <v>0</v>
      </c>
      <c r="BM30" s="229">
        <f t="shared" si="89"/>
        <v>0</v>
      </c>
      <c r="BN30" s="229">
        <f t="shared" si="89"/>
        <v>0</v>
      </c>
      <c r="BO30" s="229">
        <f t="shared" si="89"/>
        <v>0</v>
      </c>
      <c r="BP30" s="229">
        <f t="shared" si="89"/>
        <v>0</v>
      </c>
    </row>
    <row r="31" spans="1:68" s="357" customFormat="1" x14ac:dyDescent="0.2">
      <c r="A31" s="361" t="s">
        <v>16</v>
      </c>
      <c r="B31" s="228"/>
      <c r="C31" s="229">
        <f ca="1">SUM(F31:BP31)</f>
        <v>-238711.22176980184</v>
      </c>
      <c r="D31" s="229"/>
      <c r="E31" s="228"/>
      <c r="F31" s="229">
        <f>-F51</f>
        <v>0</v>
      </c>
      <c r="G31" s="229">
        <f t="shared" ref="G31:BP31" ca="1" si="90">-G51</f>
        <v>-16610.372019116301</v>
      </c>
      <c r="H31" s="229">
        <f t="shared" ca="1" si="90"/>
        <v>-14986.115711771199</v>
      </c>
      <c r="I31" s="229">
        <f t="shared" ca="1" si="90"/>
        <v>-16574.923640720594</v>
      </c>
      <c r="J31" s="229">
        <f t="shared" ca="1" si="90"/>
        <v>-16022.152975134062</v>
      </c>
      <c r="K31" s="229">
        <f t="shared" ca="1" si="90"/>
        <v>-16538.079082421842</v>
      </c>
      <c r="L31" s="229">
        <f t="shared" ca="1" si="90"/>
        <v>-15986.398530578525</v>
      </c>
      <c r="M31" s="229">
        <f t="shared" ca="1" si="90"/>
        <v>-16501.034130985074</v>
      </c>
      <c r="N31" s="229">
        <f t="shared" ca="1" si="90"/>
        <v>-16482.131275945776</v>
      </c>
      <c r="O31" s="229">
        <f t="shared" ca="1" si="90"/>
        <v>-15154.656273317705</v>
      </c>
      <c r="P31" s="229">
        <f t="shared" ca="1" si="90"/>
        <v>-14489.138432608564</v>
      </c>
      <c r="Q31" s="229">
        <f t="shared" ca="1" si="90"/>
        <v>-12885.047740195238</v>
      </c>
      <c r="R31" s="229">
        <f t="shared" ca="1" si="90"/>
        <v>-12137.611540353375</v>
      </c>
      <c r="S31" s="229">
        <f t="shared" ca="1" si="90"/>
        <v>-10956.531580803321</v>
      </c>
      <c r="T31" s="229">
        <f t="shared" ca="1" si="90"/>
        <v>-8826.4955637251005</v>
      </c>
      <c r="U31" s="229">
        <f t="shared" ca="1" si="90"/>
        <v>-8588.2090892199849</v>
      </c>
      <c r="V31" s="229">
        <f t="shared" ca="1" si="90"/>
        <v>-7158.7081998055919</v>
      </c>
      <c r="W31" s="229">
        <f t="shared" ca="1" si="90"/>
        <v>-6204.5877492924474</v>
      </c>
      <c r="X31" s="229">
        <f t="shared" ca="1" si="90"/>
        <v>-4845.6106631546072</v>
      </c>
      <c r="Y31" s="229">
        <f t="shared" ca="1" si="90"/>
        <v>-3808.0021784932565</v>
      </c>
      <c r="Z31" s="229">
        <f t="shared" ca="1" si="90"/>
        <v>-2603.9302150197118</v>
      </c>
      <c r="AA31" s="229">
        <f t="shared" ca="1" si="90"/>
        <v>-1351.4851771395979</v>
      </c>
      <c r="AB31" s="229">
        <f t="shared" si="90"/>
        <v>0</v>
      </c>
      <c r="AC31" s="229">
        <f t="shared" si="90"/>
        <v>0</v>
      </c>
      <c r="AD31" s="229">
        <f t="shared" si="90"/>
        <v>0</v>
      </c>
      <c r="AE31" s="229">
        <f t="shared" si="90"/>
        <v>0</v>
      </c>
      <c r="AF31" s="229">
        <f t="shared" si="90"/>
        <v>0</v>
      </c>
      <c r="AG31" s="229">
        <f t="shared" si="90"/>
        <v>0</v>
      </c>
      <c r="AH31" s="229">
        <f t="shared" si="90"/>
        <v>0</v>
      </c>
      <c r="AI31" s="229">
        <f t="shared" si="90"/>
        <v>0</v>
      </c>
      <c r="AJ31" s="229">
        <f t="shared" si="90"/>
        <v>0</v>
      </c>
      <c r="AK31" s="229">
        <f t="shared" si="90"/>
        <v>0</v>
      </c>
      <c r="AL31" s="229">
        <f t="shared" si="90"/>
        <v>0</v>
      </c>
      <c r="AM31" s="229">
        <f t="shared" si="90"/>
        <v>0</v>
      </c>
      <c r="AN31" s="229">
        <f t="shared" si="90"/>
        <v>0</v>
      </c>
      <c r="AO31" s="229">
        <f t="shared" si="90"/>
        <v>0</v>
      </c>
      <c r="AP31" s="229">
        <f t="shared" si="90"/>
        <v>0</v>
      </c>
      <c r="AQ31" s="229">
        <f t="shared" si="90"/>
        <v>0</v>
      </c>
      <c r="AR31" s="229">
        <f t="shared" si="90"/>
        <v>0</v>
      </c>
      <c r="AS31" s="229">
        <f t="shared" si="90"/>
        <v>0</v>
      </c>
      <c r="AT31" s="229">
        <f t="shared" si="90"/>
        <v>0</v>
      </c>
      <c r="AU31" s="229">
        <f t="shared" si="90"/>
        <v>0</v>
      </c>
      <c r="AV31" s="229">
        <f t="shared" si="90"/>
        <v>0</v>
      </c>
      <c r="AW31" s="229">
        <f t="shared" si="90"/>
        <v>0</v>
      </c>
      <c r="AX31" s="229">
        <f t="shared" si="90"/>
        <v>0</v>
      </c>
      <c r="AY31" s="229">
        <f t="shared" si="90"/>
        <v>0</v>
      </c>
      <c r="AZ31" s="229">
        <f t="shared" si="90"/>
        <v>0</v>
      </c>
      <c r="BA31" s="229">
        <f t="shared" si="90"/>
        <v>0</v>
      </c>
      <c r="BB31" s="229">
        <f t="shared" si="90"/>
        <v>0</v>
      </c>
      <c r="BC31" s="229">
        <f t="shared" si="90"/>
        <v>0</v>
      </c>
      <c r="BD31" s="229">
        <f t="shared" si="90"/>
        <v>0</v>
      </c>
      <c r="BE31" s="229">
        <f t="shared" si="90"/>
        <v>0</v>
      </c>
      <c r="BF31" s="229">
        <f t="shared" si="90"/>
        <v>0</v>
      </c>
      <c r="BG31" s="229">
        <f t="shared" si="90"/>
        <v>0</v>
      </c>
      <c r="BH31" s="229">
        <f t="shared" si="90"/>
        <v>0</v>
      </c>
      <c r="BI31" s="229">
        <f t="shared" si="90"/>
        <v>0</v>
      </c>
      <c r="BJ31" s="229">
        <f t="shared" si="90"/>
        <v>0</v>
      </c>
      <c r="BK31" s="229">
        <f t="shared" si="90"/>
        <v>0</v>
      </c>
      <c r="BL31" s="229">
        <f t="shared" si="90"/>
        <v>0</v>
      </c>
      <c r="BM31" s="229">
        <f t="shared" si="90"/>
        <v>0</v>
      </c>
      <c r="BN31" s="229">
        <f t="shared" si="90"/>
        <v>0</v>
      </c>
      <c r="BO31" s="229">
        <f t="shared" si="90"/>
        <v>0</v>
      </c>
      <c r="BP31" s="229">
        <f t="shared" si="90"/>
        <v>0</v>
      </c>
    </row>
    <row r="32" spans="1:68" s="357" customFormat="1" x14ac:dyDescent="0.2">
      <c r="A32" s="361"/>
      <c r="B32" s="228"/>
      <c r="C32" s="229"/>
      <c r="D32" s="229"/>
      <c r="E32" s="228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8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29"/>
      <c r="AP32" s="229"/>
      <c r="AQ32" s="229"/>
      <c r="AR32" s="229"/>
      <c r="AS32" s="229"/>
      <c r="AT32" s="229"/>
      <c r="AU32" s="229"/>
      <c r="AV32" s="229"/>
      <c r="AW32" s="229"/>
      <c r="AX32" s="229"/>
      <c r="AY32" s="229"/>
      <c r="AZ32" s="229"/>
      <c r="BA32" s="229"/>
      <c r="BB32" s="229"/>
      <c r="BC32" s="229"/>
      <c r="BD32" s="229"/>
      <c r="BE32" s="229"/>
      <c r="BF32" s="229"/>
      <c r="BG32" s="229"/>
      <c r="BH32" s="229"/>
      <c r="BI32" s="229"/>
      <c r="BJ32" s="229"/>
      <c r="BK32" s="229"/>
      <c r="BL32" s="229"/>
      <c r="BM32" s="229"/>
      <c r="BN32" s="229"/>
      <c r="BO32" s="229"/>
      <c r="BP32" s="229"/>
    </row>
    <row r="33" spans="1:68" s="354" customFormat="1" x14ac:dyDescent="0.2">
      <c r="A33" s="362" t="s">
        <v>71</v>
      </c>
      <c r="B33" s="363"/>
      <c r="C33" s="364"/>
      <c r="D33" s="364"/>
      <c r="E33" s="363"/>
      <c r="F33" s="364">
        <f ca="1">F25+SUM(F29:F32)</f>
        <v>-2917613.3728972781</v>
      </c>
      <c r="G33" s="364">
        <f t="shared" ref="G33:BP33" ca="1" si="91">G25+SUM(G29:G32)</f>
        <v>-1100871.9459442988</v>
      </c>
      <c r="H33" s="364">
        <f t="shared" ca="1" si="91"/>
        <v>-1099220.0486032141</v>
      </c>
      <c r="I33" s="364">
        <f t="shared" ca="1" si="91"/>
        <v>-1100964.1117281278</v>
      </c>
      <c r="J33" s="364">
        <f t="shared" ca="1" si="91"/>
        <v>-1100442.9942119254</v>
      </c>
      <c r="K33" s="364">
        <f t="shared" ca="1" si="91"/>
        <v>-1101059.9075797044</v>
      </c>
      <c r="L33" s="364">
        <f t="shared" ca="1" si="91"/>
        <v>-1100535.9557677698</v>
      </c>
      <c r="M33" s="364">
        <f t="shared" ca="1" si="91"/>
        <v>-1101156.2244534399</v>
      </c>
      <c r="N33" s="364">
        <f t="shared" ca="1" si="91"/>
        <v>-1101205.3718765422</v>
      </c>
      <c r="O33" s="364">
        <f t="shared" ca="1" si="91"/>
        <v>-1102698.4856366478</v>
      </c>
      <c r="P33" s="364">
        <f t="shared" ca="1" si="91"/>
        <v>-1106387.153269219</v>
      </c>
      <c r="Q33" s="364">
        <f t="shared" ca="1" si="91"/>
        <v>-1108599.4678227664</v>
      </c>
      <c r="R33" s="364">
        <f t="shared" ca="1" si="91"/>
        <v>-1112501.1231890824</v>
      </c>
      <c r="S33" s="364">
        <f t="shared" ca="1" si="91"/>
        <v>-1115571.9310839125</v>
      </c>
      <c r="T33" s="364">
        <f t="shared" ca="1" si="91"/>
        <v>-1115235.060988134</v>
      </c>
      <c r="U33" s="364">
        <f t="shared" ca="1" si="91"/>
        <v>-1121729.5695620293</v>
      </c>
      <c r="V33" s="364">
        <f t="shared" ca="1" si="91"/>
        <v>-1123487.9506277794</v>
      </c>
      <c r="W33" s="364">
        <f t="shared" ca="1" si="91"/>
        <v>-1127926.985045841</v>
      </c>
      <c r="X33" s="364">
        <f t="shared" ca="1" si="91"/>
        <v>-1129502.004223072</v>
      </c>
      <c r="Y33" s="364">
        <f t="shared" ca="1" si="91"/>
        <v>-1134158.1075299187</v>
      </c>
      <c r="Z33" s="364">
        <f t="shared" ca="1" si="91"/>
        <v>-1137288.69463495</v>
      </c>
      <c r="AA33" s="364">
        <f t="shared" ca="1" si="91"/>
        <v>-1138586.730486711</v>
      </c>
      <c r="AB33" s="364">
        <f t="shared" ca="1" si="91"/>
        <v>113880.5646422962</v>
      </c>
      <c r="AC33" s="364">
        <f t="shared" ca="1" si="91"/>
        <v>116238.28346266814</v>
      </c>
      <c r="AD33" s="364">
        <f t="shared" ca="1" si="91"/>
        <v>114760.05996587545</v>
      </c>
      <c r="AE33" s="364">
        <f t="shared" ca="1" si="91"/>
        <v>115198.66348273132</v>
      </c>
      <c r="AF33" s="364">
        <f t="shared" ca="1" si="91"/>
        <v>119398.53298535026</v>
      </c>
      <c r="AG33" s="364">
        <f t="shared" ca="1" si="91"/>
        <v>116095.27468567097</v>
      </c>
      <c r="AH33" s="364">
        <f t="shared" ca="1" si="91"/>
        <v>118389.74263989032</v>
      </c>
      <c r="AI33" s="364">
        <f t="shared" ca="1" si="91"/>
        <v>116991.45714914813</v>
      </c>
      <c r="AJ33" s="364">
        <f t="shared" ca="1" si="91"/>
        <v>119260.33063911006</v>
      </c>
      <c r="AK33" s="364">
        <f t="shared" ca="1" si="91"/>
        <v>117894.39206411967</v>
      </c>
      <c r="AL33" s="364">
        <f t="shared" ca="1" si="91"/>
        <v>118344.97474063872</v>
      </c>
      <c r="AM33" s="364">
        <f t="shared" ca="1" si="91"/>
        <v>120575.19253376545</v>
      </c>
      <c r="AN33" s="364">
        <f t="shared" ca="1" si="91"/>
        <v>119258.10798268745</v>
      </c>
      <c r="AO33" s="364">
        <f t="shared" ca="1" si="91"/>
        <v>121462.24720690849</v>
      </c>
      <c r="AP33" s="364">
        <f t="shared" ca="1" si="91"/>
        <v>120178.12139498739</v>
      </c>
      <c r="AQ33" s="364">
        <f t="shared" ca="1" si="91"/>
        <v>120637.43229730523</v>
      </c>
      <c r="AR33" s="364">
        <f t="shared" ca="1" si="91"/>
        <v>126209.5391015459</v>
      </c>
      <c r="AS33" s="364">
        <f t="shared" ca="1" si="91"/>
        <v>121580.86113319945</v>
      </c>
      <c r="AT33" s="364">
        <f t="shared" ca="1" si="91"/>
        <v>123718.66384123951</v>
      </c>
      <c r="AU33" s="364">
        <f t="shared" ca="1" si="91"/>
        <v>122518.37575604697</v>
      </c>
      <c r="AV33" s="364">
        <f t="shared" ca="1" si="91"/>
        <v>124629.40357673631</v>
      </c>
      <c r="AW33" s="364">
        <f t="shared" ca="1" si="91"/>
        <v>123462.95425514075</v>
      </c>
      <c r="AX33" s="364">
        <f t="shared" ca="1" si="91"/>
        <v>123934.8195186638</v>
      </c>
      <c r="AY33" s="364">
        <f t="shared" ca="1" si="91"/>
        <v>126005.39450666295</v>
      </c>
      <c r="AZ33" s="364">
        <f t="shared" ca="1" si="91"/>
        <v>124890.07047363732</v>
      </c>
      <c r="BA33" s="364">
        <f t="shared" ca="1" si="91"/>
        <v>126933.36403467227</v>
      </c>
      <c r="BB33" s="364">
        <f t="shared" ca="1" si="91"/>
        <v>125852.51894251152</v>
      </c>
      <c r="BC33" s="364">
        <f t="shared" ca="1" si="91"/>
        <v>126333.51692586715</v>
      </c>
      <c r="BD33" s="364">
        <f t="shared" ca="1" si="91"/>
        <v>131374.05293004739</v>
      </c>
      <c r="BE33" s="364">
        <f t="shared" ca="1" si="91"/>
        <v>127318.45407641234</v>
      </c>
      <c r="BF33" s="364">
        <f t="shared" ca="1" si="91"/>
        <v>129292.39437529647</v>
      </c>
      <c r="BG33" s="364">
        <f t="shared" ca="1" si="91"/>
        <v>128299.19964789216</v>
      </c>
      <c r="BH33" s="364">
        <f t="shared" ca="1" si="91"/>
        <v>130245.13040798497</v>
      </c>
      <c r="BI33" s="364">
        <f t="shared" ca="1" si="91"/>
        <v>129287.3348271468</v>
      </c>
      <c r="BJ33" s="364">
        <f t="shared" ca="1" si="91"/>
        <v>129781.46039449985</v>
      </c>
      <c r="BK33" s="364">
        <f t="shared" ca="1" si="91"/>
        <v>29381511.875107829</v>
      </c>
      <c r="BL33" s="364">
        <f t="shared" ca="1" si="91"/>
        <v>0</v>
      </c>
      <c r="BM33" s="364">
        <f t="shared" ca="1" si="91"/>
        <v>0</v>
      </c>
      <c r="BN33" s="364">
        <f t="shared" ca="1" si="91"/>
        <v>0</v>
      </c>
      <c r="BO33" s="364">
        <f t="shared" ca="1" si="91"/>
        <v>0</v>
      </c>
      <c r="BP33" s="364">
        <f t="shared" ca="1" si="91"/>
        <v>0</v>
      </c>
    </row>
    <row r="34" spans="1:68" s="357" customFormat="1" x14ac:dyDescent="0.2">
      <c r="A34" s="359" t="s">
        <v>68</v>
      </c>
      <c r="B34" s="228"/>
      <c r="C34" s="229"/>
      <c r="D34" s="229"/>
      <c r="E34" s="228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8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29"/>
      <c r="AR34" s="229"/>
      <c r="AS34" s="229"/>
      <c r="AT34" s="229"/>
      <c r="AU34" s="229"/>
      <c r="AV34" s="229"/>
      <c r="AW34" s="229"/>
      <c r="AX34" s="229"/>
      <c r="AY34" s="229"/>
      <c r="AZ34" s="229"/>
      <c r="BA34" s="229"/>
      <c r="BB34" s="229"/>
      <c r="BC34" s="229"/>
      <c r="BD34" s="229"/>
      <c r="BE34" s="229"/>
      <c r="BF34" s="229"/>
      <c r="BG34" s="229"/>
      <c r="BH34" s="229"/>
      <c r="BI34" s="229"/>
      <c r="BJ34" s="229"/>
      <c r="BK34" s="229"/>
      <c r="BL34" s="229"/>
      <c r="BM34" s="229"/>
      <c r="BN34" s="229"/>
      <c r="BO34" s="229"/>
      <c r="BP34" s="229"/>
    </row>
    <row r="35" spans="1:68" s="357" customFormat="1" x14ac:dyDescent="0.2">
      <c r="A35" s="359"/>
      <c r="B35" s="228"/>
      <c r="C35" s="229"/>
      <c r="D35" s="229"/>
      <c r="E35" s="228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8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29"/>
      <c r="AF35" s="229"/>
      <c r="AG35" s="229"/>
      <c r="AH35" s="229"/>
      <c r="AI35" s="229"/>
      <c r="AJ35" s="229"/>
      <c r="AK35" s="229"/>
      <c r="AL35" s="229"/>
      <c r="AM35" s="229"/>
      <c r="AN35" s="229"/>
      <c r="AO35" s="229"/>
      <c r="AP35" s="229"/>
      <c r="AQ35" s="229"/>
      <c r="AR35" s="229"/>
      <c r="AS35" s="229"/>
      <c r="AT35" s="229"/>
      <c r="AU35" s="229"/>
      <c r="AV35" s="229"/>
      <c r="AW35" s="229"/>
      <c r="AX35" s="229"/>
      <c r="AY35" s="229"/>
      <c r="AZ35" s="229"/>
      <c r="BA35" s="229"/>
      <c r="BB35" s="229"/>
      <c r="BC35" s="229"/>
      <c r="BD35" s="229"/>
      <c r="BE35" s="229"/>
      <c r="BF35" s="229"/>
      <c r="BG35" s="229"/>
      <c r="BH35" s="229"/>
      <c r="BI35" s="229"/>
      <c r="BJ35" s="229"/>
      <c r="BK35" s="229"/>
      <c r="BL35" s="229"/>
      <c r="BM35" s="229"/>
      <c r="BN35" s="229"/>
      <c r="BO35" s="229"/>
      <c r="BP35" s="229"/>
    </row>
    <row r="36" spans="1:68" s="357" customFormat="1" x14ac:dyDescent="0.2">
      <c r="A36" s="365" t="s">
        <v>72</v>
      </c>
      <c r="B36" s="366"/>
      <c r="C36" s="367"/>
      <c r="D36" s="367"/>
      <c r="E36" s="366"/>
      <c r="F36" s="367"/>
      <c r="G36" s="367"/>
      <c r="H36" s="367"/>
      <c r="I36" s="367"/>
      <c r="J36" s="367"/>
      <c r="K36" s="367"/>
      <c r="L36" s="367"/>
      <c r="M36" s="367"/>
      <c r="N36" s="367"/>
      <c r="O36" s="367"/>
      <c r="P36" s="366"/>
      <c r="Q36" s="367"/>
      <c r="R36" s="367"/>
      <c r="S36" s="367"/>
      <c r="T36" s="367"/>
      <c r="U36" s="367"/>
      <c r="V36" s="367"/>
      <c r="W36" s="367"/>
      <c r="X36" s="367"/>
      <c r="Y36" s="367"/>
      <c r="Z36" s="367"/>
      <c r="AA36" s="367"/>
      <c r="AB36" s="367"/>
      <c r="AC36" s="367"/>
      <c r="AD36" s="367"/>
      <c r="AE36" s="367"/>
      <c r="AF36" s="367"/>
      <c r="AG36" s="367"/>
      <c r="AH36" s="367"/>
      <c r="AI36" s="367"/>
      <c r="AJ36" s="367"/>
      <c r="AK36" s="367"/>
      <c r="AL36" s="367"/>
      <c r="AM36" s="367"/>
      <c r="AN36" s="367"/>
      <c r="AO36" s="367"/>
      <c r="AP36" s="367"/>
      <c r="AQ36" s="367"/>
      <c r="AR36" s="367"/>
      <c r="AS36" s="367"/>
      <c r="AT36" s="367"/>
      <c r="AU36" s="367"/>
      <c r="AV36" s="367"/>
      <c r="AW36" s="367"/>
      <c r="AX36" s="367"/>
      <c r="AY36" s="367"/>
      <c r="AZ36" s="367"/>
      <c r="BA36" s="367"/>
      <c r="BB36" s="367"/>
      <c r="BC36" s="367"/>
      <c r="BD36" s="367"/>
      <c r="BE36" s="367"/>
      <c r="BF36" s="367"/>
      <c r="BG36" s="367"/>
      <c r="BH36" s="367"/>
      <c r="BI36" s="367"/>
      <c r="BJ36" s="367"/>
      <c r="BK36" s="367"/>
      <c r="BL36" s="367"/>
      <c r="BM36" s="367"/>
      <c r="BN36" s="367"/>
      <c r="BO36" s="367"/>
      <c r="BP36" s="367"/>
    </row>
    <row r="37" spans="1:68" s="357" customFormat="1" x14ac:dyDescent="0.2">
      <c r="A37" s="359" t="s">
        <v>73</v>
      </c>
      <c r="B37" s="228"/>
      <c r="C37" s="229"/>
      <c r="D37" s="229"/>
      <c r="E37" s="228"/>
      <c r="F37" s="229"/>
      <c r="G37" s="229">
        <f ca="1">F40</f>
        <v>2679350.9545454541</v>
      </c>
      <c r="H37" s="229">
        <f t="shared" ref="H37:AC37" ca="1" si="92">G40</f>
        <v>3762701.9090909082</v>
      </c>
      <c r="I37" s="229">
        <f t="shared" ca="1" si="92"/>
        <v>4846052.8636363624</v>
      </c>
      <c r="J37" s="229">
        <f t="shared" ca="1" si="92"/>
        <v>5929403.8181818165</v>
      </c>
      <c r="K37" s="229">
        <f t="shared" ca="1" si="92"/>
        <v>7012754.7727272706</v>
      </c>
      <c r="L37" s="229">
        <f t="shared" ca="1" si="92"/>
        <v>8096105.7272727247</v>
      </c>
      <c r="M37" s="229">
        <f t="shared" ca="1" si="92"/>
        <v>9179456.6818181798</v>
      </c>
      <c r="N37" s="229">
        <f t="shared" ca="1" si="92"/>
        <v>10262807.636363635</v>
      </c>
      <c r="O37" s="229">
        <f t="shared" ca="1" si="92"/>
        <v>10589440.815636612</v>
      </c>
      <c r="P37" s="228">
        <f t="shared" ca="1" si="92"/>
        <v>10589440.815636612</v>
      </c>
      <c r="Q37" s="229">
        <f t="shared" ca="1" si="92"/>
        <v>10589440.815636612</v>
      </c>
      <c r="R37" s="229">
        <f t="shared" ca="1" si="92"/>
        <v>10589440.815636612</v>
      </c>
      <c r="S37" s="229">
        <f t="shared" ca="1" si="92"/>
        <v>10589440.815636612</v>
      </c>
      <c r="T37" s="229">
        <f t="shared" ca="1" si="92"/>
        <v>10589440.815636612</v>
      </c>
      <c r="U37" s="229">
        <f t="shared" ca="1" si="92"/>
        <v>10589440.815636612</v>
      </c>
      <c r="V37" s="229">
        <f t="shared" ca="1" si="92"/>
        <v>10589440.815636612</v>
      </c>
      <c r="W37" s="229">
        <f t="shared" ca="1" si="92"/>
        <v>10589440.815636612</v>
      </c>
      <c r="X37" s="229">
        <f t="shared" ca="1" si="92"/>
        <v>10589440.815636612</v>
      </c>
      <c r="Y37" s="229">
        <f t="shared" ca="1" si="92"/>
        <v>10589440.815636612</v>
      </c>
      <c r="Z37" s="229">
        <f t="shared" ca="1" si="92"/>
        <v>10589440.815636612</v>
      </c>
      <c r="AA37" s="229">
        <f t="shared" ca="1" si="92"/>
        <v>10589440.815636612</v>
      </c>
      <c r="AB37" s="229">
        <f t="shared" ca="1" si="92"/>
        <v>10589440.815636612</v>
      </c>
      <c r="AC37" s="229">
        <f t="shared" ca="1" si="92"/>
        <v>10589440.815636612</v>
      </c>
      <c r="AD37" s="229">
        <f t="shared" ref="AD37" ca="1" si="93">AC40</f>
        <v>10589440.815636612</v>
      </c>
      <c r="AE37" s="229">
        <f t="shared" ref="AE37" ca="1" si="94">AD40</f>
        <v>10589440.815636612</v>
      </c>
      <c r="AF37" s="229">
        <f t="shared" ref="AF37" ca="1" si="95">AE40</f>
        <v>10589440.815636612</v>
      </c>
      <c r="AG37" s="229">
        <f t="shared" ref="AG37" ca="1" si="96">AF40</f>
        <v>10589440.815636612</v>
      </c>
      <c r="AH37" s="229">
        <f t="shared" ref="AH37" ca="1" si="97">AG40</f>
        <v>10589440.815636612</v>
      </c>
      <c r="AI37" s="229">
        <f t="shared" ref="AI37" ca="1" si="98">AH40</f>
        <v>10589440.815636612</v>
      </c>
      <c r="AJ37" s="229">
        <f t="shared" ref="AJ37" ca="1" si="99">AI40</f>
        <v>10589440.815636612</v>
      </c>
      <c r="AK37" s="229">
        <f t="shared" ref="AK37" ca="1" si="100">AJ40</f>
        <v>10589440.815636612</v>
      </c>
      <c r="AL37" s="229">
        <f t="shared" ref="AL37" ca="1" si="101">AK40</f>
        <v>10589440.815636612</v>
      </c>
      <c r="AM37" s="229">
        <f t="shared" ref="AM37" ca="1" si="102">AL40</f>
        <v>10589440.815636612</v>
      </c>
      <c r="AN37" s="229">
        <f t="shared" ref="AN37" ca="1" si="103">AM40</f>
        <v>10589440.815636612</v>
      </c>
      <c r="AO37" s="229">
        <f t="shared" ref="AO37" ca="1" si="104">AN40</f>
        <v>10589440.815636612</v>
      </c>
      <c r="AP37" s="229">
        <f t="shared" ref="AP37" ca="1" si="105">AO40</f>
        <v>10589440.815636612</v>
      </c>
      <c r="AQ37" s="229">
        <f t="shared" ref="AQ37" ca="1" si="106">AP40</f>
        <v>10589440.815636612</v>
      </c>
      <c r="AR37" s="229">
        <f t="shared" ref="AR37" ca="1" si="107">AQ40</f>
        <v>10589440.815636612</v>
      </c>
      <c r="AS37" s="229">
        <f t="shared" ref="AS37" ca="1" si="108">AR40</f>
        <v>10589440.815636612</v>
      </c>
      <c r="AT37" s="229">
        <f t="shared" ref="AT37" ca="1" si="109">AS40</f>
        <v>10589440.815636612</v>
      </c>
      <c r="AU37" s="229">
        <f t="shared" ref="AU37" ca="1" si="110">AT40</f>
        <v>10589440.815636612</v>
      </c>
      <c r="AV37" s="229">
        <f t="shared" ref="AV37" ca="1" si="111">AU40</f>
        <v>10589440.815636612</v>
      </c>
      <c r="AW37" s="229">
        <f t="shared" ref="AW37" ca="1" si="112">AV40</f>
        <v>10589440.815636612</v>
      </c>
      <c r="AX37" s="229">
        <f t="shared" ref="AX37" ca="1" si="113">AW40</f>
        <v>10589440.815636612</v>
      </c>
      <c r="AY37" s="229">
        <f t="shared" ref="AY37" ca="1" si="114">AX40</f>
        <v>10589440.815636612</v>
      </c>
      <c r="AZ37" s="229">
        <f t="shared" ref="AZ37" ca="1" si="115">AY40</f>
        <v>10589440.815636612</v>
      </c>
      <c r="BA37" s="229">
        <f t="shared" ref="BA37" ca="1" si="116">AZ40</f>
        <v>10589440.815636612</v>
      </c>
      <c r="BB37" s="229">
        <f t="shared" ref="BB37" ca="1" si="117">BA40</f>
        <v>10589440.815636612</v>
      </c>
      <c r="BC37" s="229">
        <f t="shared" ref="BC37" ca="1" si="118">BB40</f>
        <v>10589440.815636612</v>
      </c>
      <c r="BD37" s="229">
        <f t="shared" ref="BD37" ca="1" si="119">BC40</f>
        <v>10589440.815636612</v>
      </c>
      <c r="BE37" s="229">
        <f t="shared" ref="BE37" ca="1" si="120">BD40</f>
        <v>10589440.815636612</v>
      </c>
      <c r="BF37" s="229">
        <f t="shared" ref="BF37" ca="1" si="121">BE40</f>
        <v>10589440.815636612</v>
      </c>
      <c r="BG37" s="229">
        <f t="shared" ref="BG37" ca="1" si="122">BF40</f>
        <v>10589440.815636612</v>
      </c>
      <c r="BH37" s="229">
        <f t="shared" ref="BH37" ca="1" si="123">BG40</f>
        <v>10589440.815636612</v>
      </c>
      <c r="BI37" s="229">
        <f t="shared" ref="BI37" ca="1" si="124">BH40</f>
        <v>10589440.815636612</v>
      </c>
      <c r="BJ37" s="229">
        <f t="shared" ref="BJ37" ca="1" si="125">BI40</f>
        <v>10589440.815636612</v>
      </c>
      <c r="BK37" s="229">
        <f t="shared" ref="BK37" ca="1" si="126">BJ40</f>
        <v>10589440.815636612</v>
      </c>
      <c r="BL37" s="229">
        <f t="shared" ref="BL37" ca="1" si="127">BK40</f>
        <v>-7374999.5645437855</v>
      </c>
      <c r="BM37" s="229">
        <f t="shared" ref="BM37" ca="1" si="128">BL40</f>
        <v>-7374999.5645437893</v>
      </c>
      <c r="BN37" s="229">
        <f t="shared" ref="BN37" ca="1" si="129">BM40</f>
        <v>-7374999.5645437874</v>
      </c>
      <c r="BO37" s="229">
        <f t="shared" ref="BO37" ca="1" si="130">BN40</f>
        <v>-7374999.5645437855</v>
      </c>
      <c r="BP37" s="229">
        <f t="shared" ref="BP37" ca="1" si="131">BO40</f>
        <v>-7374999.5645437874</v>
      </c>
    </row>
    <row r="38" spans="1:68" s="357" customFormat="1" x14ac:dyDescent="0.2">
      <c r="A38" s="359" t="s">
        <v>74</v>
      </c>
      <c r="B38" s="228">
        <f ca="1">Total_Equity_Sources_Uses</f>
        <v>10589440.815636612</v>
      </c>
      <c r="C38" s="229">
        <f ca="1">SUM(F38:XFD38)</f>
        <v>10589440.815636612</v>
      </c>
      <c r="D38" s="229"/>
      <c r="E38" s="228"/>
      <c r="F38" s="229">
        <f ca="1">IF(-F26&lt;Total_Equity_Sources_Uses, 'Cashflow Dynamic'!F22, (Total_Equity_Sources_Uses-'Cashflow Dynamic'!E38))</f>
        <v>2679350.9545454541</v>
      </c>
      <c r="G38" s="229">
        <f ca="1">IF(-G26&lt;Total_Equity_Facility, 'Cashflow Dynamic'!G22, (Total_Equity_Facility-SUM('Cashflow Dynamic'!$F$38:F38)))</f>
        <v>1083350.9545454544</v>
      </c>
      <c r="H38" s="229">
        <f ca="1">IF(-H26&lt;Total_Equity_Facility, 'Cashflow Dynamic'!H22, (Total_Equity_Facility-SUM('Cashflow Dynamic'!$F$38:G38)))</f>
        <v>1083350.9545454544</v>
      </c>
      <c r="I38" s="229">
        <f ca="1">IF(-I26&lt;Total_Equity_Facility, 'Cashflow Dynamic'!I22, (Total_Equity_Facility-SUM('Cashflow Dynamic'!$F$38:H38)))</f>
        <v>1083350.9545454544</v>
      </c>
      <c r="J38" s="229">
        <f ca="1">IF(-J26&lt;Total_Equity_Facility, 'Cashflow Dynamic'!J22, (Total_Equity_Facility-SUM('Cashflow Dynamic'!$F$38:I38)))</f>
        <v>1083350.9545454544</v>
      </c>
      <c r="K38" s="229">
        <f ca="1">IF(-K26&lt;Total_Equity_Facility, 'Cashflow Dynamic'!K22, (Total_Equity_Facility-SUM('Cashflow Dynamic'!$F$38:J38)))</f>
        <v>1083350.9545454544</v>
      </c>
      <c r="L38" s="229">
        <f ca="1">IF(-L26&lt;Total_Equity_Facility, 'Cashflow Dynamic'!L22, (Total_Equity_Facility-SUM('Cashflow Dynamic'!$F$38:K38)))</f>
        <v>1083350.9545454544</v>
      </c>
      <c r="M38" s="229">
        <f ca="1">IF(-M26&lt;Total_Equity_Facility, 'Cashflow Dynamic'!M22, (Total_Equity_Facility-SUM('Cashflow Dynamic'!$F$38:L38)))</f>
        <v>1083350.9545454544</v>
      </c>
      <c r="N38" s="229">
        <f ca="1">IF(-N26&lt;Total_Equity_Facility, 'Cashflow Dynamic'!N22, (Total_Equity_Facility-SUM('Cashflow Dynamic'!$F$38:M38)))</f>
        <v>326633.17927297764</v>
      </c>
      <c r="O38" s="229">
        <f ca="1">IF(-O26&lt;Total_Equity_Facility, 'Cashflow Dynamic'!O22, (Total_Equity_Facility-SUM('Cashflow Dynamic'!$F$38:N38)))</f>
        <v>0</v>
      </c>
      <c r="P38" s="229">
        <f ca="1">IF(-P26&lt;Total_Equity_Facility, 'Cashflow Dynamic'!P22, (Total_Equity_Facility-SUM('Cashflow Dynamic'!$F$38:O38)))</f>
        <v>0</v>
      </c>
      <c r="Q38" s="229">
        <f ca="1">IF(-Q26&lt;Total_Equity_Facility, 'Cashflow Dynamic'!Q22, (Total_Equity_Facility-SUM('Cashflow Dynamic'!$F$38:P38)))</f>
        <v>0</v>
      </c>
      <c r="R38" s="229">
        <f ca="1">IF(-R26&lt;Total_Equity_Facility, 'Cashflow Dynamic'!R22, (Total_Equity_Facility-SUM('Cashflow Dynamic'!$F$38:Q38)))</f>
        <v>0</v>
      </c>
      <c r="S38" s="229">
        <f ca="1">IF(-S26&lt;Total_Equity_Facility, 'Cashflow Dynamic'!S22, (Total_Equity_Facility-SUM('Cashflow Dynamic'!$F$38:R38)))</f>
        <v>0</v>
      </c>
      <c r="T38" s="229">
        <f ca="1">IF(-T26&lt;Total_Equity_Facility, 'Cashflow Dynamic'!T22, (Total_Equity_Facility-SUM('Cashflow Dynamic'!$F$38:S38)))</f>
        <v>0</v>
      </c>
      <c r="U38" s="229">
        <f ca="1">IF(-U26&lt;Total_Equity_Facility, 'Cashflow Dynamic'!U22, (Total_Equity_Facility-SUM('Cashflow Dynamic'!$F$38:T38)))</f>
        <v>0</v>
      </c>
      <c r="V38" s="229">
        <f ca="1">IF(-V26&lt;Total_Equity_Facility, 'Cashflow Dynamic'!V22, (Total_Equity_Facility-SUM('Cashflow Dynamic'!$F$38:U38)))</f>
        <v>0</v>
      </c>
      <c r="W38" s="229">
        <f ca="1">IF(-W26&lt;Total_Equity_Facility, 'Cashflow Dynamic'!W22, (Total_Equity_Facility-SUM('Cashflow Dynamic'!$F$38:V38)))</f>
        <v>0</v>
      </c>
      <c r="X38" s="229">
        <f ca="1">IF(-X26&lt;Total_Equity_Facility, 'Cashflow Dynamic'!X22, (Total_Equity_Facility-SUM('Cashflow Dynamic'!$F$38:W38)))</f>
        <v>0</v>
      </c>
      <c r="Y38" s="229">
        <f ca="1">IF(-Y26&lt;Total_Equity_Facility, 'Cashflow Dynamic'!Y22, (Total_Equity_Facility-SUM('Cashflow Dynamic'!$F$38:X38)))</f>
        <v>0</v>
      </c>
      <c r="Z38" s="229">
        <f ca="1">IF(-Z26&lt;Total_Equity_Facility, 'Cashflow Dynamic'!Z22, (Total_Equity_Facility-SUM('Cashflow Dynamic'!$F$38:Y38)))</f>
        <v>0</v>
      </c>
      <c r="AA38" s="229">
        <f ca="1">IF(-AA26&lt;Total_Equity_Facility, 'Cashflow Dynamic'!AA22, (Total_Equity_Facility-SUM('Cashflow Dynamic'!$F$38:Z38)))</f>
        <v>0</v>
      </c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29"/>
      <c r="AM38" s="229"/>
      <c r="AN38" s="229"/>
      <c r="AO38" s="229"/>
      <c r="AP38" s="229"/>
      <c r="AQ38" s="229"/>
      <c r="AR38" s="229"/>
      <c r="AS38" s="229"/>
      <c r="AT38" s="229"/>
      <c r="AU38" s="229"/>
      <c r="AV38" s="229"/>
      <c r="AW38" s="229"/>
      <c r="AX38" s="229"/>
      <c r="AY38" s="229"/>
      <c r="AZ38" s="229"/>
      <c r="BA38" s="229"/>
      <c r="BB38" s="229"/>
      <c r="BC38" s="229"/>
      <c r="BD38" s="229"/>
      <c r="BE38" s="229"/>
      <c r="BF38" s="229"/>
      <c r="BG38" s="229"/>
      <c r="BH38" s="229"/>
      <c r="BI38" s="229"/>
      <c r="BJ38" s="229"/>
      <c r="BK38" s="229"/>
      <c r="BL38" s="229"/>
      <c r="BM38" s="229"/>
      <c r="BN38" s="229"/>
      <c r="BO38" s="229"/>
      <c r="BP38" s="229"/>
    </row>
    <row r="39" spans="1:68" s="357" customFormat="1" x14ac:dyDescent="0.2">
      <c r="A39" s="359" t="s">
        <v>75</v>
      </c>
      <c r="B39" s="228"/>
      <c r="C39" s="229"/>
      <c r="D39" s="229"/>
      <c r="E39" s="228"/>
      <c r="F39" s="229"/>
      <c r="G39" s="229">
        <f t="shared" ref="G39:AL39" si="132">-(G11+G52)</f>
        <v>0</v>
      </c>
      <c r="H39" s="229">
        <f t="shared" si="132"/>
        <v>0</v>
      </c>
      <c r="I39" s="229">
        <f t="shared" si="132"/>
        <v>0</v>
      </c>
      <c r="J39" s="229">
        <f t="shared" si="132"/>
        <v>0</v>
      </c>
      <c r="K39" s="229">
        <f t="shared" si="132"/>
        <v>0</v>
      </c>
      <c r="L39" s="229">
        <f t="shared" si="132"/>
        <v>0</v>
      </c>
      <c r="M39" s="229">
        <f t="shared" si="132"/>
        <v>0</v>
      </c>
      <c r="N39" s="229">
        <f t="shared" si="132"/>
        <v>0</v>
      </c>
      <c r="O39" s="229">
        <f t="shared" si="132"/>
        <v>0</v>
      </c>
      <c r="P39" s="229">
        <f t="shared" si="132"/>
        <v>0</v>
      </c>
      <c r="Q39" s="229">
        <f t="shared" si="132"/>
        <v>0</v>
      </c>
      <c r="R39" s="229">
        <f t="shared" si="132"/>
        <v>0</v>
      </c>
      <c r="S39" s="229">
        <f t="shared" si="132"/>
        <v>0</v>
      </c>
      <c r="T39" s="229">
        <f t="shared" si="132"/>
        <v>0</v>
      </c>
      <c r="U39" s="229">
        <f t="shared" si="132"/>
        <v>0</v>
      </c>
      <c r="V39" s="229">
        <f t="shared" si="132"/>
        <v>0</v>
      </c>
      <c r="W39" s="229">
        <f t="shared" si="132"/>
        <v>0</v>
      </c>
      <c r="X39" s="229">
        <f t="shared" si="132"/>
        <v>0</v>
      </c>
      <c r="Y39" s="229">
        <f t="shared" si="132"/>
        <v>0</v>
      </c>
      <c r="Z39" s="229">
        <f t="shared" si="132"/>
        <v>0</v>
      </c>
      <c r="AA39" s="229">
        <f t="shared" si="132"/>
        <v>0</v>
      </c>
      <c r="AB39" s="229">
        <f t="shared" ca="1" si="132"/>
        <v>0</v>
      </c>
      <c r="AC39" s="229">
        <f t="shared" ca="1" si="132"/>
        <v>0</v>
      </c>
      <c r="AD39" s="229">
        <f t="shared" ca="1" si="132"/>
        <v>0</v>
      </c>
      <c r="AE39" s="229">
        <f t="shared" ca="1" si="132"/>
        <v>0</v>
      </c>
      <c r="AF39" s="229">
        <f t="shared" ca="1" si="132"/>
        <v>0</v>
      </c>
      <c r="AG39" s="229">
        <f t="shared" ca="1" si="132"/>
        <v>0</v>
      </c>
      <c r="AH39" s="229">
        <f t="shared" ca="1" si="132"/>
        <v>0</v>
      </c>
      <c r="AI39" s="229">
        <f t="shared" ca="1" si="132"/>
        <v>0</v>
      </c>
      <c r="AJ39" s="229">
        <f t="shared" ca="1" si="132"/>
        <v>0</v>
      </c>
      <c r="AK39" s="229">
        <f t="shared" ca="1" si="132"/>
        <v>0</v>
      </c>
      <c r="AL39" s="229">
        <f t="shared" ca="1" si="132"/>
        <v>0</v>
      </c>
      <c r="AM39" s="229">
        <f t="shared" ref="AM39:BP39" ca="1" si="133">-(AM11+AM52)</f>
        <v>0</v>
      </c>
      <c r="AN39" s="229">
        <f t="shared" ca="1" si="133"/>
        <v>0</v>
      </c>
      <c r="AO39" s="229">
        <f t="shared" ca="1" si="133"/>
        <v>0</v>
      </c>
      <c r="AP39" s="229">
        <f t="shared" ca="1" si="133"/>
        <v>0</v>
      </c>
      <c r="AQ39" s="229">
        <f t="shared" ca="1" si="133"/>
        <v>0</v>
      </c>
      <c r="AR39" s="229">
        <f t="shared" ca="1" si="133"/>
        <v>0</v>
      </c>
      <c r="AS39" s="229">
        <f t="shared" ca="1" si="133"/>
        <v>0</v>
      </c>
      <c r="AT39" s="229">
        <f t="shared" ca="1" si="133"/>
        <v>0</v>
      </c>
      <c r="AU39" s="229">
        <f t="shared" ca="1" si="133"/>
        <v>0</v>
      </c>
      <c r="AV39" s="229">
        <f t="shared" ca="1" si="133"/>
        <v>0</v>
      </c>
      <c r="AW39" s="229">
        <f t="shared" ca="1" si="133"/>
        <v>0</v>
      </c>
      <c r="AX39" s="229">
        <f t="shared" ca="1" si="133"/>
        <v>0</v>
      </c>
      <c r="AY39" s="229">
        <f t="shared" ca="1" si="133"/>
        <v>0</v>
      </c>
      <c r="AZ39" s="229">
        <f t="shared" ca="1" si="133"/>
        <v>0</v>
      </c>
      <c r="BA39" s="229">
        <f t="shared" ca="1" si="133"/>
        <v>0</v>
      </c>
      <c r="BB39" s="229">
        <f t="shared" ca="1" si="133"/>
        <v>0</v>
      </c>
      <c r="BC39" s="229">
        <f t="shared" ca="1" si="133"/>
        <v>0</v>
      </c>
      <c r="BD39" s="229">
        <f t="shared" ca="1" si="133"/>
        <v>0</v>
      </c>
      <c r="BE39" s="229">
        <f t="shared" ca="1" si="133"/>
        <v>0</v>
      </c>
      <c r="BF39" s="229">
        <f t="shared" ca="1" si="133"/>
        <v>0</v>
      </c>
      <c r="BG39" s="229">
        <f t="shared" ca="1" si="133"/>
        <v>0</v>
      </c>
      <c r="BH39" s="229">
        <f t="shared" ca="1" si="133"/>
        <v>0</v>
      </c>
      <c r="BI39" s="229">
        <f t="shared" ca="1" si="133"/>
        <v>0</v>
      </c>
      <c r="BJ39" s="229">
        <f t="shared" ca="1" si="133"/>
        <v>0</v>
      </c>
      <c r="BK39" s="229">
        <f t="shared" ca="1" si="133"/>
        <v>-17964440.3801804</v>
      </c>
      <c r="BL39" s="229">
        <f t="shared" ca="1" si="133"/>
        <v>0</v>
      </c>
      <c r="BM39" s="229">
        <f t="shared" si="133"/>
        <v>0</v>
      </c>
      <c r="BN39" s="229">
        <f t="shared" si="133"/>
        <v>0</v>
      </c>
      <c r="BO39" s="229">
        <f t="shared" si="133"/>
        <v>0</v>
      </c>
      <c r="BP39" s="229">
        <f t="shared" si="133"/>
        <v>0</v>
      </c>
    </row>
    <row r="40" spans="1:68" s="357" customFormat="1" x14ac:dyDescent="0.2">
      <c r="A40" s="368" t="s">
        <v>76</v>
      </c>
      <c r="B40" s="231"/>
      <c r="C40" s="230"/>
      <c r="D40" s="230"/>
      <c r="E40" s="231"/>
      <c r="F40" s="230">
        <f ca="1">SUM(F37:F39)</f>
        <v>2679350.9545454541</v>
      </c>
      <c r="G40" s="230">
        <f t="shared" ref="G40:AC40" ca="1" si="134">SUM(G37:G39)</f>
        <v>3762701.9090909082</v>
      </c>
      <c r="H40" s="230">
        <f t="shared" ca="1" si="134"/>
        <v>4846052.8636363624</v>
      </c>
      <c r="I40" s="230">
        <f t="shared" ca="1" si="134"/>
        <v>5929403.8181818165</v>
      </c>
      <c r="J40" s="230">
        <f t="shared" ca="1" si="134"/>
        <v>7012754.7727272706</v>
      </c>
      <c r="K40" s="230">
        <f t="shared" ca="1" si="134"/>
        <v>8096105.7272727247</v>
      </c>
      <c r="L40" s="230">
        <f t="shared" ca="1" si="134"/>
        <v>9179456.6818181798</v>
      </c>
      <c r="M40" s="230">
        <f t="shared" ca="1" si="134"/>
        <v>10262807.636363635</v>
      </c>
      <c r="N40" s="230">
        <f t="shared" ca="1" si="134"/>
        <v>10589440.815636612</v>
      </c>
      <c r="O40" s="230">
        <f t="shared" ca="1" si="134"/>
        <v>10589440.815636612</v>
      </c>
      <c r="P40" s="231">
        <f t="shared" ca="1" si="134"/>
        <v>10589440.815636612</v>
      </c>
      <c r="Q40" s="230">
        <f t="shared" ca="1" si="134"/>
        <v>10589440.815636612</v>
      </c>
      <c r="R40" s="230">
        <f t="shared" ca="1" si="134"/>
        <v>10589440.815636612</v>
      </c>
      <c r="S40" s="230">
        <f t="shared" ca="1" si="134"/>
        <v>10589440.815636612</v>
      </c>
      <c r="T40" s="230">
        <f t="shared" ca="1" si="134"/>
        <v>10589440.815636612</v>
      </c>
      <c r="U40" s="230">
        <f t="shared" ca="1" si="134"/>
        <v>10589440.815636612</v>
      </c>
      <c r="V40" s="230">
        <f t="shared" ca="1" si="134"/>
        <v>10589440.815636612</v>
      </c>
      <c r="W40" s="230">
        <f t="shared" ca="1" si="134"/>
        <v>10589440.815636612</v>
      </c>
      <c r="X40" s="230">
        <f t="shared" ca="1" si="134"/>
        <v>10589440.815636612</v>
      </c>
      <c r="Y40" s="230">
        <f t="shared" ca="1" si="134"/>
        <v>10589440.815636612</v>
      </c>
      <c r="Z40" s="230">
        <f t="shared" ca="1" si="134"/>
        <v>10589440.815636612</v>
      </c>
      <c r="AA40" s="230">
        <f t="shared" ca="1" si="134"/>
        <v>10589440.815636612</v>
      </c>
      <c r="AB40" s="230">
        <f t="shared" ca="1" si="134"/>
        <v>10589440.815636612</v>
      </c>
      <c r="AC40" s="230">
        <f t="shared" ca="1" si="134"/>
        <v>10589440.815636612</v>
      </c>
      <c r="AD40" s="230">
        <f t="shared" ref="AD40:BP40" ca="1" si="135">SUM(AD37:AD39)</f>
        <v>10589440.815636612</v>
      </c>
      <c r="AE40" s="230">
        <f t="shared" ca="1" si="135"/>
        <v>10589440.815636612</v>
      </c>
      <c r="AF40" s="230">
        <f t="shared" ca="1" si="135"/>
        <v>10589440.815636612</v>
      </c>
      <c r="AG40" s="230">
        <f t="shared" ca="1" si="135"/>
        <v>10589440.815636612</v>
      </c>
      <c r="AH40" s="230">
        <f t="shared" ca="1" si="135"/>
        <v>10589440.815636612</v>
      </c>
      <c r="AI40" s="230">
        <f t="shared" ca="1" si="135"/>
        <v>10589440.815636612</v>
      </c>
      <c r="AJ40" s="230">
        <f t="shared" ca="1" si="135"/>
        <v>10589440.815636612</v>
      </c>
      <c r="AK40" s="230">
        <f t="shared" ca="1" si="135"/>
        <v>10589440.815636612</v>
      </c>
      <c r="AL40" s="230">
        <f t="shared" ca="1" si="135"/>
        <v>10589440.815636612</v>
      </c>
      <c r="AM40" s="230">
        <f t="shared" ca="1" si="135"/>
        <v>10589440.815636612</v>
      </c>
      <c r="AN40" s="230">
        <f t="shared" ca="1" si="135"/>
        <v>10589440.815636612</v>
      </c>
      <c r="AO40" s="230">
        <f t="shared" ca="1" si="135"/>
        <v>10589440.815636612</v>
      </c>
      <c r="AP40" s="230">
        <f t="shared" ca="1" si="135"/>
        <v>10589440.815636612</v>
      </c>
      <c r="AQ40" s="230">
        <f t="shared" ca="1" si="135"/>
        <v>10589440.815636612</v>
      </c>
      <c r="AR40" s="230">
        <f t="shared" ca="1" si="135"/>
        <v>10589440.815636612</v>
      </c>
      <c r="AS40" s="230">
        <f t="shared" ca="1" si="135"/>
        <v>10589440.815636612</v>
      </c>
      <c r="AT40" s="230">
        <f t="shared" ca="1" si="135"/>
        <v>10589440.815636612</v>
      </c>
      <c r="AU40" s="230">
        <f t="shared" ca="1" si="135"/>
        <v>10589440.815636612</v>
      </c>
      <c r="AV40" s="230">
        <f t="shared" ca="1" si="135"/>
        <v>10589440.815636612</v>
      </c>
      <c r="AW40" s="230">
        <f t="shared" ca="1" si="135"/>
        <v>10589440.815636612</v>
      </c>
      <c r="AX40" s="230">
        <f t="shared" ca="1" si="135"/>
        <v>10589440.815636612</v>
      </c>
      <c r="AY40" s="230">
        <f t="shared" ca="1" si="135"/>
        <v>10589440.815636612</v>
      </c>
      <c r="AZ40" s="230">
        <f t="shared" ca="1" si="135"/>
        <v>10589440.815636612</v>
      </c>
      <c r="BA40" s="230">
        <f t="shared" ca="1" si="135"/>
        <v>10589440.815636612</v>
      </c>
      <c r="BB40" s="230">
        <f t="shared" ca="1" si="135"/>
        <v>10589440.815636612</v>
      </c>
      <c r="BC40" s="230">
        <f t="shared" ca="1" si="135"/>
        <v>10589440.815636612</v>
      </c>
      <c r="BD40" s="230">
        <f t="shared" ca="1" si="135"/>
        <v>10589440.815636612</v>
      </c>
      <c r="BE40" s="230">
        <f t="shared" ca="1" si="135"/>
        <v>10589440.815636612</v>
      </c>
      <c r="BF40" s="230">
        <f t="shared" ca="1" si="135"/>
        <v>10589440.815636612</v>
      </c>
      <c r="BG40" s="230">
        <f t="shared" ca="1" si="135"/>
        <v>10589440.815636612</v>
      </c>
      <c r="BH40" s="230">
        <f t="shared" ca="1" si="135"/>
        <v>10589440.815636612</v>
      </c>
      <c r="BI40" s="230">
        <f t="shared" ca="1" si="135"/>
        <v>10589440.815636612</v>
      </c>
      <c r="BJ40" s="230">
        <f t="shared" ca="1" si="135"/>
        <v>10589440.815636612</v>
      </c>
      <c r="BK40" s="230">
        <f t="shared" ca="1" si="135"/>
        <v>-7374999.5645437874</v>
      </c>
      <c r="BL40" s="230">
        <f t="shared" ca="1" si="135"/>
        <v>-7374999.5645437855</v>
      </c>
      <c r="BM40" s="230">
        <f t="shared" ca="1" si="135"/>
        <v>-7374999.5645437893</v>
      </c>
      <c r="BN40" s="230">
        <f t="shared" ca="1" si="135"/>
        <v>-7374999.5645437874</v>
      </c>
      <c r="BO40" s="230">
        <f t="shared" ca="1" si="135"/>
        <v>-7374999.5645437855</v>
      </c>
      <c r="BP40" s="230">
        <f t="shared" ca="1" si="135"/>
        <v>-7374999.5645437874</v>
      </c>
    </row>
    <row r="41" spans="1:68" s="357" customFormat="1" x14ac:dyDescent="0.2">
      <c r="A41" s="359"/>
      <c r="B41" s="228"/>
      <c r="C41" s="229"/>
      <c r="D41" s="229"/>
      <c r="E41" s="228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8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29"/>
      <c r="AM41" s="229"/>
      <c r="AN41" s="229"/>
      <c r="AO41" s="229"/>
      <c r="AP41" s="229"/>
      <c r="AQ41" s="229"/>
      <c r="AR41" s="229"/>
      <c r="AS41" s="229"/>
      <c r="AT41" s="229"/>
      <c r="AU41" s="229"/>
      <c r="AV41" s="229"/>
      <c r="AW41" s="229"/>
      <c r="AX41" s="229"/>
      <c r="AY41" s="229"/>
      <c r="AZ41" s="229"/>
      <c r="BA41" s="229"/>
      <c r="BB41" s="229"/>
      <c r="BC41" s="229"/>
      <c r="BD41" s="229"/>
      <c r="BE41" s="229"/>
      <c r="BF41" s="229"/>
      <c r="BG41" s="229"/>
      <c r="BH41" s="229"/>
      <c r="BI41" s="229"/>
      <c r="BJ41" s="229"/>
      <c r="BK41" s="229"/>
      <c r="BL41" s="229"/>
      <c r="BM41" s="229"/>
      <c r="BN41" s="229"/>
      <c r="BO41" s="229"/>
      <c r="BP41" s="229"/>
    </row>
    <row r="42" spans="1:68" s="357" customFormat="1" x14ac:dyDescent="0.2">
      <c r="A42" s="359" t="s">
        <v>77</v>
      </c>
      <c r="B42" s="228"/>
      <c r="C42" s="229">
        <f ca="1">SUM(F42:XFD42)</f>
        <v>7374999.5645437874</v>
      </c>
      <c r="D42" s="229"/>
      <c r="E42" s="228"/>
      <c r="F42" s="229">
        <f ca="1">-F38-F39</f>
        <v>-2679350.9545454541</v>
      </c>
      <c r="G42" s="229">
        <f t="shared" ref="G42:AC42" ca="1" si="136">-G38-G39</f>
        <v>-1083350.9545454544</v>
      </c>
      <c r="H42" s="229">
        <f t="shared" ca="1" si="136"/>
        <v>-1083350.9545454544</v>
      </c>
      <c r="I42" s="229">
        <f t="shared" ca="1" si="136"/>
        <v>-1083350.9545454544</v>
      </c>
      <c r="J42" s="229">
        <f t="shared" ca="1" si="136"/>
        <v>-1083350.9545454544</v>
      </c>
      <c r="K42" s="229">
        <f t="shared" ca="1" si="136"/>
        <v>-1083350.9545454544</v>
      </c>
      <c r="L42" s="229">
        <f t="shared" ca="1" si="136"/>
        <v>-1083350.9545454544</v>
      </c>
      <c r="M42" s="229">
        <f t="shared" ca="1" si="136"/>
        <v>-1083350.9545454544</v>
      </c>
      <c r="N42" s="229">
        <f t="shared" ca="1" si="136"/>
        <v>-326633.17927297764</v>
      </c>
      <c r="O42" s="229">
        <f t="shared" ca="1" si="136"/>
        <v>0</v>
      </c>
      <c r="P42" s="228">
        <f t="shared" ca="1" si="136"/>
        <v>0</v>
      </c>
      <c r="Q42" s="229">
        <f t="shared" ca="1" si="136"/>
        <v>0</v>
      </c>
      <c r="R42" s="229">
        <f t="shared" ca="1" si="136"/>
        <v>0</v>
      </c>
      <c r="S42" s="229">
        <f t="shared" ca="1" si="136"/>
        <v>0</v>
      </c>
      <c r="T42" s="229">
        <f t="shared" ca="1" si="136"/>
        <v>0</v>
      </c>
      <c r="U42" s="229">
        <f t="shared" ca="1" si="136"/>
        <v>0</v>
      </c>
      <c r="V42" s="229">
        <f t="shared" ca="1" si="136"/>
        <v>0</v>
      </c>
      <c r="W42" s="229">
        <f t="shared" ca="1" si="136"/>
        <v>0</v>
      </c>
      <c r="X42" s="229">
        <f t="shared" ca="1" si="136"/>
        <v>0</v>
      </c>
      <c r="Y42" s="229">
        <f t="shared" ca="1" si="136"/>
        <v>0</v>
      </c>
      <c r="Z42" s="229">
        <f t="shared" ca="1" si="136"/>
        <v>0</v>
      </c>
      <c r="AA42" s="229">
        <f t="shared" ca="1" si="136"/>
        <v>0</v>
      </c>
      <c r="AB42" s="229">
        <f t="shared" ca="1" si="136"/>
        <v>0</v>
      </c>
      <c r="AC42" s="229">
        <f t="shared" ca="1" si="136"/>
        <v>0</v>
      </c>
      <c r="AD42" s="229">
        <f t="shared" ref="AD42:BP42" ca="1" si="137">-AD38-AD39</f>
        <v>0</v>
      </c>
      <c r="AE42" s="229">
        <f t="shared" ca="1" si="137"/>
        <v>0</v>
      </c>
      <c r="AF42" s="229">
        <f t="shared" ca="1" si="137"/>
        <v>0</v>
      </c>
      <c r="AG42" s="229">
        <f t="shared" ca="1" si="137"/>
        <v>0</v>
      </c>
      <c r="AH42" s="229">
        <f t="shared" ca="1" si="137"/>
        <v>0</v>
      </c>
      <c r="AI42" s="229">
        <f t="shared" ca="1" si="137"/>
        <v>0</v>
      </c>
      <c r="AJ42" s="229">
        <f t="shared" ca="1" si="137"/>
        <v>0</v>
      </c>
      <c r="AK42" s="229">
        <f t="shared" ca="1" si="137"/>
        <v>0</v>
      </c>
      <c r="AL42" s="229">
        <f t="shared" ca="1" si="137"/>
        <v>0</v>
      </c>
      <c r="AM42" s="229">
        <f t="shared" ca="1" si="137"/>
        <v>0</v>
      </c>
      <c r="AN42" s="229">
        <f t="shared" ca="1" si="137"/>
        <v>0</v>
      </c>
      <c r="AO42" s="229">
        <f t="shared" ca="1" si="137"/>
        <v>0</v>
      </c>
      <c r="AP42" s="229">
        <f t="shared" ca="1" si="137"/>
        <v>0</v>
      </c>
      <c r="AQ42" s="229">
        <f t="shared" ca="1" si="137"/>
        <v>0</v>
      </c>
      <c r="AR42" s="229">
        <f t="shared" ca="1" si="137"/>
        <v>0</v>
      </c>
      <c r="AS42" s="229">
        <f t="shared" ca="1" si="137"/>
        <v>0</v>
      </c>
      <c r="AT42" s="229">
        <f t="shared" ca="1" si="137"/>
        <v>0</v>
      </c>
      <c r="AU42" s="229">
        <f t="shared" ca="1" si="137"/>
        <v>0</v>
      </c>
      <c r="AV42" s="229">
        <f t="shared" ca="1" si="137"/>
        <v>0</v>
      </c>
      <c r="AW42" s="229">
        <f t="shared" ca="1" si="137"/>
        <v>0</v>
      </c>
      <c r="AX42" s="229">
        <f t="shared" ca="1" si="137"/>
        <v>0</v>
      </c>
      <c r="AY42" s="229">
        <f t="shared" ca="1" si="137"/>
        <v>0</v>
      </c>
      <c r="AZ42" s="229">
        <f t="shared" ca="1" si="137"/>
        <v>0</v>
      </c>
      <c r="BA42" s="229">
        <f t="shared" ca="1" si="137"/>
        <v>0</v>
      </c>
      <c r="BB42" s="229">
        <f t="shared" ca="1" si="137"/>
        <v>0</v>
      </c>
      <c r="BC42" s="229">
        <f t="shared" ca="1" si="137"/>
        <v>0</v>
      </c>
      <c r="BD42" s="229">
        <f t="shared" ca="1" si="137"/>
        <v>0</v>
      </c>
      <c r="BE42" s="229">
        <f t="shared" ca="1" si="137"/>
        <v>0</v>
      </c>
      <c r="BF42" s="229">
        <f t="shared" ca="1" si="137"/>
        <v>0</v>
      </c>
      <c r="BG42" s="229">
        <f t="shared" ca="1" si="137"/>
        <v>0</v>
      </c>
      <c r="BH42" s="229">
        <f t="shared" ca="1" si="137"/>
        <v>0</v>
      </c>
      <c r="BI42" s="229">
        <f t="shared" ca="1" si="137"/>
        <v>0</v>
      </c>
      <c r="BJ42" s="229">
        <f t="shared" ca="1" si="137"/>
        <v>0</v>
      </c>
      <c r="BK42" s="229">
        <f t="shared" ca="1" si="137"/>
        <v>17964440.3801804</v>
      </c>
      <c r="BL42" s="229">
        <f t="shared" ca="1" si="137"/>
        <v>0</v>
      </c>
      <c r="BM42" s="229">
        <f t="shared" si="137"/>
        <v>0</v>
      </c>
      <c r="BN42" s="229">
        <f t="shared" si="137"/>
        <v>0</v>
      </c>
      <c r="BO42" s="229">
        <f t="shared" si="137"/>
        <v>0</v>
      </c>
      <c r="BP42" s="229">
        <f t="shared" si="137"/>
        <v>0</v>
      </c>
    </row>
    <row r="43" spans="1:68" s="357" customFormat="1" x14ac:dyDescent="0.2">
      <c r="A43" s="359" t="s">
        <v>78</v>
      </c>
      <c r="B43" s="232">
        <f ca="1">XIRR(F42:BL42, F4:BL4)</f>
        <v>0.12473848462104797</v>
      </c>
      <c r="C43" s="229"/>
      <c r="D43" s="229"/>
      <c r="E43" s="228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8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29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229"/>
      <c r="AU43" s="229"/>
      <c r="AV43" s="229"/>
      <c r="AW43" s="229"/>
      <c r="AX43" s="229"/>
      <c r="AY43" s="229"/>
      <c r="AZ43" s="229"/>
      <c r="BA43" s="229"/>
      <c r="BB43" s="229"/>
      <c r="BC43" s="229"/>
      <c r="BD43" s="229"/>
      <c r="BE43" s="229"/>
      <c r="BF43" s="229"/>
      <c r="BG43" s="229"/>
      <c r="BH43" s="229"/>
      <c r="BI43" s="229"/>
      <c r="BJ43" s="229"/>
      <c r="BK43" s="229"/>
      <c r="BL43" s="229"/>
      <c r="BM43" s="229"/>
      <c r="BN43" s="229"/>
      <c r="BO43" s="229"/>
      <c r="BP43" s="229"/>
    </row>
    <row r="44" spans="1:68" s="357" customFormat="1" x14ac:dyDescent="0.2">
      <c r="A44" s="359"/>
      <c r="B44" s="228"/>
      <c r="C44" s="229"/>
      <c r="D44" s="229"/>
      <c r="E44" s="228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8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29"/>
      <c r="AJ44" s="229"/>
      <c r="AK44" s="229"/>
      <c r="AL44" s="229"/>
      <c r="AM44" s="229"/>
      <c r="AN44" s="229"/>
      <c r="AO44" s="229"/>
      <c r="AP44" s="229"/>
      <c r="AQ44" s="229"/>
      <c r="AR44" s="229"/>
      <c r="AS44" s="229"/>
      <c r="AT44" s="229"/>
      <c r="AU44" s="229"/>
      <c r="AV44" s="229"/>
      <c r="AW44" s="229"/>
      <c r="AX44" s="229"/>
      <c r="AY44" s="229"/>
      <c r="AZ44" s="229"/>
      <c r="BA44" s="229"/>
      <c r="BB44" s="229"/>
      <c r="BC44" s="229"/>
      <c r="BD44" s="229"/>
      <c r="BE44" s="229"/>
      <c r="BF44" s="229"/>
      <c r="BG44" s="229"/>
      <c r="BH44" s="229"/>
      <c r="BI44" s="229"/>
      <c r="BJ44" s="229"/>
      <c r="BK44" s="229"/>
      <c r="BL44" s="229"/>
      <c r="BM44" s="229"/>
      <c r="BN44" s="229"/>
      <c r="BO44" s="229"/>
      <c r="BP44" s="229"/>
    </row>
    <row r="45" spans="1:68" s="357" customFormat="1" x14ac:dyDescent="0.2">
      <c r="A45" s="359"/>
      <c r="B45" s="228"/>
      <c r="C45" s="229"/>
      <c r="D45" s="229"/>
      <c r="E45" s="228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8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29"/>
      <c r="AJ45" s="229"/>
      <c r="AK45" s="229"/>
      <c r="AL45" s="229"/>
      <c r="AM45" s="229"/>
      <c r="AN45" s="229"/>
      <c r="AO45" s="229"/>
      <c r="AP45" s="229"/>
      <c r="AQ45" s="229"/>
      <c r="AR45" s="229"/>
      <c r="AS45" s="229"/>
      <c r="AT45" s="229"/>
      <c r="AU45" s="229"/>
      <c r="AV45" s="229"/>
      <c r="AW45" s="229"/>
      <c r="AX45" s="229"/>
      <c r="AY45" s="229"/>
      <c r="AZ45" s="229"/>
      <c r="BA45" s="229"/>
      <c r="BB45" s="229"/>
      <c r="BC45" s="229"/>
      <c r="BD45" s="229"/>
      <c r="BE45" s="229"/>
      <c r="BF45" s="229"/>
      <c r="BG45" s="229"/>
      <c r="BH45" s="229"/>
      <c r="BI45" s="229"/>
      <c r="BJ45" s="229"/>
      <c r="BK45" s="229"/>
      <c r="BL45" s="229"/>
      <c r="BM45" s="229"/>
      <c r="BN45" s="229"/>
      <c r="BO45" s="229"/>
      <c r="BP45" s="229"/>
    </row>
    <row r="46" spans="1:68" s="357" customFormat="1" x14ac:dyDescent="0.2">
      <c r="A46" s="369" t="s">
        <v>79</v>
      </c>
      <c r="B46" s="370"/>
      <c r="C46" s="371"/>
      <c r="D46" s="371"/>
      <c r="E46" s="370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0"/>
      <c r="Q46" s="371"/>
      <c r="R46" s="371"/>
      <c r="S46" s="371"/>
      <c r="T46" s="371"/>
      <c r="U46" s="371"/>
      <c r="V46" s="371"/>
      <c r="W46" s="371"/>
      <c r="X46" s="371"/>
      <c r="Y46" s="371"/>
      <c r="Z46" s="371"/>
      <c r="AA46" s="371"/>
      <c r="AB46" s="371"/>
      <c r="AC46" s="371"/>
      <c r="AD46" s="371"/>
      <c r="AE46" s="371"/>
      <c r="AF46" s="371"/>
      <c r="AG46" s="371"/>
      <c r="AH46" s="371"/>
      <c r="AI46" s="371"/>
      <c r="AJ46" s="371"/>
      <c r="AK46" s="371"/>
      <c r="AL46" s="371"/>
      <c r="AM46" s="371"/>
      <c r="AN46" s="371"/>
      <c r="AO46" s="371"/>
      <c r="AP46" s="371"/>
      <c r="AQ46" s="371"/>
      <c r="AR46" s="371"/>
      <c r="AS46" s="371"/>
      <c r="AT46" s="371"/>
      <c r="AU46" s="371"/>
      <c r="AV46" s="371"/>
      <c r="AW46" s="371"/>
      <c r="AX46" s="371"/>
      <c r="AY46" s="371"/>
      <c r="AZ46" s="371"/>
      <c r="BA46" s="371"/>
      <c r="BB46" s="371"/>
      <c r="BC46" s="371"/>
      <c r="BD46" s="371"/>
      <c r="BE46" s="371"/>
      <c r="BF46" s="371"/>
      <c r="BG46" s="371"/>
      <c r="BH46" s="371"/>
      <c r="BI46" s="371"/>
      <c r="BJ46" s="371"/>
      <c r="BK46" s="371"/>
      <c r="BL46" s="371"/>
      <c r="BM46" s="371"/>
      <c r="BN46" s="371"/>
      <c r="BO46" s="371"/>
      <c r="BP46" s="371"/>
    </row>
    <row r="47" spans="1:68" s="357" customFormat="1" x14ac:dyDescent="0.2">
      <c r="A47" s="359" t="s">
        <v>73</v>
      </c>
      <c r="B47" s="228"/>
      <c r="C47" s="229"/>
      <c r="D47" s="229"/>
      <c r="E47" s="228"/>
      <c r="F47" s="229"/>
      <c r="G47" s="229">
        <f ca="1">F53</f>
        <v>238262.41835182378</v>
      </c>
      <c r="H47" s="229">
        <f t="shared" ref="H47:V47" ca="1" si="138">G53</f>
        <v>255783.40975066827</v>
      </c>
      <c r="I47" s="229">
        <f t="shared" ca="1" si="138"/>
        <v>271652.50380842807</v>
      </c>
      <c r="J47" s="229">
        <f t="shared" ca="1" si="138"/>
        <v>289265.66099110141</v>
      </c>
      <c r="K47" s="229">
        <f t="shared" ca="1" si="138"/>
        <v>306357.70065757242</v>
      </c>
      <c r="L47" s="229">
        <f t="shared" ca="1" si="138"/>
        <v>324066.65369182255</v>
      </c>
      <c r="M47" s="229">
        <f t="shared" ca="1" si="138"/>
        <v>341251.65491413797</v>
      </c>
      <c r="N47" s="229">
        <f t="shared" ca="1" si="138"/>
        <v>359056.92482212366</v>
      </c>
      <c r="O47" s="229">
        <f t="shared" ca="1" si="138"/>
        <v>1133629.1174256883</v>
      </c>
      <c r="P47" s="228">
        <f t="shared" ca="1" si="138"/>
        <v>2236327.6030623359</v>
      </c>
      <c r="Q47" s="229">
        <f t="shared" ca="1" si="138"/>
        <v>3342714.7563315551</v>
      </c>
      <c r="R47" s="229">
        <f t="shared" ca="1" si="138"/>
        <v>4451314.2241543215</v>
      </c>
      <c r="S47" s="229">
        <f t="shared" ca="1" si="138"/>
        <v>5563815.3473434029</v>
      </c>
      <c r="T47" s="229">
        <f t="shared" ca="1" si="138"/>
        <v>6679387.2784273149</v>
      </c>
      <c r="U47" s="229">
        <f t="shared" ca="1" si="138"/>
        <v>7794622.3394154487</v>
      </c>
      <c r="V47" s="229">
        <f t="shared" ca="1" si="138"/>
        <v>8916351.9089774769</v>
      </c>
      <c r="W47" s="229">
        <f t="shared" ref="W47" ca="1" si="139">V53</f>
        <v>10039839.859605258</v>
      </c>
      <c r="X47" s="229">
        <f t="shared" ref="X47" ca="1" si="140">W53</f>
        <v>11167766.844651101</v>
      </c>
      <c r="Y47" s="229">
        <f t="shared" ref="Y47" ca="1" si="141">X53</f>
        <v>12297268.848874174</v>
      </c>
      <c r="Z47" s="229">
        <f t="shared" ref="Z47" ca="1" si="142">Y53</f>
        <v>13431426.956404094</v>
      </c>
      <c r="AA47" s="229">
        <f t="shared" ref="AA47" ca="1" si="143">Z53</f>
        <v>14568715.651039043</v>
      </c>
      <c r="AB47" s="229">
        <f t="shared" ref="AB47" ca="1" si="144">AA53</f>
        <v>15707302.381525755</v>
      </c>
      <c r="AC47" s="229">
        <f t="shared" ref="AC47" ca="1" si="145">AB53</f>
        <v>15593421.81688346</v>
      </c>
      <c r="AD47" s="229">
        <f t="shared" ref="AD47" ca="1" si="146">AC53</f>
        <v>15477183.533420792</v>
      </c>
      <c r="AE47" s="229">
        <f t="shared" ref="AE47" ca="1" si="147">AD53</f>
        <v>15362423.473454917</v>
      </c>
      <c r="AF47" s="229">
        <f t="shared" ref="AF47" ca="1" si="148">AE53</f>
        <v>15247224.809972186</v>
      </c>
      <c r="AG47" s="229">
        <f t="shared" ref="AG47" ca="1" si="149">AF53</f>
        <v>15127826.276986836</v>
      </c>
      <c r="AH47" s="229">
        <f t="shared" ref="AH47" ca="1" si="150">AG53</f>
        <v>15011731.002301166</v>
      </c>
      <c r="AI47" s="229">
        <f t="shared" ref="AI47" ca="1" si="151">AH53</f>
        <v>14893341.259661276</v>
      </c>
      <c r="AJ47" s="229">
        <f t="shared" ref="AJ47" ca="1" si="152">AI53</f>
        <v>14776349.802512128</v>
      </c>
      <c r="AK47" s="229">
        <f t="shared" ref="AK47" ca="1" si="153">AJ53</f>
        <v>14657089.471873019</v>
      </c>
      <c r="AL47" s="229">
        <f t="shared" ref="AL47" ca="1" si="154">AK53</f>
        <v>14539195.0798089</v>
      </c>
      <c r="AM47" s="229">
        <f t="shared" ref="AM47" ca="1" si="155">AL53</f>
        <v>14420850.105068263</v>
      </c>
      <c r="AN47" s="229">
        <f t="shared" ref="AN47" ca="1" si="156">AM53</f>
        <v>14300274.912534498</v>
      </c>
      <c r="AO47" s="229">
        <f t="shared" ref="AO47" ca="1" si="157">AN53</f>
        <v>14181016.804551812</v>
      </c>
      <c r="AP47" s="229">
        <f t="shared" ref="AP47" ca="1" si="158">AO53</f>
        <v>14059554.557344904</v>
      </c>
      <c r="AQ47" s="229">
        <f t="shared" ref="AQ47" ca="1" si="159">AP53</f>
        <v>13939376.435949918</v>
      </c>
      <c r="AR47" s="229">
        <f t="shared" ref="AR47" ca="1" si="160">AQ53</f>
        <v>13818739.003652614</v>
      </c>
      <c r="AS47" s="229">
        <f t="shared" ref="AS47" ca="1" si="161">AR53</f>
        <v>13692529.464551069</v>
      </c>
      <c r="AT47" s="229">
        <f t="shared" ref="AT47" ca="1" si="162">AS53</f>
        <v>13570948.60341787</v>
      </c>
      <c r="AU47" s="229">
        <f t="shared" ref="AU47" ca="1" si="163">AT53</f>
        <v>13447229.939576631</v>
      </c>
      <c r="AV47" s="229">
        <f t="shared" ref="AV47" ca="1" si="164">AU53</f>
        <v>13324711.563820586</v>
      </c>
      <c r="AW47" s="229">
        <f t="shared" ref="AW47" ca="1" si="165">AV53</f>
        <v>13200082.16024385</v>
      </c>
      <c r="AX47" s="229">
        <f t="shared" ref="AX47" ca="1" si="166">AW53</f>
        <v>13076619.205988711</v>
      </c>
      <c r="AY47" s="229">
        <f t="shared" ref="AY47" ca="1" si="167">AX53</f>
        <v>12952684.386470048</v>
      </c>
      <c r="AZ47" s="229">
        <f t="shared" ref="AZ47" ca="1" si="168">AY53</f>
        <v>12826678.991963387</v>
      </c>
      <c r="BA47" s="229">
        <f t="shared" ref="BA47" ca="1" si="169">AZ53</f>
        <v>12701788.921489751</v>
      </c>
      <c r="BB47" s="229">
        <f t="shared" ref="BB47" ca="1" si="170">BA53</f>
        <v>12574855.55745508</v>
      </c>
      <c r="BC47" s="229">
        <f t="shared" ref="BC47" ca="1" si="171">BB53</f>
        <v>12449003.038512569</v>
      </c>
      <c r="BD47" s="229">
        <f t="shared" ref="BD47" ca="1" si="172">BC53</f>
        <v>12322669.521586703</v>
      </c>
      <c r="BE47" s="229">
        <f t="shared" ref="BE47" ca="1" si="173">BD53</f>
        <v>12191295.468656657</v>
      </c>
      <c r="BF47" s="229">
        <f t="shared" ref="BF47" ca="1" si="174">BE53</f>
        <v>12063977.014580246</v>
      </c>
      <c r="BG47" s="229">
        <f t="shared" ref="BG47" ca="1" si="175">BF53</f>
        <v>11934684.62020495</v>
      </c>
      <c r="BH47" s="229">
        <f t="shared" ref="BH47" ca="1" si="176">BG53</f>
        <v>11806385.420557059</v>
      </c>
      <c r="BI47" s="229">
        <f t="shared" ref="BI47" ca="1" si="177">BH53</f>
        <v>11676140.290149076</v>
      </c>
      <c r="BJ47" s="229">
        <f t="shared" ref="BJ47" ca="1" si="178">BI53</f>
        <v>11546852.95532193</v>
      </c>
      <c r="BK47" s="229">
        <f t="shared" ref="BK47" ca="1" si="179">BJ53</f>
        <v>11417071.494927431</v>
      </c>
      <c r="BL47" s="229">
        <f t="shared" ref="BL47" ca="1" si="180">BK53</f>
        <v>0</v>
      </c>
      <c r="BM47" s="229">
        <f t="shared" ref="BM47" ca="1" si="181">BL53</f>
        <v>0</v>
      </c>
      <c r="BN47" s="229">
        <f t="shared" ref="BN47" ca="1" si="182">BM53</f>
        <v>0</v>
      </c>
      <c r="BO47" s="229">
        <f t="shared" ref="BO47" ca="1" si="183">BN53</f>
        <v>0</v>
      </c>
      <c r="BP47" s="229">
        <f t="shared" ref="BP47" ca="1" si="184">BO53</f>
        <v>0</v>
      </c>
    </row>
    <row r="48" spans="1:68" s="357" customFormat="1" x14ac:dyDescent="0.2">
      <c r="A48" s="359" t="s">
        <v>74</v>
      </c>
      <c r="B48" s="228"/>
      <c r="C48" s="229">
        <f ca="1">SUM(F48:BP48)</f>
        <v>14840280.184363386</v>
      </c>
      <c r="D48" s="229"/>
      <c r="E48" s="228"/>
      <c r="F48" s="229">
        <f ca="1">F22-F38</f>
        <v>0</v>
      </c>
      <c r="G48" s="229">
        <f t="shared" ref="G48:AL48" ca="1" si="185">IF(F53=0,0,G22-G38)</f>
        <v>0</v>
      </c>
      <c r="H48" s="229">
        <f t="shared" ca="1" si="185"/>
        <v>0</v>
      </c>
      <c r="I48" s="229">
        <f t="shared" ca="1" si="185"/>
        <v>0</v>
      </c>
      <c r="J48" s="229">
        <f t="shared" ca="1" si="185"/>
        <v>0</v>
      </c>
      <c r="K48" s="229">
        <f t="shared" ca="1" si="185"/>
        <v>0</v>
      </c>
      <c r="L48" s="229">
        <f t="shared" ca="1" si="185"/>
        <v>0</v>
      </c>
      <c r="M48" s="229">
        <f t="shared" ca="1" si="185"/>
        <v>0</v>
      </c>
      <c r="N48" s="229">
        <f t="shared" ca="1" si="185"/>
        <v>756717.77527247672</v>
      </c>
      <c r="O48" s="229">
        <f t="shared" ca="1" si="185"/>
        <v>1083350.9545454544</v>
      </c>
      <c r="P48" s="228">
        <f t="shared" ca="1" si="185"/>
        <v>1083350.9545454544</v>
      </c>
      <c r="Q48" s="229">
        <f t="shared" ca="1" si="185"/>
        <v>1083350.9545454544</v>
      </c>
      <c r="R48" s="229">
        <f t="shared" ca="1" si="185"/>
        <v>1083350.9545454544</v>
      </c>
      <c r="S48" s="229">
        <f t="shared" ca="1" si="185"/>
        <v>1083350.9545454544</v>
      </c>
      <c r="T48" s="229">
        <f t="shared" ca="1" si="185"/>
        <v>1083350.9545454544</v>
      </c>
      <c r="U48" s="229">
        <f t="shared" ca="1" si="185"/>
        <v>1083350.9545454544</v>
      </c>
      <c r="V48" s="229">
        <f t="shared" ca="1" si="185"/>
        <v>1083350.9545454544</v>
      </c>
      <c r="W48" s="229">
        <f t="shared" ca="1" si="185"/>
        <v>1083350.9545454544</v>
      </c>
      <c r="X48" s="229">
        <f t="shared" ca="1" si="185"/>
        <v>1083350.9545454544</v>
      </c>
      <c r="Y48" s="229">
        <f t="shared" ca="1" si="185"/>
        <v>1083350.9545454544</v>
      </c>
      <c r="Z48" s="229">
        <f t="shared" ca="1" si="185"/>
        <v>1083350.9545454544</v>
      </c>
      <c r="AA48" s="229">
        <f t="shared" ca="1" si="185"/>
        <v>1083350.9545454544</v>
      </c>
      <c r="AB48" s="229">
        <f t="shared" ca="1" si="185"/>
        <v>0</v>
      </c>
      <c r="AC48" s="229">
        <f t="shared" ca="1" si="185"/>
        <v>0</v>
      </c>
      <c r="AD48" s="229">
        <f t="shared" ca="1" si="185"/>
        <v>0</v>
      </c>
      <c r="AE48" s="229">
        <f t="shared" ca="1" si="185"/>
        <v>0</v>
      </c>
      <c r="AF48" s="229">
        <f t="shared" ca="1" si="185"/>
        <v>0</v>
      </c>
      <c r="AG48" s="229">
        <f t="shared" ca="1" si="185"/>
        <v>0</v>
      </c>
      <c r="AH48" s="229">
        <f t="shared" ca="1" si="185"/>
        <v>0</v>
      </c>
      <c r="AI48" s="229">
        <f t="shared" ca="1" si="185"/>
        <v>0</v>
      </c>
      <c r="AJ48" s="229">
        <f t="shared" ca="1" si="185"/>
        <v>0</v>
      </c>
      <c r="AK48" s="229">
        <f t="shared" ca="1" si="185"/>
        <v>0</v>
      </c>
      <c r="AL48" s="229">
        <f t="shared" ca="1" si="185"/>
        <v>0</v>
      </c>
      <c r="AM48" s="229">
        <f t="shared" ref="AM48:BP48" ca="1" si="186">IF(AL53=0,0,AM22-AM38)</f>
        <v>0</v>
      </c>
      <c r="AN48" s="229">
        <f t="shared" ca="1" si="186"/>
        <v>0</v>
      </c>
      <c r="AO48" s="229">
        <f t="shared" ca="1" si="186"/>
        <v>0</v>
      </c>
      <c r="AP48" s="229">
        <f t="shared" ca="1" si="186"/>
        <v>0</v>
      </c>
      <c r="AQ48" s="229">
        <f t="shared" ca="1" si="186"/>
        <v>0</v>
      </c>
      <c r="AR48" s="229">
        <f t="shared" ca="1" si="186"/>
        <v>0</v>
      </c>
      <c r="AS48" s="229">
        <f t="shared" ca="1" si="186"/>
        <v>0</v>
      </c>
      <c r="AT48" s="229">
        <f t="shared" ca="1" si="186"/>
        <v>0</v>
      </c>
      <c r="AU48" s="229">
        <f t="shared" ca="1" si="186"/>
        <v>0</v>
      </c>
      <c r="AV48" s="229">
        <f t="shared" ca="1" si="186"/>
        <v>0</v>
      </c>
      <c r="AW48" s="229">
        <f t="shared" ca="1" si="186"/>
        <v>0</v>
      </c>
      <c r="AX48" s="229">
        <f t="shared" ca="1" si="186"/>
        <v>0</v>
      </c>
      <c r="AY48" s="229">
        <f t="shared" ca="1" si="186"/>
        <v>0</v>
      </c>
      <c r="AZ48" s="229">
        <f t="shared" ca="1" si="186"/>
        <v>0</v>
      </c>
      <c r="BA48" s="229">
        <f t="shared" ca="1" si="186"/>
        <v>0</v>
      </c>
      <c r="BB48" s="229">
        <f t="shared" ca="1" si="186"/>
        <v>0</v>
      </c>
      <c r="BC48" s="229">
        <f t="shared" ca="1" si="186"/>
        <v>0</v>
      </c>
      <c r="BD48" s="229">
        <f t="shared" ca="1" si="186"/>
        <v>0</v>
      </c>
      <c r="BE48" s="229">
        <f t="shared" ca="1" si="186"/>
        <v>0</v>
      </c>
      <c r="BF48" s="229">
        <f t="shared" ca="1" si="186"/>
        <v>0</v>
      </c>
      <c r="BG48" s="229">
        <f t="shared" ca="1" si="186"/>
        <v>0</v>
      </c>
      <c r="BH48" s="229">
        <f t="shared" ca="1" si="186"/>
        <v>0</v>
      </c>
      <c r="BI48" s="229">
        <f t="shared" ca="1" si="186"/>
        <v>0</v>
      </c>
      <c r="BJ48" s="229">
        <f t="shared" ca="1" si="186"/>
        <v>0</v>
      </c>
      <c r="BK48" s="229">
        <f t="shared" ca="1" si="186"/>
        <v>0</v>
      </c>
      <c r="BL48" s="229">
        <f t="shared" ca="1" si="186"/>
        <v>0</v>
      </c>
      <c r="BM48" s="229">
        <f t="shared" ca="1" si="186"/>
        <v>0</v>
      </c>
      <c r="BN48" s="229">
        <f t="shared" ca="1" si="186"/>
        <v>0</v>
      </c>
      <c r="BO48" s="229">
        <f t="shared" ca="1" si="186"/>
        <v>0</v>
      </c>
      <c r="BP48" s="229">
        <f t="shared" ca="1" si="186"/>
        <v>0</v>
      </c>
    </row>
    <row r="49" spans="1:68" s="357" customFormat="1" x14ac:dyDescent="0.2">
      <c r="A49" s="359" t="s">
        <v>29</v>
      </c>
      <c r="B49" s="228"/>
      <c r="C49" s="229">
        <f ca="1">SUM(F49:XFD49)</f>
        <v>2620886.6018700618</v>
      </c>
      <c r="D49" s="229"/>
      <c r="E49" s="228"/>
      <c r="F49" s="229">
        <f ca="1">Arrangement_Fee_Value</f>
        <v>238262.41835182378</v>
      </c>
      <c r="G49" s="229">
        <f t="shared" ref="G49:BP49" ca="1" si="187">IF(F53=0,0,IF(((G47-G11)+Exit_Fee_Value)&lt;=0,Exit_Fee_Value,0))</f>
        <v>0</v>
      </c>
      <c r="H49" s="229">
        <f t="shared" ca="1" si="187"/>
        <v>0</v>
      </c>
      <c r="I49" s="229">
        <f t="shared" ca="1" si="187"/>
        <v>0</v>
      </c>
      <c r="J49" s="229">
        <f t="shared" ca="1" si="187"/>
        <v>0</v>
      </c>
      <c r="K49" s="229">
        <f t="shared" ca="1" si="187"/>
        <v>0</v>
      </c>
      <c r="L49" s="229">
        <f t="shared" ca="1" si="187"/>
        <v>0</v>
      </c>
      <c r="M49" s="229">
        <f t="shared" ca="1" si="187"/>
        <v>0</v>
      </c>
      <c r="N49" s="229">
        <f t="shared" ca="1" si="187"/>
        <v>0</v>
      </c>
      <c r="O49" s="229">
        <f t="shared" ca="1" si="187"/>
        <v>0</v>
      </c>
      <c r="P49" s="229">
        <f t="shared" ca="1" si="187"/>
        <v>0</v>
      </c>
      <c r="Q49" s="229">
        <f t="shared" ca="1" si="187"/>
        <v>0</v>
      </c>
      <c r="R49" s="229">
        <f t="shared" ca="1" si="187"/>
        <v>0</v>
      </c>
      <c r="S49" s="229">
        <f t="shared" ca="1" si="187"/>
        <v>0</v>
      </c>
      <c r="T49" s="229">
        <f t="shared" ca="1" si="187"/>
        <v>0</v>
      </c>
      <c r="U49" s="229">
        <f t="shared" ca="1" si="187"/>
        <v>0</v>
      </c>
      <c r="V49" s="229">
        <f t="shared" ca="1" si="187"/>
        <v>0</v>
      </c>
      <c r="W49" s="229">
        <f t="shared" ca="1" si="187"/>
        <v>0</v>
      </c>
      <c r="X49" s="229">
        <f t="shared" ca="1" si="187"/>
        <v>0</v>
      </c>
      <c r="Y49" s="229">
        <f t="shared" ca="1" si="187"/>
        <v>0</v>
      </c>
      <c r="Z49" s="229">
        <f t="shared" ca="1" si="187"/>
        <v>0</v>
      </c>
      <c r="AA49" s="229">
        <f t="shared" ca="1" si="187"/>
        <v>0</v>
      </c>
      <c r="AB49" s="229">
        <f t="shared" ca="1" si="187"/>
        <v>0</v>
      </c>
      <c r="AC49" s="229">
        <f t="shared" ca="1" si="187"/>
        <v>0</v>
      </c>
      <c r="AD49" s="229">
        <f t="shared" ca="1" si="187"/>
        <v>0</v>
      </c>
      <c r="AE49" s="229">
        <f t="shared" ca="1" si="187"/>
        <v>0</v>
      </c>
      <c r="AF49" s="229">
        <f t="shared" ca="1" si="187"/>
        <v>0</v>
      </c>
      <c r="AG49" s="229">
        <f t="shared" ca="1" si="187"/>
        <v>0</v>
      </c>
      <c r="AH49" s="229">
        <f t="shared" ca="1" si="187"/>
        <v>0</v>
      </c>
      <c r="AI49" s="229">
        <f t="shared" ca="1" si="187"/>
        <v>0</v>
      </c>
      <c r="AJ49" s="229">
        <f t="shared" ca="1" si="187"/>
        <v>0</v>
      </c>
      <c r="AK49" s="229">
        <f t="shared" ca="1" si="187"/>
        <v>0</v>
      </c>
      <c r="AL49" s="229">
        <f t="shared" ca="1" si="187"/>
        <v>0</v>
      </c>
      <c r="AM49" s="229">
        <f t="shared" ca="1" si="187"/>
        <v>0</v>
      </c>
      <c r="AN49" s="229">
        <f t="shared" ca="1" si="187"/>
        <v>0</v>
      </c>
      <c r="AO49" s="229">
        <f t="shared" ca="1" si="187"/>
        <v>0</v>
      </c>
      <c r="AP49" s="229">
        <f t="shared" ca="1" si="187"/>
        <v>0</v>
      </c>
      <c r="AQ49" s="229">
        <f t="shared" ca="1" si="187"/>
        <v>0</v>
      </c>
      <c r="AR49" s="229">
        <f t="shared" ca="1" si="187"/>
        <v>0</v>
      </c>
      <c r="AS49" s="229">
        <f t="shared" ca="1" si="187"/>
        <v>0</v>
      </c>
      <c r="AT49" s="229">
        <f t="shared" ca="1" si="187"/>
        <v>0</v>
      </c>
      <c r="AU49" s="229">
        <f t="shared" ca="1" si="187"/>
        <v>0</v>
      </c>
      <c r="AV49" s="229">
        <f t="shared" ca="1" si="187"/>
        <v>0</v>
      </c>
      <c r="AW49" s="229">
        <f t="shared" ca="1" si="187"/>
        <v>0</v>
      </c>
      <c r="AX49" s="229">
        <f t="shared" ca="1" si="187"/>
        <v>0</v>
      </c>
      <c r="AY49" s="229">
        <f t="shared" ca="1" si="187"/>
        <v>0</v>
      </c>
      <c r="AZ49" s="229">
        <f t="shared" ca="1" si="187"/>
        <v>0</v>
      </c>
      <c r="BA49" s="229">
        <f t="shared" ca="1" si="187"/>
        <v>0</v>
      </c>
      <c r="BB49" s="229">
        <f t="shared" ca="1" si="187"/>
        <v>0</v>
      </c>
      <c r="BC49" s="229">
        <f t="shared" ca="1" si="187"/>
        <v>0</v>
      </c>
      <c r="BD49" s="229">
        <f t="shared" ca="1" si="187"/>
        <v>0</v>
      </c>
      <c r="BE49" s="229">
        <f t="shared" ca="1" si="187"/>
        <v>0</v>
      </c>
      <c r="BF49" s="229">
        <f t="shared" ca="1" si="187"/>
        <v>0</v>
      </c>
      <c r="BG49" s="229">
        <f t="shared" ca="1" si="187"/>
        <v>0</v>
      </c>
      <c r="BH49" s="229">
        <f t="shared" ca="1" si="187"/>
        <v>0</v>
      </c>
      <c r="BI49" s="229">
        <f t="shared" ca="1" si="187"/>
        <v>0</v>
      </c>
      <c r="BJ49" s="229">
        <f t="shared" ca="1" si="187"/>
        <v>0</v>
      </c>
      <c r="BK49" s="229">
        <f t="shared" ca="1" si="187"/>
        <v>2382624.1835182379</v>
      </c>
      <c r="BL49" s="229">
        <f t="shared" ca="1" si="187"/>
        <v>0</v>
      </c>
      <c r="BM49" s="229">
        <f t="shared" ca="1" si="187"/>
        <v>0</v>
      </c>
      <c r="BN49" s="229">
        <f t="shared" ca="1" si="187"/>
        <v>0</v>
      </c>
      <c r="BO49" s="229">
        <f t="shared" ca="1" si="187"/>
        <v>0</v>
      </c>
      <c r="BP49" s="229">
        <f t="shared" ca="1" si="187"/>
        <v>0</v>
      </c>
    </row>
    <row r="50" spans="1:68" s="357" customFormat="1" x14ac:dyDescent="0.2">
      <c r="A50" s="359" t="s">
        <v>80</v>
      </c>
      <c r="B50" s="228"/>
      <c r="C50" s="229">
        <f ca="1">SUM(F50:XFD50)</f>
        <v>2228985.6118163057</v>
      </c>
      <c r="D50" s="229"/>
      <c r="E50" s="228"/>
      <c r="F50" s="229"/>
      <c r="G50" s="229">
        <f ca="1">IF(G3&lt;=Development_Period_Mnths,IF(G4="",0,(G47*Dev_All_In_InterestRate)*('Cashflow Dynamic'!G4-'Cashflow Dynamic'!F4)/365),IF(Inputs!$B$24="Yes",IF(G4="",0,(G47*Invest_All_In_InterestRate)*('Cashflow Dynamic'!G4-'Cashflow Dynamic'!F4)/365),IF(G4="",0,(G47*Dev_All_In_InterestRate)*('Cashflow Dynamic'!G4-'Cashflow Dynamic'!F4)/365)))</f>
        <v>910.61937972820306</v>
      </c>
      <c r="H50" s="229">
        <f ca="1">IF(H3&lt;=Development_Period_Mnths,IF(H4="",0,(H47*Dev_All_In_InterestRate)*('Cashflow Dynamic'!H4-'Cashflow Dynamic'!G4)/365),IF(Inputs!$B$24="Yes",IF(H4="",0,(H47*Invest_All_In_InterestRate)*('Cashflow Dynamic'!H4-'Cashflow Dynamic'!G4)/365),IF(H4="",0,(H47*Dev_All_In_InterestRate)*('Cashflow Dynamic'!H4-'Cashflow Dynamic'!G4)/365)))</f>
        <v>882.97834598860823</v>
      </c>
      <c r="I50" s="229">
        <f ca="1">IF(I3&lt;=Development_Period_Mnths,IF(I4="",0,(I47*Dev_All_In_InterestRate)*('Cashflow Dynamic'!I4-'Cashflow Dynamic'!H4)/365),IF(Inputs!$B$24="Yes",IF(I4="",0,(I47*Invest_All_In_InterestRate)*('Cashflow Dynamic'!I4-'Cashflow Dynamic'!H4)/365),IF(I4="",0,(I47*Dev_All_In_InterestRate)*('Cashflow Dynamic'!I4-'Cashflow Dynamic'!H4)/365)))</f>
        <v>1038.2335419527592</v>
      </c>
      <c r="J50" s="229">
        <f ca="1">IF(J3&lt;=Development_Period_Mnths,IF(J4="",0,(J47*Dev_All_In_InterestRate)*('Cashflow Dynamic'!J4-'Cashflow Dynamic'!I4)/365),IF(Inputs!$B$24="Yes",IF(J4="",0,(J47*Invest_All_In_InterestRate)*('Cashflow Dynamic'!J4-'Cashflow Dynamic'!I4)/365),IF(J4="",0,(J47*Dev_All_In_InterestRate)*('Cashflow Dynamic'!J4-'Cashflow Dynamic'!I4)/365)))</f>
        <v>1069.8866913369504</v>
      </c>
      <c r="K50" s="229">
        <f ca="1">IF(K3&lt;=Development_Period_Mnths,IF(K4="",0,(K47*Dev_All_In_InterestRate)*('Cashflow Dynamic'!K4-'Cashflow Dynamic'!J4)/365),IF(Inputs!$B$24="Yes",IF(K4="",0,(K47*Invest_All_In_InterestRate)*('Cashflow Dynamic'!K4-'Cashflow Dynamic'!J4)/365),IF(K4="",0,(K47*Dev_All_In_InterestRate)*('Cashflow Dynamic'!K4-'Cashflow Dynamic'!J4)/365)))</f>
        <v>1170.8739518282562</v>
      </c>
      <c r="L50" s="229">
        <f ca="1">IF(L3&lt;=Development_Period_Mnths,IF(L4="",0,(L47*Dev_All_In_InterestRate)*('Cashflow Dynamic'!L4-'Cashflow Dynamic'!K4)/365),IF(Inputs!$B$24="Yes",IF(L4="",0,(L47*Invest_All_In_InterestRate)*('Cashflow Dynamic'!L4-'Cashflow Dynamic'!K4)/365),IF(L4="",0,(L47*Dev_All_In_InterestRate)*('Cashflow Dynamic'!L4-'Cashflow Dynamic'!K4)/365)))</f>
        <v>1198.6026917368779</v>
      </c>
      <c r="M50" s="229">
        <f ca="1">IF(M3&lt;=Development_Period_Mnths,IF(M4="",0,(M47*Dev_All_In_InterestRate)*('Cashflow Dynamic'!M4-'Cashflow Dynamic'!L4)/365),IF(Inputs!$B$24="Yes",IF(M4="",0,(M47*Invest_All_In_InterestRate)*('Cashflow Dynamic'!M4-'Cashflow Dynamic'!L4)/365),IF(M4="",0,(M47*Dev_All_In_InterestRate)*('Cashflow Dynamic'!M4-'Cashflow Dynamic'!L4)/365)))</f>
        <v>1304.2357770006095</v>
      </c>
      <c r="N50" s="229">
        <f ca="1">IF(N3&lt;=Development_Period_Mnths,IF(N4="",0,(N47*Dev_All_In_InterestRate)*('Cashflow Dynamic'!N4-'Cashflow Dynamic'!M4)/365),IF(Inputs!$B$24="Yes",IF(N4="",0,(N47*Invest_All_In_InterestRate)*('Cashflow Dynamic'!N4-'Cashflow Dynamic'!M4)/365),IF(N4="",0,(N47*Dev_All_In_InterestRate)*('Cashflow Dynamic'!N4-'Cashflow Dynamic'!M4)/365)))</f>
        <v>1372.286055142089</v>
      </c>
      <c r="O50" s="229">
        <f ca="1">IF(O3&lt;=Development_Period_Mnths,IF(O4="",0,(O47*Dev_All_In_InterestRate)*('Cashflow Dynamic'!O4-'Cashflow Dynamic'!N4)/365),IF(Inputs!$B$24="Yes",IF(O4="",0,(O47*Invest_All_In_InterestRate)*('Cashflow Dynamic'!O4-'Cashflow Dynamic'!N4)/365),IF(O4="",0,(O47*Dev_All_In_InterestRate)*('Cashflow Dynamic'!O4-'Cashflow Dynamic'!N4)/365)))</f>
        <v>4192.8748178758333</v>
      </c>
      <c r="P50" s="229">
        <f ca="1">IF(P3&lt;=Development_Period_Mnths,IF(P4="",0,(P47*Dev_All_In_InterestRate)*('Cashflow Dynamic'!P4-'Cashflow Dynamic'!O4)/365),IF(Inputs!$B$24="Yes",IF(P4="",0,(P47*Invest_All_In_InterestRate)*('Cashflow Dynamic'!P4-'Cashflow Dynamic'!O4)/365),IF(P4="",0,(P47*Dev_All_In_InterestRate)*('Cashflow Dynamic'!P4-'Cashflow Dynamic'!O4)/365)))</f>
        <v>8547.0602911560509</v>
      </c>
      <c r="Q50" s="229">
        <f ca="1">IF(Q3&lt;=Development_Period_Mnths,IF(Q4="",0,(Q47*Dev_All_In_InterestRate)*('Cashflow Dynamic'!Q4-'Cashflow Dynamic'!P4)/365),IF(Inputs!$B$24="Yes",IF(Q4="",0,(Q47*Invest_All_In_InterestRate)*('Cashflow Dynamic'!Q4-'Cashflow Dynamic'!P4)/365),IF(Q4="",0,(Q47*Dev_All_In_InterestRate)*('Cashflow Dynamic'!Q4-'Cashflow Dynamic'!P4)/365)))</f>
        <v>12363.46553711671</v>
      </c>
      <c r="R50" s="229">
        <f ca="1">IF(R3&lt;=Development_Period_Mnths,IF(R4="",0,(R47*Dev_All_In_InterestRate)*('Cashflow Dynamic'!R4-'Cashflow Dynamic'!Q4)/365),IF(Inputs!$B$24="Yes",IF(R4="",0,(R47*Invest_All_In_InterestRate)*('Cashflow Dynamic'!R4-'Cashflow Dynamic'!Q4)/365),IF(R4="",0,(R47*Dev_All_In_InterestRate)*('Cashflow Dynamic'!R4-'Cashflow Dynamic'!Q4)/365)))</f>
        <v>17012.557103274736</v>
      </c>
      <c r="S50" s="229">
        <f ca="1">IF(S3&lt;=Development_Period_Mnths,IF(S4="",0,(S47*Dev_All_In_InterestRate)*('Cashflow Dynamic'!S4-'Cashflow Dynamic'!R4)/365),IF(Inputs!$B$24="Yes",IF(S4="",0,(S47*Invest_All_In_InterestRate)*('Cashflow Dynamic'!S4-'Cashflow Dynamic'!R4)/365),IF(S4="",0,(S47*Dev_All_In_InterestRate)*('Cashflow Dynamic'!S4-'Cashflow Dynamic'!R4)/365)))</f>
        <v>21264.444957654923</v>
      </c>
      <c r="T50" s="229">
        <f ca="1">IF(T3&lt;=Development_Period_Mnths,IF(T4="",0,(T47*Dev_All_In_InterestRate)*('Cashflow Dynamic'!T4-'Cashflow Dynamic'!S4)/365),IF(Inputs!$B$24="Yes",IF(T4="",0,(T47*Invest_All_In_InterestRate)*('Cashflow Dynamic'!T4-'Cashflow Dynamic'!S4)/365),IF(T4="",0,(T47*Dev_All_In_InterestRate)*('Cashflow Dynamic'!T4-'Cashflow Dynamic'!S4)/365)))</f>
        <v>23057.610878954561</v>
      </c>
      <c r="U50" s="229">
        <f ca="1">IF(U3&lt;=Development_Period_Mnths,IF(U4="",0,(U47*Dev_All_In_InterestRate)*('Cashflow Dynamic'!U4-'Cashflow Dynamic'!T4)/365),IF(Inputs!$B$24="Yes",IF(U4="",0,(U47*Invest_All_In_InterestRate)*('Cashflow Dynamic'!U4-'Cashflow Dynamic'!T4)/365),IF(U4="",0,(U47*Dev_All_In_InterestRate)*('Cashflow Dynamic'!U4-'Cashflow Dynamic'!T4)/365)))</f>
        <v>29790.405927354928</v>
      </c>
      <c r="V50" s="229">
        <f ca="1">IF(V3&lt;=Development_Period_Mnths,IF(V4="",0,(V47*Dev_All_In_InterestRate)*('Cashflow Dynamic'!V4-'Cashflow Dynamic'!U4)/365),IF(Inputs!$B$24="Yes",IF(V4="",0,(V47*Invest_All_In_InterestRate)*('Cashflow Dynamic'!V4-'Cashflow Dynamic'!U4)/365),IF(V4="",0,(V47*Dev_All_In_InterestRate)*('Cashflow Dynamic'!V4-'Cashflow Dynamic'!U4)/365)))</f>
        <v>32978.287882519435</v>
      </c>
      <c r="W50" s="229">
        <f ca="1">IF(W3&lt;=Development_Period_Mnths,IF(W4="",0,(W47*Dev_All_In_InterestRate)*('Cashflow Dynamic'!W4-'Cashflow Dynamic'!V4)/365),IF(Inputs!$B$24="Yes",IF(W4="",0,(W47*Invest_All_In_InterestRate)*('Cashflow Dynamic'!W4-'Cashflow Dynamic'!V4)/365),IF(W4="",0,(W47*Dev_All_In_InterestRate)*('Cashflow Dynamic'!W4-'Cashflow Dynamic'!V4)/365)))</f>
        <v>38371.442751094073</v>
      </c>
      <c r="X50" s="229">
        <f ca="1">IF(X3&lt;=Development_Period_Mnths,IF(X4="",0,(X47*Dev_All_In_InterestRate)*('Cashflow Dynamic'!X4-'Cashflow Dynamic'!W4)/365),IF(Inputs!$B$24="Yes",IF(X4="",0,(X47*Invest_All_In_InterestRate)*('Cashflow Dynamic'!X4-'Cashflow Dynamic'!W4)/365),IF(X4="",0,(X47*Dev_All_In_InterestRate)*('Cashflow Dynamic'!X4-'Cashflow Dynamic'!W4)/365)))</f>
        <v>41305.439014462972</v>
      </c>
      <c r="Y50" s="229">
        <f ca="1">IF(Y3&lt;=Development_Period_Mnths,IF(Y4="",0,(Y47*Dev_All_In_InterestRate)*('Cashflow Dynamic'!Y4-'Cashflow Dynamic'!X4)/365),IF(Inputs!$B$24="Yes",IF(Y4="",0,(Y47*Invest_All_In_InterestRate)*('Cashflow Dynamic'!Y4-'Cashflow Dynamic'!X4)/365),IF(Y4="",0,(Y47*Dev_All_In_InterestRate)*('Cashflow Dynamic'!Y4-'Cashflow Dynamic'!X4)/365)))</f>
        <v>46999.150805971156</v>
      </c>
      <c r="Z50" s="229">
        <f ca="1">IF(Z3&lt;=Development_Period_Mnths,IF(Z4="",0,(Z47*Dev_All_In_InterestRate)*('Cashflow Dynamic'!Z4-'Cashflow Dynamic'!Y4)/365),IF(Inputs!$B$24="Yes",IF(Z4="",0,(Z47*Invest_All_In_InterestRate)*('Cashflow Dynamic'!Z4-'Cashflow Dynamic'!Y4)/365),IF(Z4="",0,(Z47*Dev_All_In_InterestRate)*('Cashflow Dynamic'!Z4-'Cashflow Dynamic'!Y4)/365)))</f>
        <v>51333.809874475919</v>
      </c>
      <c r="AA50" s="229">
        <f ca="1">IF(AA3&lt;=Development_Period_Mnths,IF(AA4="",0,(AA47*Dev_All_In_InterestRate)*('Cashflow Dynamic'!AA4-'Cashflow Dynamic'!Z4)/365),IF(Inputs!$B$24="Yes",IF(AA4="",0,(AA47*Invest_All_In_InterestRate)*('Cashflow Dynamic'!AA4-'Cashflow Dynamic'!Z4)/365),IF(AA4="",0,(AA47*Dev_All_In_InterestRate)*('Cashflow Dynamic'!AA4-'Cashflow Dynamic'!Z4)/365)))</f>
        <v>53884.29076411701</v>
      </c>
      <c r="AB50" s="229">
        <f ca="1">IF(AB3&lt;=Development_Period_Mnths,IF(AB4="",0,(AB47*Dev_All_In_InterestRate)*('Cashflow Dynamic'!AB4-'Cashflow Dynamic'!AA4)/365),IF(Inputs!$B$24="Yes",IF(AB4="",0,(AB47*Invest_All_In_InterestRate)*('Cashflow Dynamic'!AB4-'Cashflow Dynamic'!AA4)/365),IF(AB4="",0,(AB47*Dev_All_In_InterestRate)*('Cashflow Dynamic'!AB4-'Cashflow Dynamic'!AA4)/365)))</f>
        <v>60032.018691036792</v>
      </c>
      <c r="AC50" s="229">
        <f ca="1">IF(AC3&lt;=Development_Period_Mnths,IF(AC4="",0,(AC47*Dev_All_In_InterestRate)*('Cashflow Dynamic'!AC4-'Cashflow Dynamic'!AB4)/365),IF(Inputs!$B$24="Yes",IF(AC4="",0,(AC47*Invest_All_In_InterestRate)*('Cashflow Dynamic'!AC4-'Cashflow Dynamic'!AB4)/365),IF(AC4="",0,(AC47*Dev_All_In_InterestRate)*('Cashflow Dynamic'!AC4-'Cashflow Dynamic'!AB4)/365)))</f>
        <v>57674.29987066485</v>
      </c>
      <c r="AD50" s="229">
        <f ca="1">IF(AD3&lt;=Development_Period_Mnths,IF(AD4="",0,(AD47*Dev_All_In_InterestRate)*('Cashflow Dynamic'!AD4-'Cashflow Dynamic'!AC4)/365),IF(Inputs!$B$24="Yes",IF(AD4="",0,(AD47*Invest_All_In_InterestRate)*('Cashflow Dynamic'!AD4-'Cashflow Dynamic'!AC4)/365),IF(AD4="",0,(AD47*Dev_All_In_InterestRate)*('Cashflow Dynamic'!AD4-'Cashflow Dynamic'!AC4)/365)))</f>
        <v>59152.523367457543</v>
      </c>
      <c r="AE50" s="229">
        <f ca="1">IF(AE3&lt;=Development_Period_Mnths,IF(AE4="",0,(AE47*Dev_All_In_InterestRate)*('Cashflow Dynamic'!AE4-'Cashflow Dynamic'!AD4)/365),IF(Inputs!$B$24="Yes",IF(AE4="",0,(AE47*Invest_All_In_InterestRate)*('Cashflow Dynamic'!AE4-'Cashflow Dynamic'!AD4)/365),IF(AE4="",0,(AE47*Dev_All_In_InterestRate)*('Cashflow Dynamic'!AE4-'Cashflow Dynamic'!AD4)/365)))</f>
        <v>58713.919850601662</v>
      </c>
      <c r="AF50" s="229">
        <f ca="1">IF(AF3&lt;=Development_Period_Mnths,IF(AF4="",0,(AF47*Dev_All_In_InterestRate)*('Cashflow Dynamic'!AF4-'Cashflow Dynamic'!AE4)/365),IF(Inputs!$B$24="Yes",IF(AF4="",0,(AF47*Invest_All_In_InterestRate)*('Cashflow Dynamic'!AF4-'Cashflow Dynamic'!AE4)/365),IF(AF4="",0,(AF47*Dev_All_In_InterestRate)*('Cashflow Dynamic'!AF4-'Cashflow Dynamic'!AE4)/365)))</f>
        <v>54514.050347982738</v>
      </c>
      <c r="AG50" s="229">
        <f ca="1">IF(AG3&lt;=Development_Period_Mnths,IF(AG4="",0,(AG47*Dev_All_In_InterestRate)*('Cashflow Dynamic'!AG4-'Cashflow Dynamic'!AF4)/365),IF(Inputs!$B$24="Yes",IF(AG4="",0,(AG47*Invest_All_In_InterestRate)*('Cashflow Dynamic'!AG4-'Cashflow Dynamic'!AF4)/365),IF(AG4="",0,(AG47*Dev_All_In_InterestRate)*('Cashflow Dynamic'!AG4-'Cashflow Dynamic'!AF4)/365)))</f>
        <v>57817.308647662016</v>
      </c>
      <c r="AH50" s="229">
        <f ca="1">IF(AH3&lt;=Development_Period_Mnths,IF(AH4="",0,(AH47*Dev_All_In_InterestRate)*('Cashflow Dynamic'!AH4-'Cashflow Dynamic'!AG4)/365),IF(Inputs!$B$24="Yes",IF(AH4="",0,(AH47*Invest_All_In_InterestRate)*('Cashflow Dynamic'!AH4-'Cashflow Dynamic'!AG4)/365),IF(AH4="",0,(AH47*Dev_All_In_InterestRate)*('Cashflow Dynamic'!AH4-'Cashflow Dynamic'!AG4)/365)))</f>
        <v>55522.840693442668</v>
      </c>
      <c r="AI50" s="229">
        <f ca="1">IF(AI3&lt;=Development_Period_Mnths,IF(AI4="",0,(AI47*Dev_All_In_InterestRate)*('Cashflow Dynamic'!AI4-'Cashflow Dynamic'!AH4)/365),IF(Inputs!$B$24="Yes",IF(AI4="",0,(AI47*Invest_All_In_InterestRate)*('Cashflow Dynamic'!AI4-'Cashflow Dynamic'!AH4)/365),IF(AI4="",0,(AI47*Dev_All_In_InterestRate)*('Cashflow Dynamic'!AI4-'Cashflow Dynamic'!AH4)/365)))</f>
        <v>56921.126184184868</v>
      </c>
      <c r="AJ50" s="229">
        <f ca="1">IF(AJ3&lt;=Development_Period_Mnths,IF(AJ4="",0,(AJ47*Dev_All_In_InterestRate)*('Cashflow Dynamic'!AJ4-'Cashflow Dynamic'!AI4)/365),IF(Inputs!$B$24="Yes",IF(AJ4="",0,(AJ47*Invest_All_In_InterestRate)*('Cashflow Dynamic'!AJ4-'Cashflow Dynamic'!AI4)/365),IF(AJ4="",0,(AJ47*Dev_All_In_InterestRate)*('Cashflow Dynamic'!AJ4-'Cashflow Dynamic'!AI4)/365)))</f>
        <v>54652.252694222931</v>
      </c>
      <c r="AK50" s="229">
        <f ca="1">IF(AK3&lt;=Development_Period_Mnths,IF(AK4="",0,(AK47*Dev_All_In_InterestRate)*('Cashflow Dynamic'!AK4-'Cashflow Dynamic'!AJ4)/365),IF(Inputs!$B$24="Yes",IF(AK4="",0,(AK47*Invest_All_In_InterestRate)*('Cashflow Dynamic'!AK4-'Cashflow Dynamic'!AJ4)/365),IF(AK4="",0,(AK47*Dev_All_In_InterestRate)*('Cashflow Dynamic'!AK4-'Cashflow Dynamic'!AJ4)/365)))</f>
        <v>56018.191269213319</v>
      </c>
      <c r="AL50" s="229">
        <f ca="1">IF(AL3&lt;=Development_Period_Mnths,IF(AL4="",0,(AL47*Dev_All_In_InterestRate)*('Cashflow Dynamic'!AL4-'Cashflow Dynamic'!AK4)/365),IF(Inputs!$B$24="Yes",IF(AL4="",0,(AL47*Invest_All_In_InterestRate)*('Cashflow Dynamic'!AL4-'Cashflow Dynamic'!AK4)/365),IF(AL4="",0,(AL47*Dev_All_In_InterestRate)*('Cashflow Dynamic'!AL4-'Cashflow Dynamic'!AK4)/365)))</f>
        <v>55567.608592694283</v>
      </c>
      <c r="AM50" s="229">
        <f ca="1">IF(AM3&lt;=Development_Period_Mnths,IF(AM4="",0,(AM47*Dev_All_In_InterestRate)*('Cashflow Dynamic'!AM4-'Cashflow Dynamic'!AL4)/365),IF(Inputs!$B$24="Yes",IF(AM4="",0,(AM47*Invest_All_In_InterestRate)*('Cashflow Dynamic'!AM4-'Cashflow Dynamic'!AL4)/365),IF(AM4="",0,(AM47*Dev_All_In_InterestRate)*('Cashflow Dynamic'!AM4-'Cashflow Dynamic'!AL4)/365)))</f>
        <v>53337.39079956754</v>
      </c>
      <c r="AN50" s="229">
        <f ca="1">IF(AN3&lt;=Development_Period_Mnths,IF(AN4="",0,(AN47*Dev_All_In_InterestRate)*('Cashflow Dynamic'!AN4-'Cashflow Dynamic'!AM4)/365),IF(Inputs!$B$24="Yes",IF(AN4="",0,(AN47*Invest_All_In_InterestRate)*('Cashflow Dynamic'!AN4-'Cashflow Dynamic'!AM4)/365),IF(AN4="",0,(AN47*Dev_All_In_InterestRate)*('Cashflow Dynamic'!AN4-'Cashflow Dynamic'!AM4)/365)))</f>
        <v>54654.475350645538</v>
      </c>
      <c r="AO50" s="229">
        <f ca="1">IF(AO3&lt;=Development_Period_Mnths,IF(AO4="",0,(AO47*Dev_All_In_InterestRate)*('Cashflow Dynamic'!AO4-'Cashflow Dynamic'!AN4)/365),IF(Inputs!$B$24="Yes",IF(AO4="",0,(AO47*Invest_All_In_InterestRate)*('Cashflow Dynamic'!AO4-'Cashflow Dynamic'!AN4)/365),IF(AO4="",0,(AO47*Dev_All_In_InterestRate)*('Cashflow Dynamic'!AO4-'Cashflow Dynamic'!AN4)/365)))</f>
        <v>52450.336126424503</v>
      </c>
      <c r="AP50" s="229">
        <f ca="1">IF(AP3&lt;=Development_Period_Mnths,IF(AP4="",0,(AP47*Dev_All_In_InterestRate)*('Cashflow Dynamic'!AP4-'Cashflow Dynamic'!AO4)/365),IF(Inputs!$B$24="Yes",IF(AP4="",0,(AP47*Invest_All_In_InterestRate)*('Cashflow Dynamic'!AP4-'Cashflow Dynamic'!AO4)/365),IF(AP4="",0,(AP47*Dev_All_In_InterestRate)*('Cashflow Dynamic'!AP4-'Cashflow Dynamic'!AO4)/365)))</f>
        <v>53734.461938345594</v>
      </c>
      <c r="AQ50" s="229">
        <f ca="1">IF(AQ3&lt;=Development_Period_Mnths,IF(AQ4="",0,(AQ47*Dev_All_In_InterestRate)*('Cashflow Dynamic'!AQ4-'Cashflow Dynamic'!AP4)/365),IF(Inputs!$B$24="Yes",IF(AQ4="",0,(AQ47*Invest_All_In_InterestRate)*('Cashflow Dynamic'!AQ4-'Cashflow Dynamic'!AP4)/365),IF(AQ4="",0,(AQ47*Dev_All_In_InterestRate)*('Cashflow Dynamic'!AQ4-'Cashflow Dynamic'!AP4)/365)))</f>
        <v>53275.151036027768</v>
      </c>
      <c r="AR50" s="229">
        <f ca="1">IF(AR3&lt;=Development_Period_Mnths,IF(AR4="",0,(AR47*Dev_All_In_InterestRate)*('Cashflow Dynamic'!AR4-'Cashflow Dynamic'!AQ4)/365),IF(Inputs!$B$24="Yes",IF(AR4="",0,(AR47*Invest_All_In_InterestRate)*('Cashflow Dynamic'!AR4-'Cashflow Dynamic'!AQ4)/365),IF(AR4="",0,(AR47*Dev_All_In_InterestRate)*('Cashflow Dynamic'!AR4-'Cashflow Dynamic'!AQ4)/365)))</f>
        <v>47703.044231787098</v>
      </c>
      <c r="AS50" s="229">
        <f ca="1">IF(AS3&lt;=Development_Period_Mnths,IF(AS4="",0,(AS47*Dev_All_In_InterestRate)*('Cashflow Dynamic'!AS4-'Cashflow Dynamic'!AR4)/365),IF(Inputs!$B$24="Yes",IF(AS4="",0,(AS47*Invest_All_In_InterestRate)*('Cashflow Dynamic'!AS4-'Cashflow Dynamic'!AR4)/365),IF(AS4="",0,(AS47*Dev_All_In_InterestRate)*('Cashflow Dynamic'!AS4-'Cashflow Dynamic'!AR4)/365)))</f>
        <v>52331.722200133539</v>
      </c>
      <c r="AT50" s="229">
        <f ca="1">IF(AT3&lt;=Development_Period_Mnths,IF(AT4="",0,(AT47*Dev_All_In_InterestRate)*('Cashflow Dynamic'!AT4-'Cashflow Dynamic'!AS4)/365),IF(Inputs!$B$24="Yes",IF(AT4="",0,(AT47*Invest_All_In_InterestRate)*('Cashflow Dynamic'!AT4-'Cashflow Dynamic'!AS4)/365),IF(AT4="",0,(AT47*Dev_All_In_InterestRate)*('Cashflow Dynamic'!AT4-'Cashflow Dynamic'!AS4)/365)))</f>
        <v>50193.919492093482</v>
      </c>
      <c r="AU50" s="229">
        <f ca="1">IF(AU3&lt;=Development_Period_Mnths,IF(AU4="",0,(AU47*Dev_All_In_InterestRate)*('Cashflow Dynamic'!AU4-'Cashflow Dynamic'!AT4)/365),IF(Inputs!$B$24="Yes",IF(AU4="",0,(AU47*Invest_All_In_InterestRate)*('Cashflow Dynamic'!AU4-'Cashflow Dynamic'!AT4)/365),IF(AU4="",0,(AU47*Dev_All_In_InterestRate)*('Cashflow Dynamic'!AU4-'Cashflow Dynamic'!AT4)/365)))</f>
        <v>51394.207577286026</v>
      </c>
      <c r="AV50" s="229">
        <f ca="1">IF(AV3&lt;=Development_Period_Mnths,IF(AV4="",0,(AV47*Dev_All_In_InterestRate)*('Cashflow Dynamic'!AV4-'Cashflow Dynamic'!AU4)/365),IF(Inputs!$B$24="Yes",IF(AV4="",0,(AV47*Invest_All_In_InterestRate)*('Cashflow Dynamic'!AV4-'Cashflow Dynamic'!AU4)/365),IF(AV4="",0,(AV47*Dev_All_In_InterestRate)*('Cashflow Dynamic'!AV4-'Cashflow Dynamic'!AU4)/365)))</f>
        <v>49283.179756596684</v>
      </c>
      <c r="AW50" s="229">
        <f ca="1">IF(AW3&lt;=Development_Period_Mnths,IF(AW4="",0,(AW47*Dev_All_In_InterestRate)*('Cashflow Dynamic'!AW4-'Cashflow Dynamic'!AV4)/365),IF(Inputs!$B$24="Yes",IF(AW4="",0,(AW47*Invest_All_In_InterestRate)*('Cashflow Dynamic'!AW4-'Cashflow Dynamic'!AV4)/365),IF(AW4="",0,(AW47*Dev_All_In_InterestRate)*('Cashflow Dynamic'!AW4-'Cashflow Dynamic'!AV4)/365)))</f>
        <v>50449.629078192243</v>
      </c>
      <c r="AX50" s="229">
        <f ca="1">IF(AX3&lt;=Development_Period_Mnths,IF(AX4="",0,(AX47*Dev_All_In_InterestRate)*('Cashflow Dynamic'!AX4-'Cashflow Dynamic'!AW4)/365),IF(Inputs!$B$24="Yes",IF(AX4="",0,(AX47*Invest_All_In_InterestRate)*('Cashflow Dynamic'!AX4-'Cashflow Dynamic'!AW4)/365),IF(AX4="",0,(AX47*Dev_All_In_InterestRate)*('Cashflow Dynamic'!AX4-'Cashflow Dynamic'!AW4)/365)))</f>
        <v>49977.763814669182</v>
      </c>
      <c r="AY50" s="229">
        <f ca="1">IF(AY3&lt;=Development_Period_Mnths,IF(AY4="",0,(AY47*Dev_All_In_InterestRate)*('Cashflow Dynamic'!AY4-'Cashflow Dynamic'!AX4)/365),IF(Inputs!$B$24="Yes",IF(AY4="",0,(AY47*Invest_All_In_InterestRate)*('Cashflow Dynamic'!AY4-'Cashflow Dynamic'!AX4)/365),IF(AY4="",0,(AY47*Dev_All_In_InterestRate)*('Cashflow Dynamic'!AY4-'Cashflow Dynamic'!AX4)/365)))</f>
        <v>47907.188826670041</v>
      </c>
      <c r="AZ50" s="229">
        <f ca="1">IF(AZ3&lt;=Development_Period_Mnths,IF(AZ4="",0,(AZ47*Dev_All_In_InterestRate)*('Cashflow Dynamic'!AZ4-'Cashflow Dynamic'!AY4)/365),IF(Inputs!$B$24="Yes",IF(AZ4="",0,(AZ47*Invest_All_In_InterestRate)*('Cashflow Dynamic'!AZ4-'Cashflow Dynamic'!AY4)/365),IF(AZ4="",0,(AZ47*Dev_All_In_InterestRate)*('Cashflow Dynamic'!AZ4-'Cashflow Dynamic'!AY4)/365)))</f>
        <v>49022.512859695678</v>
      </c>
      <c r="BA50" s="229">
        <f ca="1">IF(BA3&lt;=Development_Period_Mnths,IF(BA4="",0,(BA47*Dev_All_In_InterestRate)*('Cashflow Dynamic'!BA4-'Cashflow Dynamic'!AZ4)/365),IF(Inputs!$B$24="Yes",IF(BA4="",0,(BA47*Invest_All_In_InterestRate)*('Cashflow Dynamic'!BA4-'Cashflow Dynamic'!AZ4)/365),IF(BA4="",0,(BA47*Dev_All_In_InterestRate)*('Cashflow Dynamic'!BA4-'Cashflow Dynamic'!AZ4)/365)))</f>
        <v>46979.219298660726</v>
      </c>
      <c r="BB50" s="229">
        <f ca="1">IF(BB3&lt;=Development_Period_Mnths,IF(BB4="",0,(BB47*Dev_All_In_InterestRate)*('Cashflow Dynamic'!BB4-'Cashflow Dynamic'!BA4)/365),IF(Inputs!$B$24="Yes",IF(BB4="",0,(BB47*Invest_All_In_InterestRate)*('Cashflow Dynamic'!BB4-'Cashflow Dynamic'!BA4)/365),IF(BB4="",0,(BB47*Dev_All_In_InterestRate)*('Cashflow Dynamic'!BB4-'Cashflow Dynamic'!BA4)/365)))</f>
        <v>48060.06439082147</v>
      </c>
      <c r="BC50" s="229">
        <f ca="1">IF(BC3&lt;=Development_Period_Mnths,IF(BC4="",0,(BC47*Dev_All_In_InterestRate)*('Cashflow Dynamic'!BC4-'Cashflow Dynamic'!BB4)/365),IF(Inputs!$B$24="Yes",IF(BC4="",0,(BC47*Invest_All_In_InterestRate)*('Cashflow Dynamic'!BC4-'Cashflow Dynamic'!BB4)/365),IF(BC4="",0,(BC47*Dev_All_In_InterestRate)*('Cashflow Dynamic'!BC4-'Cashflow Dynamic'!BB4)/365)))</f>
        <v>47579.066407465842</v>
      </c>
      <c r="BD50" s="229">
        <f ca="1">IF(BD3&lt;=Development_Period_Mnths,IF(BD4="",0,(BD47*Dev_All_In_InterestRate)*('Cashflow Dynamic'!BD4-'Cashflow Dynamic'!BC4)/365),IF(Inputs!$B$24="Yes",IF(BD4="",0,(BD47*Invest_All_In_InterestRate)*('Cashflow Dynamic'!BD4-'Cashflow Dynamic'!BC4)/365),IF(BD4="",0,(BD47*Dev_All_In_InterestRate)*('Cashflow Dynamic'!BD4-'Cashflow Dynamic'!BC4)/365)))</f>
        <v>42538.530403285607</v>
      </c>
      <c r="BE50" s="229">
        <f ca="1">IF(BE3&lt;=Development_Period_Mnths,IF(BE4="",0,(BE47*Dev_All_In_InterestRate)*('Cashflow Dynamic'!BE4-'Cashflow Dynamic'!BD4)/365),IF(Inputs!$B$24="Yes",IF(BE4="",0,(BE47*Invest_All_In_InterestRate)*('Cashflow Dynamic'!BE4-'Cashflow Dynamic'!BD4)/365),IF(BE4="",0,(BE47*Dev_All_In_InterestRate)*('Cashflow Dynamic'!BE4-'Cashflow Dynamic'!BD4)/365)))</f>
        <v>46594.129256920649</v>
      </c>
      <c r="BF50" s="229">
        <f ca="1">IF(BF3&lt;=Development_Period_Mnths,IF(BF4="",0,(BF47*Dev_All_In_InterestRate)*('Cashflow Dynamic'!BF4-'Cashflow Dynamic'!BE4)/365),IF(Inputs!$B$24="Yes",IF(BF4="",0,(BF47*Invest_All_In_InterestRate)*('Cashflow Dynamic'!BF4-'Cashflow Dynamic'!BE4)/365),IF(BF4="",0,(BF47*Dev_All_In_InterestRate)*('Cashflow Dynamic'!BF4-'Cashflow Dynamic'!BE4)/365)))</f>
        <v>44620.188958036524</v>
      </c>
      <c r="BG50" s="229">
        <f ca="1">IF(BG3&lt;=Development_Period_Mnths,IF(BG4="",0,(BG47*Dev_All_In_InterestRate)*('Cashflow Dynamic'!BG4-'Cashflow Dynamic'!BF4)/365),IF(Inputs!$B$24="Yes",IF(BG4="",0,(BG47*Invest_All_In_InterestRate)*('Cashflow Dynamic'!BG4-'Cashflow Dynamic'!BF4)/365),IF(BG4="",0,(BG47*Dev_All_In_InterestRate)*('Cashflow Dynamic'!BG4-'Cashflow Dynamic'!BF4)/365)))</f>
        <v>45613.383685440829</v>
      </c>
      <c r="BH50" s="229">
        <f ca="1">IF(BH3&lt;=Development_Period_Mnths,IF(BH4="",0,(BH47*Dev_All_In_InterestRate)*('Cashflow Dynamic'!BH4-'Cashflow Dynamic'!BG4)/365),IF(Inputs!$B$24="Yes",IF(BH4="",0,(BH47*Invest_All_In_InterestRate)*('Cashflow Dynamic'!BH4-'Cashflow Dynamic'!BG4)/365),IF(BH4="",0,(BH47*Dev_All_In_InterestRate)*('Cashflow Dynamic'!BH4-'Cashflow Dynamic'!BG4)/365)))</f>
        <v>43667.452925348029</v>
      </c>
      <c r="BI50" s="229">
        <f ca="1">IF(BI3&lt;=Development_Period_Mnths,IF(BI4="",0,(BI47*Dev_All_In_InterestRate)*('Cashflow Dynamic'!BI4-'Cashflow Dynamic'!BH4)/365),IF(Inputs!$B$24="Yes",IF(BI4="",0,(BI47*Invest_All_In_InterestRate)*('Cashflow Dynamic'!BI4-'Cashflow Dynamic'!BH4)/365),IF(BI4="",0,(BI47*Dev_All_In_InterestRate)*('Cashflow Dynamic'!BI4-'Cashflow Dynamic'!BH4)/365)))</f>
        <v>44625.248506186195</v>
      </c>
      <c r="BJ50" s="229">
        <f ca="1">IF(BJ3&lt;=Development_Period_Mnths,IF(BJ4="",0,(BJ47*Dev_All_In_InterestRate)*('Cashflow Dynamic'!BJ4-'Cashflow Dynamic'!BI4)/365),IF(Inputs!$B$24="Yes",IF(BJ4="",0,(BJ47*Invest_All_In_InterestRate)*('Cashflow Dynamic'!BJ4-'Cashflow Dynamic'!BI4)/365),IF(BJ4="",0,(BJ47*Dev_All_In_InterestRate)*('Cashflow Dynamic'!BJ4-'Cashflow Dynamic'!BI4)/365)))</f>
        <v>44131.122938833134</v>
      </c>
      <c r="BK50" s="229">
        <f ca="1">IF(BK3&lt;=Development_Period_Mnths,IF(BK4="",0,(BK47*Dev_All_In_InterestRate)*('Cashflow Dynamic'!BK4-'Cashflow Dynamic'!BJ4)/365),IF(Inputs!$B$24="Yes",IF(BK4="",0,(BK47*Invest_All_In_InterestRate)*('Cashflow Dynamic'!BK4-'Cashflow Dynamic'!BJ4)/365),IF(BK4="",0,(BK47*Dev_All_In_InterestRate)*('Cashflow Dynamic'!BK4-'Cashflow Dynamic'!BJ4)/365)))</f>
        <v>42227.524707265839</v>
      </c>
      <c r="BL50" s="229">
        <f ca="1">IF(BL3&lt;=Development_Period_Mnths,IF(BL4="",0,(BL47*Dev_All_In_InterestRate)*('Cashflow Dynamic'!BL4-'Cashflow Dynamic'!BK4)/365),IF(Inputs!$B$24="Yes",IF(BL4="",0,(BL47*Invest_All_In_InterestRate)*('Cashflow Dynamic'!BL4-'Cashflow Dynamic'!BK4)/365),IF(BL4="",0,(BL47*Dev_All_In_InterestRate)*('Cashflow Dynamic'!BL4-'Cashflow Dynamic'!BK4)/365)))</f>
        <v>0</v>
      </c>
      <c r="BM50" s="229">
        <f>IF(BM3&lt;=Development_Period_Mnths,IF(BM4="",0,(BM47*Dev_All_In_InterestRate)*('Cashflow Dynamic'!BM4-'Cashflow Dynamic'!BL4)/365),IF(Inputs!$B$24="Yes",IF(BM4="",0,(BM47*Invest_All_In_InterestRate)*('Cashflow Dynamic'!BM4-'Cashflow Dynamic'!BL4)/365),IF(BM4="",0,(BM47*Dev_All_In_InterestRate)*('Cashflow Dynamic'!BM4-'Cashflow Dynamic'!BL4)/365)))</f>
        <v>0</v>
      </c>
      <c r="BN50" s="229">
        <f>IF(BN3&lt;=Development_Period_Mnths,IF(BN4="",0,(BN47*Dev_All_In_InterestRate)*('Cashflow Dynamic'!BN4-'Cashflow Dynamic'!BM4)/365),IF(Inputs!$B$24="Yes",IF(BN4="",0,(BN47*Invest_All_In_InterestRate)*('Cashflow Dynamic'!BN4-'Cashflow Dynamic'!BM4)/365),IF(BN4="",0,(BN47*Dev_All_In_InterestRate)*('Cashflow Dynamic'!BN4-'Cashflow Dynamic'!BM4)/365)))</f>
        <v>0</v>
      </c>
      <c r="BO50" s="229">
        <f>IF(BO3&lt;=Development_Period_Mnths,IF(BO4="",0,(BO47*Dev_All_In_InterestRate)*('Cashflow Dynamic'!BO4-'Cashflow Dynamic'!BN4)/365),IF(Inputs!$B$24="Yes",IF(BO4="",0,(BO47*Invest_All_In_InterestRate)*('Cashflow Dynamic'!BO4-'Cashflow Dynamic'!BN4)/365),IF(BO4="",0,(BO47*Dev_All_In_InterestRate)*('Cashflow Dynamic'!BO4-'Cashflow Dynamic'!BN4)/365)))</f>
        <v>0</v>
      </c>
      <c r="BP50" s="229">
        <f>IF(BP3&lt;=Development_Period_Mnths,IF(BP4="",0,(BP47*Dev_All_In_InterestRate)*('Cashflow Dynamic'!BP4-'Cashflow Dynamic'!BO4)/365),IF(Inputs!$B$24="Yes",IF(BP4="",0,(BP47*Invest_All_In_InterestRate)*('Cashflow Dynamic'!BP4-'Cashflow Dynamic'!BO4)/365),IF(BP4="",0,(BP47*Dev_All_In_InterestRate)*('Cashflow Dynamic'!BP4-'Cashflow Dynamic'!BO4)/365)))</f>
        <v>0</v>
      </c>
    </row>
    <row r="51" spans="1:68" s="357" customFormat="1" x14ac:dyDescent="0.2">
      <c r="A51" s="359" t="s">
        <v>81</v>
      </c>
      <c r="B51" s="228"/>
      <c r="C51" s="229">
        <f ca="1">SUM(F51:XFD51)</f>
        <v>238711.22176980184</v>
      </c>
      <c r="D51" s="229"/>
      <c r="E51" s="228"/>
      <c r="F51" s="229"/>
      <c r="G51" s="229">
        <f ca="1">IF(G4&gt;Practical_Completion_Date,0,IF(G4="",0,(Total_Debt-'Cashflow Dynamic'!G47)*Non_UtilFee_Percent*('Cashflow Dynamic'!G4-'Cashflow Dynamic'!F4)/365))</f>
        <v>16610.372019116301</v>
      </c>
      <c r="H51" s="229">
        <f ca="1">IF(H4&gt;Practical_Completion_Date,0,IF(H4="",0,(Total_Debt-'Cashflow Dynamic'!H47)*Non_UtilFee_Percent*('Cashflow Dynamic'!H4-'Cashflow Dynamic'!G4)/365))</f>
        <v>14986.115711771199</v>
      </c>
      <c r="I51" s="229">
        <f ca="1">IF(I4&gt;Practical_Completion_Date,0,IF(I4="",0,(Total_Debt-'Cashflow Dynamic'!I47)*Non_UtilFee_Percent*('Cashflow Dynamic'!I4-'Cashflow Dynamic'!H4)/365))</f>
        <v>16574.923640720594</v>
      </c>
      <c r="J51" s="229">
        <f ca="1">IF(J4&gt;Practical_Completion_Date,0,IF(J4="",0,(Total_Debt-'Cashflow Dynamic'!J47)*Non_UtilFee_Percent*('Cashflow Dynamic'!J4-'Cashflow Dynamic'!I4)/365))</f>
        <v>16022.152975134062</v>
      </c>
      <c r="K51" s="229">
        <f ca="1">IF(K4&gt;Practical_Completion_Date,0,IF(K4="",0,(Total_Debt-'Cashflow Dynamic'!K47)*Non_UtilFee_Percent*('Cashflow Dynamic'!K4-'Cashflow Dynamic'!J4)/365))</f>
        <v>16538.079082421842</v>
      </c>
      <c r="L51" s="229">
        <f ca="1">IF(L4&gt;Practical_Completion_Date,0,IF(L4="",0,(Total_Debt-'Cashflow Dynamic'!L47)*Non_UtilFee_Percent*('Cashflow Dynamic'!L4-'Cashflow Dynamic'!K4)/365))</f>
        <v>15986.398530578525</v>
      </c>
      <c r="M51" s="229">
        <f ca="1">IF(M4&gt;Practical_Completion_Date,0,IF(M4="",0,(Total_Debt-'Cashflow Dynamic'!M47)*Non_UtilFee_Percent*('Cashflow Dynamic'!M4-'Cashflow Dynamic'!L4)/365))</f>
        <v>16501.034130985074</v>
      </c>
      <c r="N51" s="229">
        <f ca="1">IF(N4&gt;Practical_Completion_Date,0,IF(N4="",0,(Total_Debt-'Cashflow Dynamic'!N47)*Non_UtilFee_Percent*('Cashflow Dynamic'!N4-'Cashflow Dynamic'!M4)/365))</f>
        <v>16482.131275945776</v>
      </c>
      <c r="O51" s="229">
        <f ca="1">IF(O4&gt;Practical_Completion_Date,0,IF(O4="",0,(Total_Debt-'Cashflow Dynamic'!O47)*Non_UtilFee_Percent*('Cashflow Dynamic'!O4-'Cashflow Dynamic'!N4)/365))</f>
        <v>15154.656273317705</v>
      </c>
      <c r="P51" s="229">
        <f ca="1">IF(P4&gt;Practical_Completion_Date,0,IF(P4="",0,(Total_Debt-'Cashflow Dynamic'!P47)*Non_UtilFee_Percent*('Cashflow Dynamic'!P4-'Cashflow Dynamic'!O4)/365))</f>
        <v>14489.138432608564</v>
      </c>
      <c r="Q51" s="229">
        <f ca="1">IF(Q4&gt;Practical_Completion_Date,0,IF(Q4="",0,(Total_Debt-'Cashflow Dynamic'!Q47)*Non_UtilFee_Percent*('Cashflow Dynamic'!Q4-'Cashflow Dynamic'!P4)/365))</f>
        <v>12885.047740195238</v>
      </c>
      <c r="R51" s="229">
        <f ca="1">IF(R4&gt;Practical_Completion_Date,0,IF(R4="",0,(Total_Debt-'Cashflow Dynamic'!R47)*Non_UtilFee_Percent*('Cashflow Dynamic'!R4-'Cashflow Dynamic'!Q4)/365))</f>
        <v>12137.611540353375</v>
      </c>
      <c r="S51" s="229">
        <f ca="1">IF(S4&gt;Practical_Completion_Date,0,IF(S4="",0,(Total_Debt-'Cashflow Dynamic'!S47)*Non_UtilFee_Percent*('Cashflow Dynamic'!S4-'Cashflow Dynamic'!R4)/365))</f>
        <v>10956.531580803321</v>
      </c>
      <c r="T51" s="229">
        <f ca="1">IF(T4&gt;Practical_Completion_Date,0,IF(T4="",0,(Total_Debt-'Cashflow Dynamic'!T47)*Non_UtilFee_Percent*('Cashflow Dynamic'!T4-'Cashflow Dynamic'!S4)/365))</f>
        <v>8826.4955637251005</v>
      </c>
      <c r="U51" s="229">
        <f ca="1">IF(U4&gt;Practical_Completion_Date,0,IF(U4="",0,(Total_Debt-'Cashflow Dynamic'!U47)*Non_UtilFee_Percent*('Cashflow Dynamic'!U4-'Cashflow Dynamic'!T4)/365))</f>
        <v>8588.2090892199849</v>
      </c>
      <c r="V51" s="229">
        <f ca="1">IF(V4&gt;Practical_Completion_Date,0,IF(V4="",0,(Total_Debt-'Cashflow Dynamic'!V47)*Non_UtilFee_Percent*('Cashflow Dynamic'!V4-'Cashflow Dynamic'!U4)/365))</f>
        <v>7158.7081998055919</v>
      </c>
      <c r="W51" s="229">
        <f ca="1">IF(W4&gt;Practical_Completion_Date,0,IF(W4="",0,(Total_Debt-'Cashflow Dynamic'!W47)*Non_UtilFee_Percent*('Cashflow Dynamic'!W4-'Cashflow Dynamic'!V4)/365))</f>
        <v>6204.5877492924474</v>
      </c>
      <c r="X51" s="229">
        <f ca="1">IF(X4&gt;Practical_Completion_Date,0,IF(X4="",0,(Total_Debt-'Cashflow Dynamic'!X47)*Non_UtilFee_Percent*('Cashflow Dynamic'!X4-'Cashflow Dynamic'!W4)/365))</f>
        <v>4845.6106631546072</v>
      </c>
      <c r="Y51" s="229">
        <f ca="1">IF(Y4&gt;Practical_Completion_Date,0,IF(Y4="",0,(Total_Debt-'Cashflow Dynamic'!Y47)*Non_UtilFee_Percent*('Cashflow Dynamic'!Y4-'Cashflow Dynamic'!X4)/365))</f>
        <v>3808.0021784932565</v>
      </c>
      <c r="Z51" s="229">
        <f ca="1">IF(Z4&gt;Practical_Completion_Date,0,IF(Z4="",0,(Total_Debt-'Cashflow Dynamic'!Z47)*Non_UtilFee_Percent*('Cashflow Dynamic'!Z4-'Cashflow Dynamic'!Y4)/365))</f>
        <v>2603.9302150197118</v>
      </c>
      <c r="AA51" s="229">
        <f ca="1">IF(AA4&gt;Practical_Completion_Date,0,IF(AA4="",0,(Total_Debt-'Cashflow Dynamic'!AA47)*Non_UtilFee_Percent*('Cashflow Dynamic'!AA4-'Cashflow Dynamic'!Z4)/365))</f>
        <v>1351.4851771395979</v>
      </c>
      <c r="AB51" s="229">
        <f>IF(AB4&gt;Practical_Completion_Date,0,IF(AB4="",0,(Total_Debt-'Cashflow Dynamic'!AB47)*Non_UtilFee_Percent*('Cashflow Dynamic'!AB4-'Cashflow Dynamic'!AA4)/365))</f>
        <v>0</v>
      </c>
      <c r="AC51" s="229">
        <f>IF(AC4&gt;Practical_Completion_Date,0,IF(AC4="",0,(Total_Debt-'Cashflow Dynamic'!AC47)*Non_UtilFee_Percent*('Cashflow Dynamic'!AC4-'Cashflow Dynamic'!AB4)/365))</f>
        <v>0</v>
      </c>
      <c r="AD51" s="229">
        <f>IF(AD4&gt;Practical_Completion_Date,0,IF(AD4="",0,(Total_Debt-'Cashflow Dynamic'!AD47)*Non_UtilFee_Percent*('Cashflow Dynamic'!AD4-'Cashflow Dynamic'!AC4)/365))</f>
        <v>0</v>
      </c>
      <c r="AE51" s="229">
        <f>IF(AE4&gt;Practical_Completion_Date,0,IF(AE4="",0,(Total_Debt-'Cashflow Dynamic'!AE47)*Non_UtilFee_Percent*('Cashflow Dynamic'!AE4-'Cashflow Dynamic'!AD4)/365))</f>
        <v>0</v>
      </c>
      <c r="AF51" s="229">
        <f>IF(AF4&gt;Practical_Completion_Date,0,IF(AF4="",0,(Total_Debt-'Cashflow Dynamic'!AF47)*Non_UtilFee_Percent*('Cashflow Dynamic'!AF4-'Cashflow Dynamic'!AE4)/365))</f>
        <v>0</v>
      </c>
      <c r="AG51" s="229">
        <f>IF(AG4&gt;Practical_Completion_Date,0,IF(AG4="",0,(Total_Debt-'Cashflow Dynamic'!AG47)*Non_UtilFee_Percent*('Cashflow Dynamic'!AG4-'Cashflow Dynamic'!AF4)/365))</f>
        <v>0</v>
      </c>
      <c r="AH51" s="229">
        <f>IF(AH4&gt;Practical_Completion_Date,0,IF(AH4="",0,(Total_Debt-'Cashflow Dynamic'!AH47)*Non_UtilFee_Percent*('Cashflow Dynamic'!AH4-'Cashflow Dynamic'!AG4)/365))</f>
        <v>0</v>
      </c>
      <c r="AI51" s="229">
        <f>IF(AI4&gt;Practical_Completion_Date,0,IF(AI4="",0,(Total_Debt-'Cashflow Dynamic'!AI47)*Non_UtilFee_Percent*('Cashflow Dynamic'!AI4-'Cashflow Dynamic'!AH4)/365))</f>
        <v>0</v>
      </c>
      <c r="AJ51" s="229">
        <f>IF(AJ4&gt;Practical_Completion_Date,0,IF(AJ4="",0,(Total_Debt-'Cashflow Dynamic'!AJ47)*Non_UtilFee_Percent*('Cashflow Dynamic'!AJ4-'Cashflow Dynamic'!AI4)/365))</f>
        <v>0</v>
      </c>
      <c r="AK51" s="229">
        <f>IF(AK4&gt;Practical_Completion_Date,0,IF(AK4="",0,(Total_Debt-'Cashflow Dynamic'!AK47)*Non_UtilFee_Percent*('Cashflow Dynamic'!AK4-'Cashflow Dynamic'!AJ4)/365))</f>
        <v>0</v>
      </c>
      <c r="AL51" s="229">
        <f>IF(AL4&gt;Practical_Completion_Date,0,IF(AL4="",0,(Total_Debt-'Cashflow Dynamic'!AL47)*Non_UtilFee_Percent*('Cashflow Dynamic'!AL4-'Cashflow Dynamic'!AK4)/365))</f>
        <v>0</v>
      </c>
      <c r="AM51" s="229">
        <f>IF(AM4&gt;Practical_Completion_Date,0,IF(AM4="",0,(Total_Debt-'Cashflow Dynamic'!AM47)*Non_UtilFee_Percent*('Cashflow Dynamic'!AM4-'Cashflow Dynamic'!AL4)/365))</f>
        <v>0</v>
      </c>
      <c r="AN51" s="229">
        <f>IF(AN4&gt;Practical_Completion_Date,0,IF(AN4="",0,(Total_Debt-'Cashflow Dynamic'!AN47)*Non_UtilFee_Percent*('Cashflow Dynamic'!AN4-'Cashflow Dynamic'!AM4)/365))</f>
        <v>0</v>
      </c>
      <c r="AO51" s="229">
        <f>IF(AO4&gt;Practical_Completion_Date,0,IF(AO4="",0,(Total_Debt-'Cashflow Dynamic'!AO47)*Non_UtilFee_Percent*('Cashflow Dynamic'!AO4-'Cashflow Dynamic'!AN4)/365))</f>
        <v>0</v>
      </c>
      <c r="AP51" s="229">
        <f>IF(AP4&gt;Practical_Completion_Date,0,IF(AP4="",0,(Total_Debt-'Cashflow Dynamic'!AP47)*Non_UtilFee_Percent*('Cashflow Dynamic'!AP4-'Cashflow Dynamic'!AO4)/365))</f>
        <v>0</v>
      </c>
      <c r="AQ51" s="229">
        <f>IF(AQ4&gt;Practical_Completion_Date,0,IF(AQ4="",0,(Total_Debt-'Cashflow Dynamic'!AQ47)*Non_UtilFee_Percent*('Cashflow Dynamic'!AQ4-'Cashflow Dynamic'!AP4)/365))</f>
        <v>0</v>
      </c>
      <c r="AR51" s="229">
        <f>IF(AR4&gt;Practical_Completion_Date,0,IF(AR4="",0,(Total_Debt-'Cashflow Dynamic'!AR47)*Non_UtilFee_Percent*('Cashflow Dynamic'!AR4-'Cashflow Dynamic'!AQ4)/365))</f>
        <v>0</v>
      </c>
      <c r="AS51" s="229">
        <f>IF(AS4&gt;Practical_Completion_Date,0,IF(AS4="",0,(Total_Debt-'Cashflow Dynamic'!AS47)*Non_UtilFee_Percent*('Cashflow Dynamic'!AS4-'Cashflow Dynamic'!AR4)/365))</f>
        <v>0</v>
      </c>
      <c r="AT51" s="229">
        <f>IF(AT4&gt;Practical_Completion_Date,0,IF(AT4="",0,(Total_Debt-'Cashflow Dynamic'!AT47)*Non_UtilFee_Percent*('Cashflow Dynamic'!AT4-'Cashflow Dynamic'!AS4)/365))</f>
        <v>0</v>
      </c>
      <c r="AU51" s="229">
        <f>IF(AU4&gt;Practical_Completion_Date,0,IF(AU4="",0,(Total_Debt-'Cashflow Dynamic'!AU47)*Non_UtilFee_Percent*('Cashflow Dynamic'!AU4-'Cashflow Dynamic'!AT4)/365))</f>
        <v>0</v>
      </c>
      <c r="AV51" s="229">
        <f>IF(AV4&gt;Practical_Completion_Date,0,IF(AV4="",0,(Total_Debt-'Cashflow Dynamic'!AV47)*Non_UtilFee_Percent*('Cashflow Dynamic'!AV4-'Cashflow Dynamic'!AU4)/365))</f>
        <v>0</v>
      </c>
      <c r="AW51" s="229">
        <f>IF(AW4&gt;Practical_Completion_Date,0,IF(AW4="",0,(Total_Debt-'Cashflow Dynamic'!AW47)*Non_UtilFee_Percent*('Cashflow Dynamic'!AW4-'Cashflow Dynamic'!AV4)/365))</f>
        <v>0</v>
      </c>
      <c r="AX51" s="229">
        <f>IF(AX4&gt;Practical_Completion_Date,0,IF(AX4="",0,(Total_Debt-'Cashflow Dynamic'!AX47)*Non_UtilFee_Percent*('Cashflow Dynamic'!AX4-'Cashflow Dynamic'!AW4)/365))</f>
        <v>0</v>
      </c>
      <c r="AY51" s="229">
        <f>IF(AY4&gt;Practical_Completion_Date,0,IF(AY4="",0,(Total_Debt-'Cashflow Dynamic'!AY47)*Non_UtilFee_Percent*('Cashflow Dynamic'!AY4-'Cashflow Dynamic'!AX4)/365))</f>
        <v>0</v>
      </c>
      <c r="AZ51" s="229">
        <f>IF(AZ4&gt;Practical_Completion_Date,0,IF(AZ4="",0,(Total_Debt-'Cashflow Dynamic'!AZ47)*Non_UtilFee_Percent*('Cashflow Dynamic'!AZ4-'Cashflow Dynamic'!AY4)/365))</f>
        <v>0</v>
      </c>
      <c r="BA51" s="229">
        <f>IF(BA4&gt;Practical_Completion_Date,0,IF(BA4="",0,(Total_Debt-'Cashflow Dynamic'!BA47)*Non_UtilFee_Percent*('Cashflow Dynamic'!BA4-'Cashflow Dynamic'!AZ4)/365))</f>
        <v>0</v>
      </c>
      <c r="BB51" s="229">
        <f>IF(BB4&gt;Practical_Completion_Date,0,IF(BB4="",0,(Total_Debt-'Cashflow Dynamic'!BB47)*Non_UtilFee_Percent*('Cashflow Dynamic'!BB4-'Cashflow Dynamic'!BA4)/365))</f>
        <v>0</v>
      </c>
      <c r="BC51" s="229">
        <f>IF(BC4&gt;Practical_Completion_Date,0,IF(BC4="",0,(Total_Debt-'Cashflow Dynamic'!BC47)*Non_UtilFee_Percent*('Cashflow Dynamic'!BC4-'Cashflow Dynamic'!BB4)/365))</f>
        <v>0</v>
      </c>
      <c r="BD51" s="229">
        <f>IF(BD4&gt;Practical_Completion_Date,0,IF(BD4="",0,(Total_Debt-'Cashflow Dynamic'!BD47)*Non_UtilFee_Percent*('Cashflow Dynamic'!BD4-'Cashflow Dynamic'!BC4)/365))</f>
        <v>0</v>
      </c>
      <c r="BE51" s="229">
        <f>IF(BE4&gt;Practical_Completion_Date,0,IF(BE4="",0,(Total_Debt-'Cashflow Dynamic'!BE47)*Non_UtilFee_Percent*('Cashflow Dynamic'!BE4-'Cashflow Dynamic'!BD4)/365))</f>
        <v>0</v>
      </c>
      <c r="BF51" s="229">
        <f>IF(BF4&gt;Practical_Completion_Date,0,IF(BF4="",0,(Total_Debt-'Cashflow Dynamic'!BF47)*Non_UtilFee_Percent*('Cashflow Dynamic'!BF4-'Cashflow Dynamic'!BE4)/365))</f>
        <v>0</v>
      </c>
      <c r="BG51" s="229">
        <f>IF(BG4&gt;Practical_Completion_Date,0,IF(BG4="",0,(Total_Debt-'Cashflow Dynamic'!BG47)*Non_UtilFee_Percent*('Cashflow Dynamic'!BG4-'Cashflow Dynamic'!BF4)/365))</f>
        <v>0</v>
      </c>
      <c r="BH51" s="229">
        <f>IF(BH4&gt;Practical_Completion_Date,0,IF(BH4="",0,(Total_Debt-'Cashflow Dynamic'!BH47)*Non_UtilFee_Percent*('Cashflow Dynamic'!BH4-'Cashflow Dynamic'!BG4)/365))</f>
        <v>0</v>
      </c>
      <c r="BI51" s="229">
        <f>IF(BI4&gt;Practical_Completion_Date,0,IF(BI4="",0,(Total_Debt-'Cashflow Dynamic'!BI47)*Non_UtilFee_Percent*('Cashflow Dynamic'!BI4-'Cashflow Dynamic'!BH4)/365))</f>
        <v>0</v>
      </c>
      <c r="BJ51" s="229">
        <f>IF(BJ4&gt;Practical_Completion_Date,0,IF(BJ4="",0,(Total_Debt-'Cashflow Dynamic'!BJ47)*Non_UtilFee_Percent*('Cashflow Dynamic'!BJ4-'Cashflow Dynamic'!BI4)/365))</f>
        <v>0</v>
      </c>
      <c r="BK51" s="229">
        <f>IF(BK4&gt;Practical_Completion_Date,0,IF(BK4="",0,(Total_Debt-'Cashflow Dynamic'!BK47)*Non_UtilFee_Percent*('Cashflow Dynamic'!BK4-'Cashflow Dynamic'!BJ4)/365))</f>
        <v>0</v>
      </c>
      <c r="BL51" s="229">
        <f>IF(BL4&gt;Practical_Completion_Date,0,IF(BL4="",0,(Total_Debt-'Cashflow Dynamic'!BL47)*Non_UtilFee_Percent*('Cashflow Dynamic'!BL4-'Cashflow Dynamic'!BK4)/365))</f>
        <v>0</v>
      </c>
      <c r="BM51" s="229">
        <f>IF(BM4&gt;Practical_Completion_Date,0,IF(BM4="",0,(Total_Debt-'Cashflow Dynamic'!BM47)*Non_UtilFee_Percent*('Cashflow Dynamic'!BM4-'Cashflow Dynamic'!BL4)/365))</f>
        <v>0</v>
      </c>
      <c r="BN51" s="229">
        <f>IF(BN4&gt;Practical_Completion_Date,0,IF(BN4="",0,(Total_Debt-'Cashflow Dynamic'!BN47)*Non_UtilFee_Percent*('Cashflow Dynamic'!BN4-'Cashflow Dynamic'!BM4)/365))</f>
        <v>0</v>
      </c>
      <c r="BO51" s="229">
        <f>IF(BO4&gt;Practical_Completion_Date,0,IF(BO4="",0,(Total_Debt-'Cashflow Dynamic'!BO47)*Non_UtilFee_Percent*('Cashflow Dynamic'!BO4-'Cashflow Dynamic'!BN4)/365))</f>
        <v>0</v>
      </c>
      <c r="BP51" s="229">
        <f>IF(BP4&gt;Practical_Completion_Date,0,IF(BP4="",0,(Total_Debt-'Cashflow Dynamic'!BP47)*Non_UtilFee_Percent*('Cashflow Dynamic'!BP4-'Cashflow Dynamic'!BO4)/365))</f>
        <v>0</v>
      </c>
    </row>
    <row r="52" spans="1:68" s="357" customFormat="1" x14ac:dyDescent="0.2">
      <c r="A52" s="359" t="s">
        <v>75</v>
      </c>
      <c r="B52" s="228"/>
      <c r="C52" s="229"/>
      <c r="D52" s="229"/>
      <c r="E52" s="228"/>
      <c r="F52" s="229">
        <f>IF(Repayment_Type="Interest Only",IF(F3="",0,IF(F4&lt;=Practical_Completion_Date,0,IF(F4&gt;=Interest_Serviced_From,IF(F47&lt;F25,(-F47-F48-F49-F50-F51),-F50),0))),IF(F3="",0,IF(F4&lt;=Practical_Completion_Date,0,IF(F4&gt;=Interest_Serviced_From,IF(F47&lt;F25,(-F47-F48-F49-F50-F51),IF(Specify_Amort_Amts="No",IF(((F47-F48-F49-F50-F51)-F11)&lt;0,(F47+F48+F49+F50+F51)*-1,-F11),IF(DATEDIF(Practical_Completion_Date,F4,"M")&lt;=12,(Inputs!$H$20/12),Inputs!$H$21/12))),IF(((F47-F48-F49-F50-F51)-F11)&lt;0,(F47+F48+F49+F50+F51)*-1,-F11)))))</f>
        <v>0</v>
      </c>
      <c r="G52" s="229">
        <f>IF(Repayment_Type="Interest Only",IF(G3="",0,IF(G4&lt;=Practical_Completion_Date,0,IF(G4&gt;=Interest_Serviced_From,IF(G47&lt;G25,(-G47-G48-G49-G50-G51),-G50),0))),IF(G3="",0,IF(G4&lt;=Practical_Completion_Date,0,IF(G4&gt;=Interest_Serviced_From,IF(G47&lt;G25,(-G47-G48-G49-G50-G51),IF(Specify_Amort_Amts="No",IF(((G47-G48-G49-G50-G51)-G11)&lt;0,(G47+G48+G49+G50+G51)*-1,-G11),IF(DATEDIF(Practical_Completion_Date,G4,"M")&lt;=12,(Inputs!$H$20/12),Inputs!$H$21/12))),IF(((G47-G48-G49-G50-G51)-G11)&lt;0,(G47+G48+G49+G50+G51)*-1,-G11)))))</f>
        <v>0</v>
      </c>
      <c r="H52" s="229">
        <f>IF(Repayment_Type="Interest Only",IF(H3="",0,IF(H4&lt;=Practical_Completion_Date,0,IF(H4&gt;=Interest_Serviced_From,IF(H47&lt;H25,(-H47-H48-H49-H50-H51),-H50),0))),IF(H3="",0,IF(H4&lt;=Practical_Completion_Date,0,IF(H4&gt;=Interest_Serviced_From,IF(H47&lt;H25,(-H47-H48-H49-H50-H51),IF(Specify_Amort_Amts="No",IF(((H47-H48-H49-H50-H51)-H11)&lt;0,(H47+H48+H49+H50+H51)*-1,-H11),IF(DATEDIF(Practical_Completion_Date,H4,"M")&lt;=12,(Inputs!$H$20/12),Inputs!$H$21/12))),IF(((H47-H48-H49-H50-H51)-H11)&lt;0,(H47+H48+H49+H50+H51)*-1,-H11)))))</f>
        <v>0</v>
      </c>
      <c r="I52" s="229">
        <f>IF(Repayment_Type="Interest Only",IF(I3="",0,IF(I4&lt;=Practical_Completion_Date,0,IF(I4&gt;=Interest_Serviced_From,IF(I47&lt;I25,(-I47-I48-I49-I50-I51),-I50),0))),IF(I3="",0,IF(I4&lt;=Practical_Completion_Date,0,IF(I4&gt;=Interest_Serviced_From,IF(I47&lt;I25,(-I47-I48-I49-I50-I51),IF(Specify_Amort_Amts="No",IF(((I47-I48-I49-I50-I51)-I11)&lt;0,(I47+I48+I49+I50+I51)*-1,-I11),IF(DATEDIF(Practical_Completion_Date,I4,"M")&lt;=12,(Inputs!$H$20/12),Inputs!$H$21/12))),IF(((I47-I48-I49-I50-I51)-I11)&lt;0,(I47+I48+I49+I50+I51)*-1,-I11)))))</f>
        <v>0</v>
      </c>
      <c r="J52" s="229">
        <f>IF(Repayment_Type="Interest Only",IF(J3="",0,IF(J4&lt;=Practical_Completion_Date,0,IF(J4&gt;=Interest_Serviced_From,IF(J47&lt;J25,(-J47-J48-J49-J50-J51),-J50),0))),IF(J3="",0,IF(J4&lt;=Practical_Completion_Date,0,IF(J4&gt;=Interest_Serviced_From,IF(J47&lt;J25,(-J47-J48-J49-J50-J51),IF(Specify_Amort_Amts="No",IF(((J47-J48-J49-J50-J51)-J11)&lt;0,(J47+J48+J49+J50+J51)*-1,-J11),IF(DATEDIF(Practical_Completion_Date,J4,"M")&lt;=12,(Inputs!$H$20/12),Inputs!$H$21/12))),IF(((J47-J48-J49-J50-J51)-J11)&lt;0,(J47+J48+J49+J50+J51)*-1,-J11)))))</f>
        <v>0</v>
      </c>
      <c r="K52" s="229">
        <f>IF(Repayment_Type="Interest Only",IF(K3="",0,IF(K4&lt;=Practical_Completion_Date,0,IF(K4&gt;=Interest_Serviced_From,IF(K47&lt;K25,(-K47-K48-K49-K50-K51),-K50),0))),IF(K3="",0,IF(K4&lt;=Practical_Completion_Date,0,IF(K4&gt;=Interest_Serviced_From,IF(K47&lt;K25,(-K47-K48-K49-K50-K51),IF(Specify_Amort_Amts="No",IF(((K47-K48-K49-K50-K51)-K11)&lt;0,(K47+K48+K49+K50+K51)*-1,-K11),IF(DATEDIF(Practical_Completion_Date,K4,"M")&lt;=12,(Inputs!$H$20/12),Inputs!$H$21/12))),IF(((K47-K48-K49-K50-K51)-K11)&lt;0,(K47+K48+K49+K50+K51)*-1,-K11)))))</f>
        <v>0</v>
      </c>
      <c r="L52" s="229">
        <f>IF(Repayment_Type="Interest Only",IF(L3="",0,IF(L4&lt;=Practical_Completion_Date,0,IF(L4&gt;=Interest_Serviced_From,IF(L47&lt;L25,(-L47-L48-L49-L50-L51),-L50),0))),IF(L3="",0,IF(L4&lt;=Practical_Completion_Date,0,IF(L4&gt;=Interest_Serviced_From,IF(L47&lt;L25,(-L47-L48-L49-L50-L51),IF(Specify_Amort_Amts="No",IF(((L47-L48-L49-L50-L51)-L11)&lt;0,(L47+L48+L49+L50+L51)*-1,-L11),IF(DATEDIF(Practical_Completion_Date,L4,"M")&lt;=12,(Inputs!$H$20/12),Inputs!$H$21/12))),IF(((L47-L48-L49-L50-L51)-L11)&lt;0,(L47+L48+L49+L50+L51)*-1,-L11)))))</f>
        <v>0</v>
      </c>
      <c r="M52" s="229">
        <f>IF(Repayment_Type="Interest Only",IF(M3="",0,IF(M4&lt;=Practical_Completion_Date,0,IF(M4&gt;=Interest_Serviced_From,IF(M47&lt;M25,(-M47-M48-M49-M50-M51),-M50),0))),IF(M3="",0,IF(M4&lt;=Practical_Completion_Date,0,IF(M4&gt;=Interest_Serviced_From,IF(M47&lt;M25,(-M47-M48-M49-M50-M51),IF(Specify_Amort_Amts="No",IF(((M47-M48-M49-M50-M51)-M11)&lt;0,(M47+M48+M49+M50+M51)*-1,-M11),IF(DATEDIF(Practical_Completion_Date,M4,"M")&lt;=12,(Inputs!$H$20/12),Inputs!$H$21/12))),IF(((M47-M48-M49-M50-M51)-M11)&lt;0,(M47+M48+M49+M50+M51)*-1,-M11)))))</f>
        <v>0</v>
      </c>
      <c r="N52" s="229">
        <f>IF(Repayment_Type="Interest Only",IF(N3="",0,IF(N4&lt;=Practical_Completion_Date,0,IF(N4&gt;=Interest_Serviced_From,IF(N47&lt;N25,(-N47-N48-N49-N50-N51),-N50),0))),IF(N3="",0,IF(N4&lt;=Practical_Completion_Date,0,IF(N4&gt;=Interest_Serviced_From,IF(N47&lt;N25,(-N47-N48-N49-N50-N51),IF(Specify_Amort_Amts="No",IF(((N47-N48-N49-N50-N51)-N11)&lt;0,(N47+N48+N49+N50+N51)*-1,-N11),IF(DATEDIF(Practical_Completion_Date,N4,"M")&lt;=12,(Inputs!$H$20/12),Inputs!$H$21/12))),IF(((N47-N48-N49-N50-N51)-N11)&lt;0,(N47+N48+N49+N50+N51)*-1,-N11)))))</f>
        <v>0</v>
      </c>
      <c r="O52" s="229">
        <f>IF(Repayment_Type="Interest Only",IF(O3="",0,IF(O4&lt;=Practical_Completion_Date,0,IF(O4&gt;=Interest_Serviced_From,IF(O47&lt;O25,(-O47-O48-O49-O50-O51),-O50),0))),IF(O3="",0,IF(O4&lt;=Practical_Completion_Date,0,IF(O4&gt;=Interest_Serviced_From,IF(O47&lt;O25,(-O47-O48-O49-O50-O51),IF(Specify_Amort_Amts="No",IF(((O47-O48-O49-O50-O51)-O11)&lt;0,(O47+O48+O49+O50+O51)*-1,-O11),IF(DATEDIF(Practical_Completion_Date,O4,"M")&lt;=12,(Inputs!$H$20/12),Inputs!$H$21/12))),IF(((O47-O48-O49-O50-O51)-O11)&lt;0,(O47+O48+O49+O50+O51)*-1,-O11)))))</f>
        <v>0</v>
      </c>
      <c r="P52" s="229">
        <f>IF(Repayment_Type="Interest Only",IF(P3="",0,IF(P4&lt;=Practical_Completion_Date,0,IF(P4&gt;=Interest_Serviced_From,IF(P47&lt;P25,(-P47-P48-P49-P50-P51),-P50),0))),IF(P3="",0,IF(P4&lt;=Practical_Completion_Date,0,IF(P4&gt;=Interest_Serviced_From,IF(P47&lt;P25,(-P47-P48-P49-P50-P51),IF(Specify_Amort_Amts="No",IF(((P47-P48-P49-P50-P51)-P11)&lt;0,(P47+P48+P49+P50+P51)*-1,-P11),IF(DATEDIF(Practical_Completion_Date,P4,"M")&lt;=12,(Inputs!$H$20/12),Inputs!$H$21/12))),IF(((P47-P48-P49-P50-P51)-P11)&lt;0,(P47+P48+P49+P50+P51)*-1,-P11)))))</f>
        <v>0</v>
      </c>
      <c r="Q52" s="229">
        <f>IF(Repayment_Type="Interest Only",IF(Q3="",0,IF(Q4&lt;=Practical_Completion_Date,0,IF(Q4&gt;=Interest_Serviced_From,IF(Q47&lt;Q25,(-Q47-Q48-Q49-Q50-Q51),-Q50),0))),IF(Q3="",0,IF(Q4&lt;=Practical_Completion_Date,0,IF(Q4&gt;=Interest_Serviced_From,IF(Q47&lt;Q25,(-Q47-Q48-Q49-Q50-Q51),IF(Specify_Amort_Amts="No",IF(((Q47-Q48-Q49-Q50-Q51)-Q11)&lt;0,(Q47+Q48+Q49+Q50+Q51)*-1,-Q11),IF(DATEDIF(Practical_Completion_Date,Q4,"M")&lt;=12,(Inputs!$H$20/12),Inputs!$H$21/12))),IF(((Q47-Q48-Q49-Q50-Q51)-Q11)&lt;0,(Q47+Q48+Q49+Q50+Q51)*-1,-Q11)))))</f>
        <v>0</v>
      </c>
      <c r="R52" s="229">
        <f>IF(Repayment_Type="Interest Only",IF(R3="",0,IF(R4&lt;=Practical_Completion_Date,0,IF(R4&gt;=Interest_Serviced_From,IF(R47&lt;R25,(-R47-R48-R49-R50-R51),-R50),0))),IF(R3="",0,IF(R4&lt;=Practical_Completion_Date,0,IF(R4&gt;=Interest_Serviced_From,IF(R47&lt;R25,(-R47-R48-R49-R50-R51),IF(Specify_Amort_Amts="No",IF(((R47-R48-R49-R50-R51)-R11)&lt;0,(R47+R48+R49+R50+R51)*-1,-R11),IF(DATEDIF(Practical_Completion_Date,R4,"M")&lt;=12,(Inputs!$H$20/12),Inputs!$H$21/12))),IF(((R47-R48-R49-R50-R51)-R11)&lt;0,(R47+R48+R49+R50+R51)*-1,-R11)))))</f>
        <v>0</v>
      </c>
      <c r="S52" s="229">
        <f>IF(Repayment_Type="Interest Only",IF(S3="",0,IF(S4&lt;=Practical_Completion_Date,0,IF(S4&gt;=Interest_Serviced_From,IF(S47&lt;S25,(-S47-S48-S49-S50-S51),-S50),0))),IF(S3="",0,IF(S4&lt;=Practical_Completion_Date,0,IF(S4&gt;=Interest_Serviced_From,IF(S47&lt;S25,(-S47-S48-S49-S50-S51),IF(Specify_Amort_Amts="No",IF(((S47-S48-S49-S50-S51)-S11)&lt;0,(S47+S48+S49+S50+S51)*-1,-S11),IF(DATEDIF(Practical_Completion_Date,S4,"M")&lt;=12,(Inputs!$H$20/12),Inputs!$H$21/12))),IF(((S47-S48-S49-S50-S51)-S11)&lt;0,(S47+S48+S49+S50+S51)*-1,-S11)))))</f>
        <v>0</v>
      </c>
      <c r="T52" s="229">
        <f>IF(Repayment_Type="Interest Only",IF(T3="",0,IF(T4&lt;=Practical_Completion_Date,0,IF(T4&gt;=Interest_Serviced_From,IF(T47&lt;T25,(-T47-T48-T49-T50-T51),-T50),0))),IF(T3="",0,IF(T4&lt;=Practical_Completion_Date,0,IF(T4&gt;=Interest_Serviced_From,IF(T47&lt;T25,(-T47-T48-T49-T50-T51),IF(Specify_Amort_Amts="No",IF(((T47-T48-T49-T50-T51)-T11)&lt;0,(T47+T48+T49+T50+T51)*-1,-T11),IF(DATEDIF(Practical_Completion_Date,T4,"M")&lt;=12,(Inputs!$H$20/12),Inputs!$H$21/12))),IF(((T47-T48-T49-T50-T51)-T11)&lt;0,(T47+T48+T49+T50+T51)*-1,-T11)))))</f>
        <v>0</v>
      </c>
      <c r="U52" s="229">
        <f>IF(Repayment_Type="Interest Only",IF(U3="",0,IF(U4&lt;=Practical_Completion_Date,0,IF(U4&gt;=Interest_Serviced_From,IF(U47&lt;U25,(-U47-U48-U49-U50-U51),-U50),0))),IF(U3="",0,IF(U4&lt;=Practical_Completion_Date,0,IF(U4&gt;=Interest_Serviced_From,IF(U47&lt;U25,(-U47-U48-U49-U50-U51),IF(Specify_Amort_Amts="No",IF(((U47-U48-U49-U50-U51)-U11)&lt;0,(U47+U48+U49+U50+U51)*-1,-U11),IF(DATEDIF(Practical_Completion_Date,U4,"M")&lt;=12,(Inputs!$H$20/12),Inputs!$H$21/12))),IF(((U47-U48-U49-U50-U51)-U11)&lt;0,(U47+U48+U49+U50+U51)*-1,-U11)))))</f>
        <v>0</v>
      </c>
      <c r="V52" s="229">
        <f>IF(Repayment_Type="Interest Only",IF(V3="",0,IF(V4&lt;=Practical_Completion_Date,0,IF(V4&gt;=Interest_Serviced_From,IF(V47&lt;V25,(-V47-V48-V49-V50-V51),-V50),0))),IF(V3="",0,IF(V4&lt;=Practical_Completion_Date,0,IF(V4&gt;=Interest_Serviced_From,IF(V47&lt;V25,(-V47-V48-V49-V50-V51),IF(Specify_Amort_Amts="No",IF(((V47-V48-V49-V50-V51)-V11)&lt;0,(V47+V48+V49+V50+V51)*-1,-V11),IF(DATEDIF(Practical_Completion_Date,V4,"M")&lt;=12,(Inputs!$H$20/12),Inputs!$H$21/12))),IF(((V47-V48-V49-V50-V51)-V11)&lt;0,(V47+V48+V49+V50+V51)*-1,-V11)))))</f>
        <v>0</v>
      </c>
      <c r="W52" s="229">
        <f>IF(Repayment_Type="Interest Only",IF(W3="",0,IF(W4&lt;=Practical_Completion_Date,0,IF(W4&gt;=Interest_Serviced_From,IF(W47&lt;W25,(-W47-W48-W49-W50-W51),-W50),0))),IF(W3="",0,IF(W4&lt;=Practical_Completion_Date,0,IF(W4&gt;=Interest_Serviced_From,IF(W47&lt;W25,(-W47-W48-W49-W50-W51),IF(Specify_Amort_Amts="No",IF(((W47-W48-W49-W50-W51)-W11)&lt;0,(W47+W48+W49+W50+W51)*-1,-W11),IF(DATEDIF(Practical_Completion_Date,W4,"M")&lt;=12,(Inputs!$H$20/12),Inputs!$H$21/12))),IF(((W47-W48-W49-W50-W51)-W11)&lt;0,(W47+W48+W49+W50+W51)*-1,-W11)))))</f>
        <v>0</v>
      </c>
      <c r="X52" s="229">
        <f>IF(Repayment_Type="Interest Only",IF(X3="",0,IF(X4&lt;=Practical_Completion_Date,0,IF(X4&gt;=Interest_Serviced_From,IF(X47&lt;X25,(-X47-X48-X49-X50-X51),-X50),0))),IF(X3="",0,IF(X4&lt;=Practical_Completion_Date,0,IF(X4&gt;=Interest_Serviced_From,IF(X47&lt;X25,(-X47-X48-X49-X50-X51),IF(Specify_Amort_Amts="No",IF(((X47-X48-X49-X50-X51)-X11)&lt;0,(X47+X48+X49+X50+X51)*-1,-X11),IF(DATEDIF(Practical_Completion_Date,X4,"M")&lt;=12,(Inputs!$H$20/12),Inputs!$H$21/12))),IF(((X47-X48-X49-X50-X51)-X11)&lt;0,(X47+X48+X49+X50+X51)*-1,-X11)))))</f>
        <v>0</v>
      </c>
      <c r="Y52" s="229">
        <f>IF(Repayment_Type="Interest Only",IF(Y3="",0,IF(Y4&lt;=Practical_Completion_Date,0,IF(Y4&gt;=Interest_Serviced_From,IF(Y47&lt;Y25,(-Y47-Y48-Y49-Y50-Y51),-Y50),0))),IF(Y3="",0,IF(Y4&lt;=Practical_Completion_Date,0,IF(Y4&gt;=Interest_Serviced_From,IF(Y47&lt;Y25,(-Y47-Y48-Y49-Y50-Y51),IF(Specify_Amort_Amts="No",IF(((Y47-Y48-Y49-Y50-Y51)-Y11)&lt;0,(Y47+Y48+Y49+Y50+Y51)*-1,-Y11),IF(DATEDIF(Practical_Completion_Date,Y4,"M")&lt;=12,(Inputs!$H$20/12),Inputs!$H$21/12))),IF(((Y47-Y48-Y49-Y50-Y51)-Y11)&lt;0,(Y47+Y48+Y49+Y50+Y51)*-1,-Y11)))))</f>
        <v>0</v>
      </c>
      <c r="Z52" s="229">
        <f>IF(Repayment_Type="Interest Only",IF(Z3="",0,IF(Z4&lt;=Practical_Completion_Date,0,IF(Z4&gt;=Interest_Serviced_From,IF(Z47&lt;Z25,(-Z47-Z48-Z49-Z50-Z51),-Z50),0))),IF(Z3="",0,IF(Z4&lt;=Practical_Completion_Date,0,IF(Z4&gt;=Interest_Serviced_From,IF(Z47&lt;Z25,(-Z47-Z48-Z49-Z50-Z51),IF(Specify_Amort_Amts="No",IF(((Z47-Z48-Z49-Z50-Z51)-Z11)&lt;0,(Z47+Z48+Z49+Z50+Z51)*-1,-Z11),IF(DATEDIF(Practical_Completion_Date,Z4,"M")&lt;=12,(Inputs!$H$20/12),Inputs!$H$21/12))),IF(((Z47-Z48-Z49-Z50-Z51)-Z11)&lt;0,(Z47+Z48+Z49+Z50+Z51)*-1,-Z11)))))</f>
        <v>0</v>
      </c>
      <c r="AA52" s="229">
        <f>IF(Repayment_Type="Interest Only",IF(AA3="",0,IF(AA4&lt;=Practical_Completion_Date,0,IF(AA4&gt;=Interest_Serviced_From,IF(AA47&lt;AA25,(-AA47-AA48-AA49-AA50-AA51),-AA50),0))),IF(AA3="",0,IF(AA4&lt;=Practical_Completion_Date,0,IF(AA4&gt;=Interest_Serviced_From,IF(AA47&lt;AA25,(-AA47-AA48-AA49-AA50-AA51),IF(Specify_Amort_Amts="No",IF(((AA47-AA48-AA49-AA50-AA51)-AA11)&lt;0,(AA47+AA48+AA49+AA50+AA51)*-1,-AA11),IF(DATEDIF(Practical_Completion_Date,AA4,"M")&lt;=12,(Inputs!$H$20/12),Inputs!$H$21/12))),IF(((AA47-AA48-AA49-AA50-AA51)-AA11)&lt;0,(AA47+AA48+AA49+AA50+AA51)*-1,-AA11)))))</f>
        <v>0</v>
      </c>
      <c r="AB52" s="229">
        <f ca="1">IF(Repayment_Type="Interest Only",IF(AB3="",0,IF(AB4&lt;=Practical_Completion_Date,0,IF(AB4&gt;=Interest_Serviced_From,IF(AB47&lt;AB25,(-AB47-AB48-AB49-AB50-AB51),-AB50),0))),IF(AB3="",0,IF(AB4&lt;=Practical_Completion_Date,0,IF(AB4&gt;=Interest_Serviced_From,IF(AB47&lt;AB25,(-AB47-AB48-AB49-AB50-AB51),IF(Specify_Amort_Amts="No",IF(((AB47-AB48-AB49-AB50-AB51)-AB11)&lt;0,(AB47+AB48+AB49+AB50+AB51)*-1,-AB11),IF(DATEDIF(Practical_Completion_Date,AB4,"M")&lt;=12,(Inputs!$H$20/12),Inputs!$H$21/12))),IF(((AB47-AB48-AB49-AB50-AB51)-AB11)&lt;0,(AB47+AB48+AB49+AB50+AB51)*-1,-AB11)))))</f>
        <v>-173912.58333333299</v>
      </c>
      <c r="AC52" s="229">
        <f ca="1">IF(Repayment_Type="Interest Only",IF(AC3="",0,IF(AC4&lt;=Practical_Completion_Date,0,IF(AC4&gt;=Interest_Serviced_From,IF(AC47&lt;AC25,(-AC47-AC48-AC49-AC50-AC51),-AC50),0))),IF(AC3="",0,IF(AC4&lt;=Practical_Completion_Date,0,IF(AC4&gt;=Interest_Serviced_From,IF(AC47&lt;AC25,(-AC47-AC48-AC49-AC50-AC51),IF(Specify_Amort_Amts="No",IF(((AC47-AC48-AC49-AC50-AC51)-AC11)&lt;0,(AC47+AC48+AC49+AC50+AC51)*-1,-AC11),IF(DATEDIF(Practical_Completion_Date,AC4,"M")&lt;=12,(Inputs!$H$20/12),Inputs!$H$21/12))),IF(((AC47-AC48-AC49-AC50-AC51)-AC11)&lt;0,(AC47+AC48+AC49+AC50+AC51)*-1,-AC11)))))</f>
        <v>-173912.58333333299</v>
      </c>
      <c r="AD52" s="229">
        <f ca="1">IF(Repayment_Type="Interest Only",IF(AD3="",0,IF(AD4&lt;=Practical_Completion_Date,0,IF(AD4&gt;=Interest_Serviced_From,IF(AD47&lt;AD25,(-AD47-AD48-AD49-AD50-AD51),-AD50),0))),IF(AD3="",0,IF(AD4&lt;=Practical_Completion_Date,0,IF(AD4&gt;=Interest_Serviced_From,IF(AD47&lt;AD25,(-AD47-AD48-AD49-AD50-AD51),IF(Specify_Amort_Amts="No",IF(((AD47-AD48-AD49-AD50-AD51)-AD11)&lt;0,(AD47+AD48+AD49+AD50+AD51)*-1,-AD11),IF(DATEDIF(Practical_Completion_Date,AD4,"M")&lt;=12,(Inputs!$H$20/12),Inputs!$H$21/12))),IF(((AD47-AD48-AD49-AD50-AD51)-AD11)&lt;0,(AD47+AD48+AD49+AD50+AD51)*-1,-AD11)))))</f>
        <v>-173912.58333333299</v>
      </c>
      <c r="AE52" s="229">
        <f ca="1">IF(Repayment_Type="Interest Only",IF(AE3="",0,IF(AE4&lt;=Practical_Completion_Date,0,IF(AE4&gt;=Interest_Serviced_From,IF(AE47&lt;AE25,(-AE47-AE48-AE49-AE50-AE51),-AE50),0))),IF(AE3="",0,IF(AE4&lt;=Practical_Completion_Date,0,IF(AE4&gt;=Interest_Serviced_From,IF(AE47&lt;AE25,(-AE47-AE48-AE49-AE50-AE51),IF(Specify_Amort_Amts="No",IF(((AE47-AE48-AE49-AE50-AE51)-AE11)&lt;0,(AE47+AE48+AE49+AE50+AE51)*-1,-AE11),IF(DATEDIF(Practical_Completion_Date,AE4,"M")&lt;=12,(Inputs!$H$20/12),Inputs!$H$21/12))),IF(((AE47-AE48-AE49-AE50-AE51)-AE11)&lt;0,(AE47+AE48+AE49+AE50+AE51)*-1,-AE11)))))</f>
        <v>-173912.58333333299</v>
      </c>
      <c r="AF52" s="229">
        <f ca="1">IF(Repayment_Type="Interest Only",IF(AF3="",0,IF(AF4&lt;=Practical_Completion_Date,0,IF(AF4&gt;=Interest_Serviced_From,IF(AF47&lt;AF25,(-AF47-AF48-AF49-AF50-AF51),-AF50),0))),IF(AF3="",0,IF(AF4&lt;=Practical_Completion_Date,0,IF(AF4&gt;=Interest_Serviced_From,IF(AF47&lt;AF25,(-AF47-AF48-AF49-AF50-AF51),IF(Specify_Amort_Amts="No",IF(((AF47-AF48-AF49-AF50-AF51)-AF11)&lt;0,(AF47+AF48+AF49+AF50+AF51)*-1,-AF11),IF(DATEDIF(Practical_Completion_Date,AF4,"M")&lt;=12,(Inputs!$H$20/12),Inputs!$H$21/12))),IF(((AF47-AF48-AF49-AF50-AF51)-AF11)&lt;0,(AF47+AF48+AF49+AF50+AF51)*-1,-AF11)))))</f>
        <v>-173912.58333333299</v>
      </c>
      <c r="AG52" s="229">
        <f ca="1">IF(Repayment_Type="Interest Only",IF(AG3="",0,IF(AG4&lt;=Practical_Completion_Date,0,IF(AG4&gt;=Interest_Serviced_From,IF(AG47&lt;AG25,(-AG47-AG48-AG49-AG50-AG51),-AG50),0))),IF(AG3="",0,IF(AG4&lt;=Practical_Completion_Date,0,IF(AG4&gt;=Interest_Serviced_From,IF(AG47&lt;AG25,(-AG47-AG48-AG49-AG50-AG51),IF(Specify_Amort_Amts="No",IF(((AG47-AG48-AG49-AG50-AG51)-AG11)&lt;0,(AG47+AG48+AG49+AG50+AG51)*-1,-AG11),IF(DATEDIF(Practical_Completion_Date,AG4,"M")&lt;=12,(Inputs!$H$20/12),Inputs!$H$21/12))),IF(((AG47-AG48-AG49-AG50-AG51)-AG11)&lt;0,(AG47+AG48+AG49+AG50+AG51)*-1,-AG11)))))</f>
        <v>-173912.58333333299</v>
      </c>
      <c r="AH52" s="229">
        <f ca="1">IF(Repayment_Type="Interest Only",IF(AH3="",0,IF(AH4&lt;=Practical_Completion_Date,0,IF(AH4&gt;=Interest_Serviced_From,IF(AH47&lt;AH25,(-AH47-AH48-AH49-AH50-AH51),-AH50),0))),IF(AH3="",0,IF(AH4&lt;=Practical_Completion_Date,0,IF(AH4&gt;=Interest_Serviced_From,IF(AH47&lt;AH25,(-AH47-AH48-AH49-AH50-AH51),IF(Specify_Amort_Amts="No",IF(((AH47-AH48-AH49-AH50-AH51)-AH11)&lt;0,(AH47+AH48+AH49+AH50+AH51)*-1,-AH11),IF(DATEDIF(Practical_Completion_Date,AH4,"M")&lt;=12,(Inputs!$H$20/12),Inputs!$H$21/12))),IF(((AH47-AH48-AH49-AH50-AH51)-AH11)&lt;0,(AH47+AH48+AH49+AH50+AH51)*-1,-AH11)))))</f>
        <v>-173912.58333333299</v>
      </c>
      <c r="AI52" s="229">
        <f ca="1">IF(Repayment_Type="Interest Only",IF(AI3="",0,IF(AI4&lt;=Practical_Completion_Date,0,IF(AI4&gt;=Interest_Serviced_From,IF(AI47&lt;AI25,(-AI47-AI48-AI49-AI50-AI51),-AI50),0))),IF(AI3="",0,IF(AI4&lt;=Practical_Completion_Date,0,IF(AI4&gt;=Interest_Serviced_From,IF(AI47&lt;AI25,(-AI47-AI48-AI49-AI50-AI51),IF(Specify_Amort_Amts="No",IF(((AI47-AI48-AI49-AI50-AI51)-AI11)&lt;0,(AI47+AI48+AI49+AI50+AI51)*-1,-AI11),IF(DATEDIF(Practical_Completion_Date,AI4,"M")&lt;=12,(Inputs!$H$20/12),Inputs!$H$21/12))),IF(((AI47-AI48-AI49-AI50-AI51)-AI11)&lt;0,(AI47+AI48+AI49+AI50+AI51)*-1,-AI11)))))</f>
        <v>-173912.58333333299</v>
      </c>
      <c r="AJ52" s="229">
        <f ca="1">IF(Repayment_Type="Interest Only",IF(AJ3="",0,IF(AJ4&lt;=Practical_Completion_Date,0,IF(AJ4&gt;=Interest_Serviced_From,IF(AJ47&lt;AJ25,(-AJ47-AJ48-AJ49-AJ50-AJ51),-AJ50),0))),IF(AJ3="",0,IF(AJ4&lt;=Practical_Completion_Date,0,IF(AJ4&gt;=Interest_Serviced_From,IF(AJ47&lt;AJ25,(-AJ47-AJ48-AJ49-AJ50-AJ51),IF(Specify_Amort_Amts="No",IF(((AJ47-AJ48-AJ49-AJ50-AJ51)-AJ11)&lt;0,(AJ47+AJ48+AJ49+AJ50+AJ51)*-1,-AJ11),IF(DATEDIF(Practical_Completion_Date,AJ4,"M")&lt;=12,(Inputs!$H$20/12),Inputs!$H$21/12))),IF(((AJ47-AJ48-AJ49-AJ50-AJ51)-AJ11)&lt;0,(AJ47+AJ48+AJ49+AJ50+AJ51)*-1,-AJ11)))))</f>
        <v>-173912.58333333299</v>
      </c>
      <c r="AK52" s="229">
        <f ca="1">IF(Repayment_Type="Interest Only",IF(AK3="",0,IF(AK4&lt;=Practical_Completion_Date,0,IF(AK4&gt;=Interest_Serviced_From,IF(AK47&lt;AK25,(-AK47-AK48-AK49-AK50-AK51),-AK50),0))),IF(AK3="",0,IF(AK4&lt;=Practical_Completion_Date,0,IF(AK4&gt;=Interest_Serviced_From,IF(AK47&lt;AK25,(-AK47-AK48-AK49-AK50-AK51),IF(Specify_Amort_Amts="No",IF(((AK47-AK48-AK49-AK50-AK51)-AK11)&lt;0,(AK47+AK48+AK49+AK50+AK51)*-1,-AK11),IF(DATEDIF(Practical_Completion_Date,AK4,"M")&lt;=12,(Inputs!$H$20/12),Inputs!$H$21/12))),IF(((AK47-AK48-AK49-AK50-AK51)-AK11)&lt;0,(AK47+AK48+AK49+AK50+AK51)*-1,-AK11)))))</f>
        <v>-173912.58333333299</v>
      </c>
      <c r="AL52" s="229">
        <f ca="1">IF(Repayment_Type="Interest Only",IF(AL3="",0,IF(AL4&lt;=Practical_Completion_Date,0,IF(AL4&gt;=Interest_Serviced_From,IF(AL47&lt;AL25,(-AL47-AL48-AL49-AL50-AL51),-AL50),0))),IF(AL3="",0,IF(AL4&lt;=Practical_Completion_Date,0,IF(AL4&gt;=Interest_Serviced_From,IF(AL47&lt;AL25,(-AL47-AL48-AL49-AL50-AL51),IF(Specify_Amort_Amts="No",IF(((AL47-AL48-AL49-AL50-AL51)-AL11)&lt;0,(AL47+AL48+AL49+AL50+AL51)*-1,-AL11),IF(DATEDIF(Practical_Completion_Date,AL4,"M")&lt;=12,(Inputs!$H$20/12),Inputs!$H$21/12))),IF(((AL47-AL48-AL49-AL50-AL51)-AL11)&lt;0,(AL47+AL48+AL49+AL50+AL51)*-1,-AL11)))))</f>
        <v>-173912.58333333299</v>
      </c>
      <c r="AM52" s="229">
        <f ca="1">IF(Repayment_Type="Interest Only",IF(AM3="",0,IF(AM4&lt;=Practical_Completion_Date,0,IF(AM4&gt;=Interest_Serviced_From,IF(AM47&lt;AM25,(-AM47-AM48-AM49-AM50-AM51),-AM50),0))),IF(AM3="",0,IF(AM4&lt;=Practical_Completion_Date,0,IF(AM4&gt;=Interest_Serviced_From,IF(AM47&lt;AM25,(-AM47-AM48-AM49-AM50-AM51),IF(Specify_Amort_Amts="No",IF(((AM47-AM48-AM49-AM50-AM51)-AM11)&lt;0,(AM47+AM48+AM49+AM50+AM51)*-1,-AM11),IF(DATEDIF(Practical_Completion_Date,AM4,"M")&lt;=12,(Inputs!$H$20/12),Inputs!$H$21/12))),IF(((AM47-AM48-AM49-AM50-AM51)-AM11)&lt;0,(AM47+AM48+AM49+AM50+AM51)*-1,-AM11)))))</f>
        <v>-173912.58333333299</v>
      </c>
      <c r="AN52" s="229">
        <f ca="1">IF(Repayment_Type="Interest Only",IF(AN3="",0,IF(AN4&lt;=Practical_Completion_Date,0,IF(AN4&gt;=Interest_Serviced_From,IF(AN47&lt;AN25,(-AN47-AN48-AN49-AN50-AN51),-AN50),0))),IF(AN3="",0,IF(AN4&lt;=Practical_Completion_Date,0,IF(AN4&gt;=Interest_Serviced_From,IF(AN47&lt;AN25,(-AN47-AN48-AN49-AN50-AN51),IF(Specify_Amort_Amts="No",IF(((AN47-AN48-AN49-AN50-AN51)-AN11)&lt;0,(AN47+AN48+AN49+AN50+AN51)*-1,-AN11),IF(DATEDIF(Practical_Completion_Date,AN4,"M")&lt;=12,(Inputs!$H$20/12),Inputs!$H$21/12))),IF(((AN47-AN48-AN49-AN50-AN51)-AN11)&lt;0,(AN47+AN48+AN49+AN50+AN51)*-1,-AN11)))))</f>
        <v>-173912.58333333299</v>
      </c>
      <c r="AO52" s="229">
        <f ca="1">IF(Repayment_Type="Interest Only",IF(AO3="",0,IF(AO4&lt;=Practical_Completion_Date,0,IF(AO4&gt;=Interest_Serviced_From,IF(AO47&lt;AO25,(-AO47-AO48-AO49-AO50-AO51),-AO50),0))),IF(AO3="",0,IF(AO4&lt;=Practical_Completion_Date,0,IF(AO4&gt;=Interest_Serviced_From,IF(AO47&lt;AO25,(-AO47-AO48-AO49-AO50-AO51),IF(Specify_Amort_Amts="No",IF(((AO47-AO48-AO49-AO50-AO51)-AO11)&lt;0,(AO47+AO48+AO49+AO50+AO51)*-1,-AO11),IF(DATEDIF(Practical_Completion_Date,AO4,"M")&lt;=12,(Inputs!$H$20/12),Inputs!$H$21/12))),IF(((AO47-AO48-AO49-AO50-AO51)-AO11)&lt;0,(AO47+AO48+AO49+AO50+AO51)*-1,-AO11)))))</f>
        <v>-173912.58333333299</v>
      </c>
      <c r="AP52" s="229">
        <f ca="1">IF(Repayment_Type="Interest Only",IF(AP3="",0,IF(AP4&lt;=Practical_Completion_Date,0,IF(AP4&gt;=Interest_Serviced_From,IF(AP47&lt;AP25,(-AP47-AP48-AP49-AP50-AP51),-AP50),0))),IF(AP3="",0,IF(AP4&lt;=Practical_Completion_Date,0,IF(AP4&gt;=Interest_Serviced_From,IF(AP47&lt;AP25,(-AP47-AP48-AP49-AP50-AP51),IF(Specify_Amort_Amts="No",IF(((AP47-AP48-AP49-AP50-AP51)-AP11)&lt;0,(AP47+AP48+AP49+AP50+AP51)*-1,-AP11),IF(DATEDIF(Practical_Completion_Date,AP4,"M")&lt;=12,(Inputs!$H$20/12),Inputs!$H$21/12))),IF(((AP47-AP48-AP49-AP50-AP51)-AP11)&lt;0,(AP47+AP48+AP49+AP50+AP51)*-1,-AP11)))))</f>
        <v>-173912.58333333299</v>
      </c>
      <c r="AQ52" s="229">
        <f ca="1">IF(Repayment_Type="Interest Only",IF(AQ3="",0,IF(AQ4&lt;=Practical_Completion_Date,0,IF(AQ4&gt;=Interest_Serviced_From,IF(AQ47&lt;AQ25,(-AQ47-AQ48-AQ49-AQ50-AQ51),-AQ50),0))),IF(AQ3="",0,IF(AQ4&lt;=Practical_Completion_Date,0,IF(AQ4&gt;=Interest_Serviced_From,IF(AQ47&lt;AQ25,(-AQ47-AQ48-AQ49-AQ50-AQ51),IF(Specify_Amort_Amts="No",IF(((AQ47-AQ48-AQ49-AQ50-AQ51)-AQ11)&lt;0,(AQ47+AQ48+AQ49+AQ50+AQ51)*-1,-AQ11),IF(DATEDIF(Practical_Completion_Date,AQ4,"M")&lt;=12,(Inputs!$H$20/12),Inputs!$H$21/12))),IF(((AQ47-AQ48-AQ49-AQ50-AQ51)-AQ11)&lt;0,(AQ47+AQ48+AQ49+AQ50+AQ51)*-1,-AQ11)))))</f>
        <v>-173912.58333333299</v>
      </c>
      <c r="AR52" s="229">
        <f ca="1">IF(Repayment_Type="Interest Only",IF(AR3="",0,IF(AR4&lt;=Practical_Completion_Date,0,IF(AR4&gt;=Interest_Serviced_From,IF(AR47&lt;AR25,(-AR47-AR48-AR49-AR50-AR51),-AR50),0))),IF(AR3="",0,IF(AR4&lt;=Practical_Completion_Date,0,IF(AR4&gt;=Interest_Serviced_From,IF(AR47&lt;AR25,(-AR47-AR48-AR49-AR50-AR51),IF(Specify_Amort_Amts="No",IF(((AR47-AR48-AR49-AR50-AR51)-AR11)&lt;0,(AR47+AR48+AR49+AR50+AR51)*-1,-AR11),IF(DATEDIF(Practical_Completion_Date,AR4,"M")&lt;=12,(Inputs!$H$20/12),Inputs!$H$21/12))),IF(((AR47-AR48-AR49-AR50-AR51)-AR11)&lt;0,(AR47+AR48+AR49+AR50+AR51)*-1,-AR11)))))</f>
        <v>-173912.58333333299</v>
      </c>
      <c r="AS52" s="229">
        <f ca="1">IF(Repayment_Type="Interest Only",IF(AS3="",0,IF(AS4&lt;=Practical_Completion_Date,0,IF(AS4&gt;=Interest_Serviced_From,IF(AS47&lt;AS25,(-AS47-AS48-AS49-AS50-AS51),-AS50),0))),IF(AS3="",0,IF(AS4&lt;=Practical_Completion_Date,0,IF(AS4&gt;=Interest_Serviced_From,IF(AS47&lt;AS25,(-AS47-AS48-AS49-AS50-AS51),IF(Specify_Amort_Amts="No",IF(((AS47-AS48-AS49-AS50-AS51)-AS11)&lt;0,(AS47+AS48+AS49+AS50+AS51)*-1,-AS11),IF(DATEDIF(Practical_Completion_Date,AS4,"M")&lt;=12,(Inputs!$H$20/12),Inputs!$H$21/12))),IF(((AS47-AS48-AS49-AS50-AS51)-AS11)&lt;0,(AS47+AS48+AS49+AS50+AS51)*-1,-AS11)))))</f>
        <v>-173912.58333333299</v>
      </c>
      <c r="AT52" s="229">
        <f ca="1">IF(Repayment_Type="Interest Only",IF(AT3="",0,IF(AT4&lt;=Practical_Completion_Date,0,IF(AT4&gt;=Interest_Serviced_From,IF(AT47&lt;AT25,(-AT47-AT48-AT49-AT50-AT51),-AT50),0))),IF(AT3="",0,IF(AT4&lt;=Practical_Completion_Date,0,IF(AT4&gt;=Interest_Serviced_From,IF(AT47&lt;AT25,(-AT47-AT48-AT49-AT50-AT51),IF(Specify_Amort_Amts="No",IF(((AT47-AT48-AT49-AT50-AT51)-AT11)&lt;0,(AT47+AT48+AT49+AT50+AT51)*-1,-AT11),IF(DATEDIF(Practical_Completion_Date,AT4,"M")&lt;=12,(Inputs!$H$20/12),Inputs!$H$21/12))),IF(((AT47-AT48-AT49-AT50-AT51)-AT11)&lt;0,(AT47+AT48+AT49+AT50+AT51)*-1,-AT11)))))</f>
        <v>-173912.58333333299</v>
      </c>
      <c r="AU52" s="229">
        <f ca="1">IF(Repayment_Type="Interest Only",IF(AU3="",0,IF(AU4&lt;=Practical_Completion_Date,0,IF(AU4&gt;=Interest_Serviced_From,IF(AU47&lt;AU25,(-AU47-AU48-AU49-AU50-AU51),-AU50),0))),IF(AU3="",0,IF(AU4&lt;=Practical_Completion_Date,0,IF(AU4&gt;=Interest_Serviced_From,IF(AU47&lt;AU25,(-AU47-AU48-AU49-AU50-AU51),IF(Specify_Amort_Amts="No",IF(((AU47-AU48-AU49-AU50-AU51)-AU11)&lt;0,(AU47+AU48+AU49+AU50+AU51)*-1,-AU11),IF(DATEDIF(Practical_Completion_Date,AU4,"M")&lt;=12,(Inputs!$H$20/12),Inputs!$H$21/12))),IF(((AU47-AU48-AU49-AU50-AU51)-AU11)&lt;0,(AU47+AU48+AU49+AU50+AU51)*-1,-AU11)))))</f>
        <v>-173912.58333333299</v>
      </c>
      <c r="AV52" s="229">
        <f ca="1">IF(Repayment_Type="Interest Only",IF(AV3="",0,IF(AV4&lt;=Practical_Completion_Date,0,IF(AV4&gt;=Interest_Serviced_From,IF(AV47&lt;AV25,(-AV47-AV48-AV49-AV50-AV51),-AV50),0))),IF(AV3="",0,IF(AV4&lt;=Practical_Completion_Date,0,IF(AV4&gt;=Interest_Serviced_From,IF(AV47&lt;AV25,(-AV47-AV48-AV49-AV50-AV51),IF(Specify_Amort_Amts="No",IF(((AV47-AV48-AV49-AV50-AV51)-AV11)&lt;0,(AV47+AV48+AV49+AV50+AV51)*-1,-AV11),IF(DATEDIF(Practical_Completion_Date,AV4,"M")&lt;=12,(Inputs!$H$20/12),Inputs!$H$21/12))),IF(((AV47-AV48-AV49-AV50-AV51)-AV11)&lt;0,(AV47+AV48+AV49+AV50+AV51)*-1,-AV11)))))</f>
        <v>-173912.58333333299</v>
      </c>
      <c r="AW52" s="229">
        <f ca="1">IF(Repayment_Type="Interest Only",IF(AW3="",0,IF(AW4&lt;=Practical_Completion_Date,0,IF(AW4&gt;=Interest_Serviced_From,IF(AW47&lt;AW25,(-AW47-AW48-AW49-AW50-AW51),-AW50),0))),IF(AW3="",0,IF(AW4&lt;=Practical_Completion_Date,0,IF(AW4&gt;=Interest_Serviced_From,IF(AW47&lt;AW25,(-AW47-AW48-AW49-AW50-AW51),IF(Specify_Amort_Amts="No",IF(((AW47-AW48-AW49-AW50-AW51)-AW11)&lt;0,(AW47+AW48+AW49+AW50+AW51)*-1,-AW11),IF(DATEDIF(Practical_Completion_Date,AW4,"M")&lt;=12,(Inputs!$H$20/12),Inputs!$H$21/12))),IF(((AW47-AW48-AW49-AW50-AW51)-AW11)&lt;0,(AW47+AW48+AW49+AW50+AW51)*-1,-AW11)))))</f>
        <v>-173912.58333333299</v>
      </c>
      <c r="AX52" s="229">
        <f ca="1">IF(Repayment_Type="Interest Only",IF(AX3="",0,IF(AX4&lt;=Practical_Completion_Date,0,IF(AX4&gt;=Interest_Serviced_From,IF(AX47&lt;AX25,(-AX47-AX48-AX49-AX50-AX51),-AX50),0))),IF(AX3="",0,IF(AX4&lt;=Practical_Completion_Date,0,IF(AX4&gt;=Interest_Serviced_From,IF(AX47&lt;AX25,(-AX47-AX48-AX49-AX50-AX51),IF(Specify_Amort_Amts="No",IF(((AX47-AX48-AX49-AX50-AX51)-AX11)&lt;0,(AX47+AX48+AX49+AX50+AX51)*-1,-AX11),IF(DATEDIF(Practical_Completion_Date,AX4,"M")&lt;=12,(Inputs!$H$20/12),Inputs!$H$21/12))),IF(((AX47-AX48-AX49-AX50-AX51)-AX11)&lt;0,(AX47+AX48+AX49+AX50+AX51)*-1,-AX11)))))</f>
        <v>-173912.58333333299</v>
      </c>
      <c r="AY52" s="229">
        <f ca="1">IF(Repayment_Type="Interest Only",IF(AY3="",0,IF(AY4&lt;=Practical_Completion_Date,0,IF(AY4&gt;=Interest_Serviced_From,IF(AY47&lt;AY25,(-AY47-AY48-AY49-AY50-AY51),-AY50),0))),IF(AY3="",0,IF(AY4&lt;=Practical_Completion_Date,0,IF(AY4&gt;=Interest_Serviced_From,IF(AY47&lt;AY25,(-AY47-AY48-AY49-AY50-AY51),IF(Specify_Amort_Amts="No",IF(((AY47-AY48-AY49-AY50-AY51)-AY11)&lt;0,(AY47+AY48+AY49+AY50+AY51)*-1,-AY11),IF(DATEDIF(Practical_Completion_Date,AY4,"M")&lt;=12,(Inputs!$H$20/12),Inputs!$H$21/12))),IF(((AY47-AY48-AY49-AY50-AY51)-AY11)&lt;0,(AY47+AY48+AY49+AY50+AY51)*-1,-AY11)))))</f>
        <v>-173912.58333333299</v>
      </c>
      <c r="AZ52" s="229">
        <f ca="1">IF(Repayment_Type="Interest Only",IF(AZ3="",0,IF(AZ4&lt;=Practical_Completion_Date,0,IF(AZ4&gt;=Interest_Serviced_From,IF(AZ47&lt;AZ25,(-AZ47-AZ48-AZ49-AZ50-AZ51),-AZ50),0))),IF(AZ3="",0,IF(AZ4&lt;=Practical_Completion_Date,0,IF(AZ4&gt;=Interest_Serviced_From,IF(AZ47&lt;AZ25,(-AZ47-AZ48-AZ49-AZ50-AZ51),IF(Specify_Amort_Amts="No",IF(((AZ47-AZ48-AZ49-AZ50-AZ51)-AZ11)&lt;0,(AZ47+AZ48+AZ49+AZ50+AZ51)*-1,-AZ11),IF(DATEDIF(Practical_Completion_Date,AZ4,"M")&lt;=12,(Inputs!$H$20/12),Inputs!$H$21/12))),IF(((AZ47-AZ48-AZ49-AZ50-AZ51)-AZ11)&lt;0,(AZ47+AZ48+AZ49+AZ50+AZ51)*-1,-AZ11)))))</f>
        <v>-173912.58333333299</v>
      </c>
      <c r="BA52" s="229">
        <f ca="1">IF(Repayment_Type="Interest Only",IF(BA3="",0,IF(BA4&lt;=Practical_Completion_Date,0,IF(BA4&gt;=Interest_Serviced_From,IF(BA47&lt;BA25,(-BA47-BA48-BA49-BA50-BA51),-BA50),0))),IF(BA3="",0,IF(BA4&lt;=Practical_Completion_Date,0,IF(BA4&gt;=Interest_Serviced_From,IF(BA47&lt;BA25,(-BA47-BA48-BA49-BA50-BA51),IF(Specify_Amort_Amts="No",IF(((BA47-BA48-BA49-BA50-BA51)-BA11)&lt;0,(BA47+BA48+BA49+BA50+BA51)*-1,-BA11),IF(DATEDIF(Practical_Completion_Date,BA4,"M")&lt;=12,(Inputs!$H$20/12),Inputs!$H$21/12))),IF(((BA47-BA48-BA49-BA50-BA51)-BA11)&lt;0,(BA47+BA48+BA49+BA50+BA51)*-1,-BA11)))))</f>
        <v>-173912.58333333299</v>
      </c>
      <c r="BB52" s="229">
        <f ca="1">IF(Repayment_Type="Interest Only",IF(BB3="",0,IF(BB4&lt;=Practical_Completion_Date,0,IF(BB4&gt;=Interest_Serviced_From,IF(BB47&lt;BB25,(-BB47-BB48-BB49-BB50-BB51),-BB50),0))),IF(BB3="",0,IF(BB4&lt;=Practical_Completion_Date,0,IF(BB4&gt;=Interest_Serviced_From,IF(BB47&lt;BB25,(-BB47-BB48-BB49-BB50-BB51),IF(Specify_Amort_Amts="No",IF(((BB47-BB48-BB49-BB50-BB51)-BB11)&lt;0,(BB47+BB48+BB49+BB50+BB51)*-1,-BB11),IF(DATEDIF(Practical_Completion_Date,BB4,"M")&lt;=12,(Inputs!$H$20/12),Inputs!$H$21/12))),IF(((BB47-BB48-BB49-BB50-BB51)-BB11)&lt;0,(BB47+BB48+BB49+BB50+BB51)*-1,-BB11)))))</f>
        <v>-173912.58333333299</v>
      </c>
      <c r="BC52" s="229">
        <f ca="1">IF(Repayment_Type="Interest Only",IF(BC3="",0,IF(BC4&lt;=Practical_Completion_Date,0,IF(BC4&gt;=Interest_Serviced_From,IF(BC47&lt;BC25,(-BC47-BC48-BC49-BC50-BC51),-BC50),0))),IF(BC3="",0,IF(BC4&lt;=Practical_Completion_Date,0,IF(BC4&gt;=Interest_Serviced_From,IF(BC47&lt;BC25,(-BC47-BC48-BC49-BC50-BC51),IF(Specify_Amort_Amts="No",IF(((BC47-BC48-BC49-BC50-BC51)-BC11)&lt;0,(BC47+BC48+BC49+BC50+BC51)*-1,-BC11),IF(DATEDIF(Practical_Completion_Date,BC4,"M")&lt;=12,(Inputs!$H$20/12),Inputs!$H$21/12))),IF(((BC47-BC48-BC49-BC50-BC51)-BC11)&lt;0,(BC47+BC48+BC49+BC50+BC51)*-1,-BC11)))))</f>
        <v>-173912.58333333299</v>
      </c>
      <c r="BD52" s="229">
        <f ca="1">IF(Repayment_Type="Interest Only",IF(BD3="",0,IF(BD4&lt;=Practical_Completion_Date,0,IF(BD4&gt;=Interest_Serviced_From,IF(BD47&lt;BD25,(-BD47-BD48-BD49-BD50-BD51),-BD50),0))),IF(BD3="",0,IF(BD4&lt;=Practical_Completion_Date,0,IF(BD4&gt;=Interest_Serviced_From,IF(BD47&lt;BD25,(-BD47-BD48-BD49-BD50-BD51),IF(Specify_Amort_Amts="No",IF(((BD47-BD48-BD49-BD50-BD51)-BD11)&lt;0,(BD47+BD48+BD49+BD50+BD51)*-1,-BD11),IF(DATEDIF(Practical_Completion_Date,BD4,"M")&lt;=12,(Inputs!$H$20/12),Inputs!$H$21/12))),IF(((BD47-BD48-BD49-BD50-BD51)-BD11)&lt;0,(BD47+BD48+BD49+BD50+BD51)*-1,-BD11)))))</f>
        <v>-173912.58333333299</v>
      </c>
      <c r="BE52" s="229">
        <f ca="1">IF(Repayment_Type="Interest Only",IF(BE3="",0,IF(BE4&lt;=Practical_Completion_Date,0,IF(BE4&gt;=Interest_Serviced_From,IF(BE47&lt;BE25,(-BE47-BE48-BE49-BE50-BE51),-BE50),0))),IF(BE3="",0,IF(BE4&lt;=Practical_Completion_Date,0,IF(BE4&gt;=Interest_Serviced_From,IF(BE47&lt;BE25,(-BE47-BE48-BE49-BE50-BE51),IF(Specify_Amort_Amts="No",IF(((BE47-BE48-BE49-BE50-BE51)-BE11)&lt;0,(BE47+BE48+BE49+BE50+BE51)*-1,-BE11),IF(DATEDIF(Practical_Completion_Date,BE4,"M")&lt;=12,(Inputs!$H$20/12),Inputs!$H$21/12))),IF(((BE47-BE48-BE49-BE50-BE51)-BE11)&lt;0,(BE47+BE48+BE49+BE50+BE51)*-1,-BE11)))))</f>
        <v>-173912.58333333299</v>
      </c>
      <c r="BF52" s="229">
        <f ca="1">IF(Repayment_Type="Interest Only",IF(BF3="",0,IF(BF4&lt;=Practical_Completion_Date,0,IF(BF4&gt;=Interest_Serviced_From,IF(BF47&lt;BF25,(-BF47-BF48-BF49-BF50-BF51),-BF50),0))),IF(BF3="",0,IF(BF4&lt;=Practical_Completion_Date,0,IF(BF4&gt;=Interest_Serviced_From,IF(BF47&lt;BF25,(-BF47-BF48-BF49-BF50-BF51),IF(Specify_Amort_Amts="No",IF(((BF47-BF48-BF49-BF50-BF51)-BF11)&lt;0,(BF47+BF48+BF49+BF50+BF51)*-1,-BF11),IF(DATEDIF(Practical_Completion_Date,BF4,"M")&lt;=12,(Inputs!$H$20/12),Inputs!$H$21/12))),IF(((BF47-BF48-BF49-BF50-BF51)-BF11)&lt;0,(BF47+BF48+BF49+BF50+BF51)*-1,-BF11)))))</f>
        <v>-173912.58333333299</v>
      </c>
      <c r="BG52" s="229">
        <f ca="1">IF(Repayment_Type="Interest Only",IF(BG3="",0,IF(BG4&lt;=Practical_Completion_Date,0,IF(BG4&gt;=Interest_Serviced_From,IF(BG47&lt;BG25,(-BG47-BG48-BG49-BG50-BG51),-BG50),0))),IF(BG3="",0,IF(BG4&lt;=Practical_Completion_Date,0,IF(BG4&gt;=Interest_Serviced_From,IF(BG47&lt;BG25,(-BG47-BG48-BG49-BG50-BG51),IF(Specify_Amort_Amts="No",IF(((BG47-BG48-BG49-BG50-BG51)-BG11)&lt;0,(BG47+BG48+BG49+BG50+BG51)*-1,-BG11),IF(DATEDIF(Practical_Completion_Date,BG4,"M")&lt;=12,(Inputs!$H$20/12),Inputs!$H$21/12))),IF(((BG47-BG48-BG49-BG50-BG51)-BG11)&lt;0,(BG47+BG48+BG49+BG50+BG51)*-1,-BG11)))))</f>
        <v>-173912.58333333299</v>
      </c>
      <c r="BH52" s="229">
        <f ca="1">IF(Repayment_Type="Interest Only",IF(BH3="",0,IF(BH4&lt;=Practical_Completion_Date,0,IF(BH4&gt;=Interest_Serviced_From,IF(BH47&lt;BH25,(-BH47-BH48-BH49-BH50-BH51),-BH50),0))),IF(BH3="",0,IF(BH4&lt;=Practical_Completion_Date,0,IF(BH4&gt;=Interest_Serviced_From,IF(BH47&lt;BH25,(-BH47-BH48-BH49-BH50-BH51),IF(Specify_Amort_Amts="No",IF(((BH47-BH48-BH49-BH50-BH51)-BH11)&lt;0,(BH47+BH48+BH49+BH50+BH51)*-1,-BH11),IF(DATEDIF(Practical_Completion_Date,BH4,"M")&lt;=12,(Inputs!$H$20/12),Inputs!$H$21/12))),IF(((BH47-BH48-BH49-BH50-BH51)-BH11)&lt;0,(BH47+BH48+BH49+BH50+BH51)*-1,-BH11)))))</f>
        <v>-173912.58333333299</v>
      </c>
      <c r="BI52" s="229">
        <f ca="1">IF(Repayment_Type="Interest Only",IF(BI3="",0,IF(BI4&lt;=Practical_Completion_Date,0,IF(BI4&gt;=Interest_Serviced_From,IF(BI47&lt;BI25,(-BI47-BI48-BI49-BI50-BI51),-BI50),0))),IF(BI3="",0,IF(BI4&lt;=Practical_Completion_Date,0,IF(BI4&gt;=Interest_Serviced_From,IF(BI47&lt;BI25,(-BI47-BI48-BI49-BI50-BI51),IF(Specify_Amort_Amts="No",IF(((BI47-BI48-BI49-BI50-BI51)-BI11)&lt;0,(BI47+BI48+BI49+BI50+BI51)*-1,-BI11),IF(DATEDIF(Practical_Completion_Date,BI4,"M")&lt;=12,(Inputs!$H$20/12),Inputs!$H$21/12))),IF(((BI47-BI48-BI49-BI50-BI51)-BI11)&lt;0,(BI47+BI48+BI49+BI50+BI51)*-1,-BI11)))))</f>
        <v>-173912.58333333299</v>
      </c>
      <c r="BJ52" s="229">
        <f ca="1">IF(Repayment_Type="Interest Only",IF(BJ3="",0,IF(BJ4&lt;=Practical_Completion_Date,0,IF(BJ4&gt;=Interest_Serviced_From,IF(BJ47&lt;BJ25,(-BJ47-BJ48-BJ49-BJ50-BJ51),-BJ50),0))),IF(BJ3="",0,IF(BJ4&lt;=Practical_Completion_Date,0,IF(BJ4&gt;=Interest_Serviced_From,IF(BJ47&lt;BJ25,(-BJ47-BJ48-BJ49-BJ50-BJ51),IF(Specify_Amort_Amts="No",IF(((BJ47-BJ48-BJ49-BJ50-BJ51)-BJ11)&lt;0,(BJ47+BJ48+BJ49+BJ50+BJ51)*-1,-BJ11),IF(DATEDIF(Practical_Completion_Date,BJ4,"M")&lt;=12,(Inputs!$H$20/12),Inputs!$H$21/12))),IF(((BJ47-BJ48-BJ49-BJ50-BJ51)-BJ11)&lt;0,(BJ47+BJ48+BJ49+BJ50+BJ51)*-1,-BJ11)))))</f>
        <v>-173912.58333333299</v>
      </c>
      <c r="BK52" s="229">
        <f ca="1">IF(Repayment_Type="Interest Only",IF(BK3="",0,IF(BK4&lt;=Practical_Completion_Date,0,IF(BK4&gt;=Interest_Serviced_From,IF(BK47&lt;BK25,(-BK47-BK48-BK49-BK50-BK51),-BK50),0))),IF(BK3="",0,IF(BK4&lt;=Practical_Completion_Date,0,IF(BK4&gt;=Interest_Serviced_From,IF(BK47&lt;BK25,(-BK47-BK48-BK49-BK50-BK51),IF(Specify_Amort_Amts="No",IF(((BK47-BK48-BK49-BK50-BK51)-BK11)&lt;0,(BK47+BK48+BK49+BK50+BK51)*-1,-BK11),IF(DATEDIF(Practical_Completion_Date,BK4,"M")&lt;=12,(Inputs!$H$20/12),Inputs!$H$21/12))),IF(((BK47-BK48-BK49-BK50-BK51)-BK11)&lt;0,(BK47+BK48+BK49+BK50+BK51)*-1,-BK11)))))</f>
        <v>-13841923.203152934</v>
      </c>
      <c r="BL52" s="229">
        <f ca="1">IF(Repayment_Type="Interest Only",IF(BL3="",0,IF(BL4&lt;=Practical_Completion_Date,0,IF(BL4&gt;=Interest_Serviced_From,IF(BL47&lt;BL25,(-BL47-BL48-BL49-BL50-BL51),-BL50),0))),IF(BL3="",0,IF(BL4&lt;=Practical_Completion_Date,0,IF(BL4&gt;=Interest_Serviced_From,IF(BL47&lt;BL25,(-BL47-BL48-BL49-BL50-BL51),IF(Specify_Amort_Amts="No",IF(((BL47-BL48-BL49-BL50-BL51)-BL11)&lt;0,(BL47+BL48+BL49+BL50+BL51)*-1,-BL11),IF(DATEDIF(Practical_Completion_Date,BL4,"M")&lt;=12,(Inputs!$H$20/12),Inputs!$H$21/12))),IF(((BL47-BL48-BL49-BL50-BL51)-BL11)&lt;0,(BL47+BL48+BL49+BL50+BL51)*-1,-BL11)))))</f>
        <v>0</v>
      </c>
      <c r="BM52" s="229">
        <f>IF(Repayment_Type="Interest Only",IF(BM3="",0,IF(BM4&lt;=Practical_Completion_Date,0,IF(BM4&gt;=Interest_Serviced_From,IF(BM47&lt;BM25,(-BM47-BM48-BM49-BM50-BM51),-BM50),0))),IF(BM3="",0,IF(BM4&lt;=Practical_Completion_Date,0,IF(BM4&gt;=Interest_Serviced_From,IF(BM47&lt;BM25,(-BM47-BM48-BM49-BM50-BM51),IF(Specify_Amort_Amts="No",IF(((BM47-BM48-BM49-BM50-BM51)-BM11)&lt;0,(BM47+BM48+BM49+BM50+BM51)*-1,-BM11),IF(DATEDIF(Practical_Completion_Date,BM4,"M")&lt;=12,(Inputs!$H$20/12),Inputs!$H$21/12))),IF(((BM47-BM48-BM49-BM50-BM51)-BM11)&lt;0,(BM47+BM48+BM49+BM50+BM51)*-1,-BM11)))))</f>
        <v>0</v>
      </c>
      <c r="BN52" s="229">
        <f>IF(Repayment_Type="Interest Only",IF(BN3="",0,IF(BN4&lt;=Practical_Completion_Date,0,IF(BN4&gt;=Interest_Serviced_From,IF(BN47&lt;BN25,(-BN47-BN48-BN49-BN50-BN51),-BN50),0))),IF(BN3="",0,IF(BN4&lt;=Practical_Completion_Date,0,IF(BN4&gt;=Interest_Serviced_From,IF(BN47&lt;BN25,(-BN47-BN48-BN49-BN50-BN51),IF(Specify_Amort_Amts="No",IF(((BN47-BN48-BN49-BN50-BN51)-BN11)&lt;0,(BN47+BN48+BN49+BN50+BN51)*-1,-BN11),IF(DATEDIF(Practical_Completion_Date,BN4,"M")&lt;=12,(Inputs!$H$20/12),Inputs!$H$21/12))),IF(((BN47-BN48-BN49-BN50-BN51)-BN11)&lt;0,(BN47+BN48+BN49+BN50+BN51)*-1,-BN11)))))</f>
        <v>0</v>
      </c>
      <c r="BO52" s="229">
        <f>IF(Repayment_Type="Interest Only",IF(BO3="",0,IF(BO4&lt;=Practical_Completion_Date,0,IF(BO4&gt;=Interest_Serviced_From,IF(BO47&lt;BO25,(-BO47-BO48-BO49-BO50-BO51),-BO50),0))),IF(BO3="",0,IF(BO4&lt;=Practical_Completion_Date,0,IF(BO4&gt;=Interest_Serviced_From,IF(BO47&lt;BO25,(-BO47-BO48-BO49-BO50-BO51),IF(Specify_Amort_Amts="No",IF(((BO47-BO48-BO49-BO50-BO51)-BO11)&lt;0,(BO47+BO48+BO49+BO50+BO51)*-1,-BO11),IF(DATEDIF(Practical_Completion_Date,BO4,"M")&lt;=12,(Inputs!$H$20/12),Inputs!$H$21/12))),IF(((BO47-BO48-BO49-BO50-BO51)-BO11)&lt;0,(BO47+BO48+BO49+BO50+BO51)*-1,-BO11)))))</f>
        <v>0</v>
      </c>
      <c r="BP52" s="229">
        <f>IF(Repayment_Type="Interest Only",IF(BP3="",0,IF(BP4&lt;=Practical_Completion_Date,0,IF(BP4&gt;=Interest_Serviced_From,IF(BP47&lt;BP25,(-BP47-BP48-BP49-BP50-BP51),-BP50),0))),IF(BP3="",0,IF(BP4&lt;=Practical_Completion_Date,0,IF(BP4&gt;=Interest_Serviced_From,IF(BP47&lt;BP25,(-BP47-BP48-BP49-BP50-BP51),IF(Specify_Amort_Amts="No",IF(((BP47-BP48-BP49-BP50-BP51)-BP11)&lt;0,(BP47+BP48+BP49+BP50+BP51)*-1,-BP11),IF(DATEDIF(Practical_Completion_Date,BP4,"M")&lt;=12,(Inputs!$H$20/12),Inputs!$H$21/12))),IF(((BP47-BP48-BP49-BP50-BP51)-BP11)&lt;0,(BP47+BP48+BP49+BP50+BP51)*-1,-BP11)))))</f>
        <v>0</v>
      </c>
    </row>
    <row r="53" spans="1:68" s="357" customFormat="1" x14ac:dyDescent="0.2">
      <c r="A53" s="368" t="s">
        <v>76</v>
      </c>
      <c r="B53" s="231"/>
      <c r="C53" s="230"/>
      <c r="D53" s="230"/>
      <c r="E53" s="231"/>
      <c r="F53" s="230">
        <f t="shared" ref="F53:AK53" ca="1" si="188">SUM(F47:F52)</f>
        <v>238262.41835182378</v>
      </c>
      <c r="G53" s="230">
        <f t="shared" ca="1" si="188"/>
        <v>255783.40975066827</v>
      </c>
      <c r="H53" s="230">
        <f t="shared" ca="1" si="188"/>
        <v>271652.50380842807</v>
      </c>
      <c r="I53" s="230">
        <f t="shared" ca="1" si="188"/>
        <v>289265.66099110141</v>
      </c>
      <c r="J53" s="230">
        <f t="shared" ca="1" si="188"/>
        <v>306357.70065757242</v>
      </c>
      <c r="K53" s="230">
        <f t="shared" ca="1" si="188"/>
        <v>324066.65369182255</v>
      </c>
      <c r="L53" s="230">
        <f t="shared" ca="1" si="188"/>
        <v>341251.65491413797</v>
      </c>
      <c r="M53" s="230">
        <f t="shared" ca="1" si="188"/>
        <v>359056.92482212366</v>
      </c>
      <c r="N53" s="230">
        <f t="shared" ca="1" si="188"/>
        <v>1133629.1174256883</v>
      </c>
      <c r="O53" s="230">
        <f t="shared" ca="1" si="188"/>
        <v>2236327.6030623359</v>
      </c>
      <c r="P53" s="231">
        <f t="shared" ca="1" si="188"/>
        <v>3342714.7563315551</v>
      </c>
      <c r="Q53" s="230">
        <f t="shared" ca="1" si="188"/>
        <v>4451314.2241543215</v>
      </c>
      <c r="R53" s="230">
        <f t="shared" ca="1" si="188"/>
        <v>5563815.3473434029</v>
      </c>
      <c r="S53" s="230">
        <f t="shared" ca="1" si="188"/>
        <v>6679387.2784273149</v>
      </c>
      <c r="T53" s="230">
        <f t="shared" ca="1" si="188"/>
        <v>7794622.3394154487</v>
      </c>
      <c r="U53" s="230">
        <f t="shared" ca="1" si="188"/>
        <v>8916351.9089774769</v>
      </c>
      <c r="V53" s="230">
        <f t="shared" ca="1" si="188"/>
        <v>10039839.859605258</v>
      </c>
      <c r="W53" s="230">
        <f t="shared" ca="1" si="188"/>
        <v>11167766.844651101</v>
      </c>
      <c r="X53" s="230">
        <f t="shared" ca="1" si="188"/>
        <v>12297268.848874174</v>
      </c>
      <c r="Y53" s="230">
        <f t="shared" ca="1" si="188"/>
        <v>13431426.956404094</v>
      </c>
      <c r="Z53" s="230">
        <f t="shared" ca="1" si="188"/>
        <v>14568715.651039043</v>
      </c>
      <c r="AA53" s="230">
        <f t="shared" ca="1" si="188"/>
        <v>15707302.381525755</v>
      </c>
      <c r="AB53" s="230">
        <f t="shared" ca="1" si="188"/>
        <v>15593421.81688346</v>
      </c>
      <c r="AC53" s="230">
        <f t="shared" ca="1" si="188"/>
        <v>15477183.533420792</v>
      </c>
      <c r="AD53" s="230">
        <f t="shared" ca="1" si="188"/>
        <v>15362423.473454917</v>
      </c>
      <c r="AE53" s="230">
        <f t="shared" ca="1" si="188"/>
        <v>15247224.809972186</v>
      </c>
      <c r="AF53" s="230">
        <f t="shared" ca="1" si="188"/>
        <v>15127826.276986836</v>
      </c>
      <c r="AG53" s="230">
        <f t="shared" ca="1" si="188"/>
        <v>15011731.002301166</v>
      </c>
      <c r="AH53" s="230">
        <f t="shared" ca="1" si="188"/>
        <v>14893341.259661276</v>
      </c>
      <c r="AI53" s="230">
        <f t="shared" ca="1" si="188"/>
        <v>14776349.802512128</v>
      </c>
      <c r="AJ53" s="230">
        <f t="shared" ca="1" si="188"/>
        <v>14657089.471873019</v>
      </c>
      <c r="AK53" s="230">
        <f t="shared" ca="1" si="188"/>
        <v>14539195.0798089</v>
      </c>
      <c r="AL53" s="230">
        <f t="shared" ref="AL53:BP53" ca="1" si="189">SUM(AL47:AL52)</f>
        <v>14420850.105068263</v>
      </c>
      <c r="AM53" s="230">
        <f t="shared" ca="1" si="189"/>
        <v>14300274.912534498</v>
      </c>
      <c r="AN53" s="230">
        <f t="shared" ca="1" si="189"/>
        <v>14181016.804551812</v>
      </c>
      <c r="AO53" s="230">
        <f t="shared" ca="1" si="189"/>
        <v>14059554.557344904</v>
      </c>
      <c r="AP53" s="230">
        <f t="shared" ca="1" si="189"/>
        <v>13939376.435949918</v>
      </c>
      <c r="AQ53" s="230">
        <f t="shared" ca="1" si="189"/>
        <v>13818739.003652614</v>
      </c>
      <c r="AR53" s="230">
        <f t="shared" ca="1" si="189"/>
        <v>13692529.464551069</v>
      </c>
      <c r="AS53" s="230">
        <f t="shared" ca="1" si="189"/>
        <v>13570948.60341787</v>
      </c>
      <c r="AT53" s="230">
        <f t="shared" ca="1" si="189"/>
        <v>13447229.939576631</v>
      </c>
      <c r="AU53" s="230">
        <f t="shared" ca="1" si="189"/>
        <v>13324711.563820586</v>
      </c>
      <c r="AV53" s="230">
        <f t="shared" ca="1" si="189"/>
        <v>13200082.16024385</v>
      </c>
      <c r="AW53" s="230">
        <f t="shared" ca="1" si="189"/>
        <v>13076619.205988711</v>
      </c>
      <c r="AX53" s="230">
        <f t="shared" ca="1" si="189"/>
        <v>12952684.386470048</v>
      </c>
      <c r="AY53" s="230">
        <f t="shared" ca="1" si="189"/>
        <v>12826678.991963387</v>
      </c>
      <c r="AZ53" s="230">
        <f t="shared" ca="1" si="189"/>
        <v>12701788.921489751</v>
      </c>
      <c r="BA53" s="230">
        <f t="shared" ca="1" si="189"/>
        <v>12574855.55745508</v>
      </c>
      <c r="BB53" s="230">
        <f t="shared" ca="1" si="189"/>
        <v>12449003.038512569</v>
      </c>
      <c r="BC53" s="230">
        <f t="shared" ca="1" si="189"/>
        <v>12322669.521586703</v>
      </c>
      <c r="BD53" s="230">
        <f t="shared" ca="1" si="189"/>
        <v>12191295.468656657</v>
      </c>
      <c r="BE53" s="230">
        <f t="shared" ca="1" si="189"/>
        <v>12063977.014580246</v>
      </c>
      <c r="BF53" s="230">
        <f t="shared" ca="1" si="189"/>
        <v>11934684.62020495</v>
      </c>
      <c r="BG53" s="230">
        <f t="shared" ca="1" si="189"/>
        <v>11806385.420557059</v>
      </c>
      <c r="BH53" s="230">
        <f t="shared" ca="1" si="189"/>
        <v>11676140.290149076</v>
      </c>
      <c r="BI53" s="230">
        <f t="shared" ca="1" si="189"/>
        <v>11546852.95532193</v>
      </c>
      <c r="BJ53" s="230">
        <f t="shared" ca="1" si="189"/>
        <v>11417071.494927431</v>
      </c>
      <c r="BK53" s="230">
        <f t="shared" ca="1" si="189"/>
        <v>0</v>
      </c>
      <c r="BL53" s="230">
        <f t="shared" ca="1" si="189"/>
        <v>0</v>
      </c>
      <c r="BM53" s="230">
        <f t="shared" ca="1" si="189"/>
        <v>0</v>
      </c>
      <c r="BN53" s="230">
        <f t="shared" ca="1" si="189"/>
        <v>0</v>
      </c>
      <c r="BO53" s="230">
        <f t="shared" ca="1" si="189"/>
        <v>0</v>
      </c>
      <c r="BP53" s="230">
        <f t="shared" ca="1" si="189"/>
        <v>0</v>
      </c>
    </row>
    <row r="54" spans="1:68" s="357" customFormat="1" x14ac:dyDescent="0.2">
      <c r="A54" s="359"/>
      <c r="B54" s="228"/>
      <c r="C54" s="229"/>
      <c r="D54" s="229"/>
      <c r="E54" s="228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8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29"/>
      <c r="AJ54" s="229"/>
      <c r="AK54" s="229"/>
      <c r="AL54" s="229"/>
      <c r="AM54" s="229"/>
      <c r="AN54" s="229"/>
      <c r="AO54" s="229"/>
      <c r="AP54" s="229"/>
      <c r="AQ54" s="229"/>
      <c r="AR54" s="229"/>
      <c r="AS54" s="229"/>
      <c r="AT54" s="229"/>
      <c r="AU54" s="229"/>
      <c r="AV54" s="229"/>
      <c r="AW54" s="229"/>
      <c r="AX54" s="229"/>
      <c r="AY54" s="229"/>
      <c r="AZ54" s="229"/>
      <c r="BA54" s="229"/>
      <c r="BB54" s="229"/>
      <c r="BC54" s="229"/>
      <c r="BD54" s="229"/>
      <c r="BE54" s="229"/>
      <c r="BF54" s="229"/>
      <c r="BG54" s="229"/>
      <c r="BH54" s="229"/>
      <c r="BI54" s="229"/>
      <c r="BJ54" s="229"/>
      <c r="BK54" s="229"/>
      <c r="BL54" s="229"/>
      <c r="BM54" s="229"/>
      <c r="BN54" s="229"/>
      <c r="BO54" s="229"/>
      <c r="BP54" s="229"/>
    </row>
    <row r="55" spans="1:68" s="357" customFormat="1" x14ac:dyDescent="0.2">
      <c r="A55" s="359" t="s">
        <v>77</v>
      </c>
      <c r="B55" s="228"/>
      <c r="C55" s="229">
        <f ca="1">SUM(F55:XFD55)</f>
        <v>5088583.4354561698</v>
      </c>
      <c r="D55" s="229"/>
      <c r="E55" s="228"/>
      <c r="F55" s="229">
        <f t="shared" ref="F55:AK55" ca="1" si="190">-F48-F52</f>
        <v>0</v>
      </c>
      <c r="G55" s="229">
        <f t="shared" ca="1" si="190"/>
        <v>0</v>
      </c>
      <c r="H55" s="229">
        <f t="shared" ca="1" si="190"/>
        <v>0</v>
      </c>
      <c r="I55" s="229">
        <f t="shared" ca="1" si="190"/>
        <v>0</v>
      </c>
      <c r="J55" s="229">
        <f t="shared" ca="1" si="190"/>
        <v>0</v>
      </c>
      <c r="K55" s="229">
        <f t="shared" ca="1" si="190"/>
        <v>0</v>
      </c>
      <c r="L55" s="229">
        <f t="shared" ca="1" si="190"/>
        <v>0</v>
      </c>
      <c r="M55" s="229">
        <f t="shared" ca="1" si="190"/>
        <v>0</v>
      </c>
      <c r="N55" s="229">
        <f t="shared" ca="1" si="190"/>
        <v>-756717.77527247672</v>
      </c>
      <c r="O55" s="229">
        <f t="shared" ca="1" si="190"/>
        <v>-1083350.9545454544</v>
      </c>
      <c r="P55" s="228">
        <f t="shared" ca="1" si="190"/>
        <v>-1083350.9545454544</v>
      </c>
      <c r="Q55" s="229">
        <f t="shared" ca="1" si="190"/>
        <v>-1083350.9545454544</v>
      </c>
      <c r="R55" s="229">
        <f t="shared" ca="1" si="190"/>
        <v>-1083350.9545454544</v>
      </c>
      <c r="S55" s="229">
        <f t="shared" ca="1" si="190"/>
        <v>-1083350.9545454544</v>
      </c>
      <c r="T55" s="229">
        <f t="shared" ca="1" si="190"/>
        <v>-1083350.9545454544</v>
      </c>
      <c r="U55" s="229">
        <f t="shared" ca="1" si="190"/>
        <v>-1083350.9545454544</v>
      </c>
      <c r="V55" s="229">
        <f t="shared" ca="1" si="190"/>
        <v>-1083350.9545454544</v>
      </c>
      <c r="W55" s="229">
        <f t="shared" ca="1" si="190"/>
        <v>-1083350.9545454544</v>
      </c>
      <c r="X55" s="229">
        <f t="shared" ca="1" si="190"/>
        <v>-1083350.9545454544</v>
      </c>
      <c r="Y55" s="229">
        <f t="shared" ca="1" si="190"/>
        <v>-1083350.9545454544</v>
      </c>
      <c r="Z55" s="229">
        <f t="shared" ca="1" si="190"/>
        <v>-1083350.9545454544</v>
      </c>
      <c r="AA55" s="229">
        <f t="shared" ca="1" si="190"/>
        <v>-1083350.9545454544</v>
      </c>
      <c r="AB55" s="229">
        <f t="shared" ca="1" si="190"/>
        <v>173912.58333333299</v>
      </c>
      <c r="AC55" s="229">
        <f t="shared" ca="1" si="190"/>
        <v>173912.58333333299</v>
      </c>
      <c r="AD55" s="229">
        <f t="shared" ca="1" si="190"/>
        <v>173912.58333333299</v>
      </c>
      <c r="AE55" s="229">
        <f t="shared" ca="1" si="190"/>
        <v>173912.58333333299</v>
      </c>
      <c r="AF55" s="229">
        <f t="shared" ca="1" si="190"/>
        <v>173912.58333333299</v>
      </c>
      <c r="AG55" s="229">
        <f t="shared" ca="1" si="190"/>
        <v>173912.58333333299</v>
      </c>
      <c r="AH55" s="229">
        <f t="shared" ca="1" si="190"/>
        <v>173912.58333333299</v>
      </c>
      <c r="AI55" s="229">
        <f t="shared" ca="1" si="190"/>
        <v>173912.58333333299</v>
      </c>
      <c r="AJ55" s="229">
        <f t="shared" ca="1" si="190"/>
        <v>173912.58333333299</v>
      </c>
      <c r="AK55" s="229">
        <f t="shared" ca="1" si="190"/>
        <v>173912.58333333299</v>
      </c>
      <c r="AL55" s="229">
        <f t="shared" ref="AL55:BP55" ca="1" si="191">-AL48-AL52</f>
        <v>173912.58333333299</v>
      </c>
      <c r="AM55" s="229">
        <f t="shared" ca="1" si="191"/>
        <v>173912.58333333299</v>
      </c>
      <c r="AN55" s="229">
        <f t="shared" ca="1" si="191"/>
        <v>173912.58333333299</v>
      </c>
      <c r="AO55" s="229">
        <f t="shared" ca="1" si="191"/>
        <v>173912.58333333299</v>
      </c>
      <c r="AP55" s="229">
        <f t="shared" ca="1" si="191"/>
        <v>173912.58333333299</v>
      </c>
      <c r="AQ55" s="229">
        <f t="shared" ca="1" si="191"/>
        <v>173912.58333333299</v>
      </c>
      <c r="AR55" s="229">
        <f t="shared" ca="1" si="191"/>
        <v>173912.58333333299</v>
      </c>
      <c r="AS55" s="229">
        <f t="shared" ca="1" si="191"/>
        <v>173912.58333333299</v>
      </c>
      <c r="AT55" s="229">
        <f t="shared" ca="1" si="191"/>
        <v>173912.58333333299</v>
      </c>
      <c r="AU55" s="229">
        <f t="shared" ca="1" si="191"/>
        <v>173912.58333333299</v>
      </c>
      <c r="AV55" s="229">
        <f t="shared" ca="1" si="191"/>
        <v>173912.58333333299</v>
      </c>
      <c r="AW55" s="229">
        <f t="shared" ca="1" si="191"/>
        <v>173912.58333333299</v>
      </c>
      <c r="AX55" s="229">
        <f t="shared" ca="1" si="191"/>
        <v>173912.58333333299</v>
      </c>
      <c r="AY55" s="229">
        <f t="shared" ca="1" si="191"/>
        <v>173912.58333333299</v>
      </c>
      <c r="AZ55" s="229">
        <f t="shared" ca="1" si="191"/>
        <v>173912.58333333299</v>
      </c>
      <c r="BA55" s="229">
        <f t="shared" ca="1" si="191"/>
        <v>173912.58333333299</v>
      </c>
      <c r="BB55" s="229">
        <f t="shared" ca="1" si="191"/>
        <v>173912.58333333299</v>
      </c>
      <c r="BC55" s="229">
        <f t="shared" ca="1" si="191"/>
        <v>173912.58333333299</v>
      </c>
      <c r="BD55" s="229">
        <f t="shared" ca="1" si="191"/>
        <v>173912.58333333299</v>
      </c>
      <c r="BE55" s="229">
        <f t="shared" ca="1" si="191"/>
        <v>173912.58333333299</v>
      </c>
      <c r="BF55" s="229">
        <f t="shared" ca="1" si="191"/>
        <v>173912.58333333299</v>
      </c>
      <c r="BG55" s="229">
        <f t="shared" ca="1" si="191"/>
        <v>173912.58333333299</v>
      </c>
      <c r="BH55" s="229">
        <f t="shared" ca="1" si="191"/>
        <v>173912.58333333299</v>
      </c>
      <c r="BI55" s="229">
        <f t="shared" ca="1" si="191"/>
        <v>173912.58333333299</v>
      </c>
      <c r="BJ55" s="229">
        <f t="shared" ca="1" si="191"/>
        <v>173912.58333333299</v>
      </c>
      <c r="BK55" s="229">
        <f t="shared" ca="1" si="191"/>
        <v>13841923.203152934</v>
      </c>
      <c r="BL55" s="229">
        <f t="shared" ca="1" si="191"/>
        <v>0</v>
      </c>
      <c r="BM55" s="229">
        <f t="shared" ca="1" si="191"/>
        <v>0</v>
      </c>
      <c r="BN55" s="229">
        <f t="shared" ca="1" si="191"/>
        <v>0</v>
      </c>
      <c r="BO55" s="229">
        <f t="shared" ca="1" si="191"/>
        <v>0</v>
      </c>
      <c r="BP55" s="229">
        <f t="shared" ca="1" si="191"/>
        <v>0</v>
      </c>
    </row>
    <row r="56" spans="1:68" s="357" customFormat="1" x14ac:dyDescent="0.2">
      <c r="A56" s="359" t="s">
        <v>82</v>
      </c>
      <c r="B56" s="232">
        <f ca="1">XIRR(F55:BK55, F4:BK4)</f>
        <v>2.9802322387695314E-9</v>
      </c>
      <c r="C56" s="229"/>
      <c r="D56" s="229"/>
      <c r="E56" s="228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8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29"/>
      <c r="AJ56" s="229"/>
      <c r="AK56" s="229"/>
      <c r="AL56" s="229"/>
      <c r="AM56" s="229"/>
      <c r="AN56" s="229"/>
      <c r="AO56" s="229"/>
      <c r="AP56" s="229"/>
      <c r="AQ56" s="229"/>
      <c r="AR56" s="229"/>
      <c r="AS56" s="229"/>
      <c r="AT56" s="229"/>
      <c r="AU56" s="229"/>
      <c r="AV56" s="229"/>
      <c r="AW56" s="229"/>
      <c r="AX56" s="229"/>
      <c r="AY56" s="229"/>
      <c r="AZ56" s="229"/>
      <c r="BA56" s="229"/>
      <c r="BB56" s="229"/>
      <c r="BC56" s="229"/>
      <c r="BD56" s="229"/>
      <c r="BE56" s="229"/>
      <c r="BF56" s="229"/>
      <c r="BG56" s="229"/>
      <c r="BH56" s="229"/>
      <c r="BI56" s="229"/>
      <c r="BJ56" s="229"/>
      <c r="BK56" s="229"/>
      <c r="BL56" s="229"/>
      <c r="BM56" s="229"/>
      <c r="BN56" s="229"/>
      <c r="BO56" s="229"/>
      <c r="BP56" s="229"/>
    </row>
    <row r="57" spans="1:68" s="357" customFormat="1" x14ac:dyDescent="0.2">
      <c r="A57" s="359"/>
      <c r="B57" s="228"/>
      <c r="C57" s="229"/>
      <c r="D57" s="229"/>
      <c r="E57" s="228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8"/>
      <c r="Q57" s="229"/>
      <c r="R57" s="229"/>
      <c r="S57" s="229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29"/>
      <c r="AJ57" s="229"/>
      <c r="AK57" s="229"/>
      <c r="AL57" s="229"/>
      <c r="AM57" s="229"/>
      <c r="AN57" s="229"/>
      <c r="AO57" s="229"/>
      <c r="AP57" s="229"/>
      <c r="AQ57" s="229"/>
      <c r="AR57" s="229"/>
      <c r="AS57" s="229"/>
      <c r="AT57" s="229"/>
      <c r="AU57" s="229"/>
      <c r="AV57" s="229"/>
      <c r="AW57" s="229"/>
      <c r="AX57" s="229"/>
      <c r="AY57" s="229"/>
      <c r="AZ57" s="229"/>
      <c r="BA57" s="229"/>
      <c r="BB57" s="229"/>
      <c r="BC57" s="229"/>
      <c r="BD57" s="229"/>
      <c r="BE57" s="229"/>
      <c r="BF57" s="229"/>
      <c r="BG57" s="229"/>
      <c r="BH57" s="229"/>
      <c r="BI57" s="229"/>
      <c r="BJ57" s="229"/>
      <c r="BK57" s="229"/>
      <c r="BL57" s="229"/>
      <c r="BM57" s="229"/>
      <c r="BN57" s="229"/>
      <c r="BO57" s="229"/>
      <c r="BP57" s="229"/>
    </row>
    <row r="58" spans="1:68" s="357" customFormat="1" x14ac:dyDescent="0.2">
      <c r="A58" s="359" t="s">
        <v>83</v>
      </c>
      <c r="B58" s="228"/>
      <c r="C58" s="229">
        <f ca="1">SUM(F58:BP58)</f>
        <v>1662078.2128464039</v>
      </c>
      <c r="D58" s="229"/>
      <c r="E58" s="228"/>
      <c r="F58" s="229">
        <f t="shared" ref="F58:AK58" si="192">IF(F4&gt;Practical_Completion_Date,IF(F4&gt;=Interest_Serviced_From,F50,0),0)</f>
        <v>0</v>
      </c>
      <c r="G58" s="229">
        <f t="shared" si="192"/>
        <v>0</v>
      </c>
      <c r="H58" s="229">
        <f t="shared" si="192"/>
        <v>0</v>
      </c>
      <c r="I58" s="229">
        <f t="shared" si="192"/>
        <v>0</v>
      </c>
      <c r="J58" s="229">
        <f t="shared" si="192"/>
        <v>0</v>
      </c>
      <c r="K58" s="229">
        <f t="shared" si="192"/>
        <v>0</v>
      </c>
      <c r="L58" s="229">
        <f t="shared" si="192"/>
        <v>0</v>
      </c>
      <c r="M58" s="229">
        <f t="shared" si="192"/>
        <v>0</v>
      </c>
      <c r="N58" s="229">
        <f t="shared" si="192"/>
        <v>0</v>
      </c>
      <c r="O58" s="229">
        <f t="shared" si="192"/>
        <v>0</v>
      </c>
      <c r="P58" s="229">
        <f t="shared" si="192"/>
        <v>0</v>
      </c>
      <c r="Q58" s="229">
        <f t="shared" si="192"/>
        <v>0</v>
      </c>
      <c r="R58" s="229">
        <f t="shared" si="192"/>
        <v>0</v>
      </c>
      <c r="S58" s="229">
        <f t="shared" si="192"/>
        <v>0</v>
      </c>
      <c r="T58" s="229">
        <f t="shared" si="192"/>
        <v>0</v>
      </c>
      <c r="U58" s="229">
        <f t="shared" si="192"/>
        <v>0</v>
      </c>
      <c r="V58" s="229">
        <f t="shared" si="192"/>
        <v>0</v>
      </c>
      <c r="W58" s="229">
        <f t="shared" si="192"/>
        <v>0</v>
      </c>
      <c r="X58" s="229">
        <f t="shared" si="192"/>
        <v>0</v>
      </c>
      <c r="Y58" s="229">
        <f t="shared" si="192"/>
        <v>0</v>
      </c>
      <c r="Z58" s="229">
        <f t="shared" si="192"/>
        <v>0</v>
      </c>
      <c r="AA58" s="229">
        <f t="shared" si="192"/>
        <v>0</v>
      </c>
      <c r="AB58" s="229">
        <f t="shared" si="192"/>
        <v>0</v>
      </c>
      <c r="AC58" s="229">
        <f t="shared" si="192"/>
        <v>0</v>
      </c>
      <c r="AD58" s="229">
        <f t="shared" si="192"/>
        <v>0</v>
      </c>
      <c r="AE58" s="229">
        <f t="shared" ca="1" si="192"/>
        <v>58713.919850601662</v>
      </c>
      <c r="AF58" s="229">
        <f t="shared" ca="1" si="192"/>
        <v>54514.050347982738</v>
      </c>
      <c r="AG58" s="229">
        <f t="shared" ca="1" si="192"/>
        <v>57817.308647662016</v>
      </c>
      <c r="AH58" s="229">
        <f t="shared" ca="1" si="192"/>
        <v>55522.840693442668</v>
      </c>
      <c r="AI58" s="229">
        <f t="shared" ca="1" si="192"/>
        <v>56921.126184184868</v>
      </c>
      <c r="AJ58" s="229">
        <f t="shared" ca="1" si="192"/>
        <v>54652.252694222931</v>
      </c>
      <c r="AK58" s="229">
        <f t="shared" ca="1" si="192"/>
        <v>56018.191269213319</v>
      </c>
      <c r="AL58" s="229">
        <f t="shared" ref="AL58:BP58" ca="1" si="193">IF(AL4&gt;Practical_Completion_Date,IF(AL4&gt;=Interest_Serviced_From,AL50,0),0)</f>
        <v>55567.608592694283</v>
      </c>
      <c r="AM58" s="229">
        <f t="shared" ca="1" si="193"/>
        <v>53337.39079956754</v>
      </c>
      <c r="AN58" s="229">
        <f t="shared" ca="1" si="193"/>
        <v>54654.475350645538</v>
      </c>
      <c r="AO58" s="229">
        <f t="shared" ca="1" si="193"/>
        <v>52450.336126424503</v>
      </c>
      <c r="AP58" s="229">
        <f t="shared" ca="1" si="193"/>
        <v>53734.461938345594</v>
      </c>
      <c r="AQ58" s="229">
        <f t="shared" ca="1" si="193"/>
        <v>53275.151036027768</v>
      </c>
      <c r="AR58" s="229">
        <f t="shared" ca="1" si="193"/>
        <v>47703.044231787098</v>
      </c>
      <c r="AS58" s="229">
        <f t="shared" ca="1" si="193"/>
        <v>52331.722200133539</v>
      </c>
      <c r="AT58" s="229">
        <f t="shared" ca="1" si="193"/>
        <v>50193.919492093482</v>
      </c>
      <c r="AU58" s="229">
        <f t="shared" ca="1" si="193"/>
        <v>51394.207577286026</v>
      </c>
      <c r="AV58" s="229">
        <f t="shared" ca="1" si="193"/>
        <v>49283.179756596684</v>
      </c>
      <c r="AW58" s="229">
        <f t="shared" ca="1" si="193"/>
        <v>50449.629078192243</v>
      </c>
      <c r="AX58" s="229">
        <f t="shared" ca="1" si="193"/>
        <v>49977.763814669182</v>
      </c>
      <c r="AY58" s="229">
        <f t="shared" ca="1" si="193"/>
        <v>47907.188826670041</v>
      </c>
      <c r="AZ58" s="229">
        <f t="shared" ca="1" si="193"/>
        <v>49022.512859695678</v>
      </c>
      <c r="BA58" s="229">
        <f t="shared" ca="1" si="193"/>
        <v>46979.219298660726</v>
      </c>
      <c r="BB58" s="229">
        <f t="shared" ca="1" si="193"/>
        <v>48060.06439082147</v>
      </c>
      <c r="BC58" s="229">
        <f t="shared" ca="1" si="193"/>
        <v>47579.066407465842</v>
      </c>
      <c r="BD58" s="229">
        <f t="shared" ca="1" si="193"/>
        <v>42538.530403285607</v>
      </c>
      <c r="BE58" s="229">
        <f t="shared" ca="1" si="193"/>
        <v>46594.129256920649</v>
      </c>
      <c r="BF58" s="229">
        <f t="shared" ca="1" si="193"/>
        <v>44620.188958036524</v>
      </c>
      <c r="BG58" s="229">
        <f t="shared" ca="1" si="193"/>
        <v>45613.383685440829</v>
      </c>
      <c r="BH58" s="229">
        <f t="shared" ca="1" si="193"/>
        <v>43667.452925348029</v>
      </c>
      <c r="BI58" s="229">
        <f t="shared" ca="1" si="193"/>
        <v>44625.248506186195</v>
      </c>
      <c r="BJ58" s="229">
        <f t="shared" ca="1" si="193"/>
        <v>44131.122938833134</v>
      </c>
      <c r="BK58" s="229">
        <f t="shared" ca="1" si="193"/>
        <v>42227.524707265839</v>
      </c>
      <c r="BL58" s="229">
        <f t="shared" ca="1" si="193"/>
        <v>0</v>
      </c>
      <c r="BM58" s="229">
        <f t="shared" si="193"/>
        <v>0</v>
      </c>
      <c r="BN58" s="229">
        <f t="shared" si="193"/>
        <v>0</v>
      </c>
      <c r="BO58" s="229">
        <f t="shared" si="193"/>
        <v>0</v>
      </c>
      <c r="BP58" s="229">
        <f t="shared" si="193"/>
        <v>0</v>
      </c>
    </row>
    <row r="59" spans="1:68" x14ac:dyDescent="0.2">
      <c r="A59" s="214" t="s">
        <v>84</v>
      </c>
      <c r="C59" s="219">
        <f ca="1">SUM(F59:BP59)</f>
        <v>566907.39896990184</v>
      </c>
      <c r="F59" s="219">
        <f t="shared" ref="F59:AK59" si="194">IF(F4&lt;=Practical_Completion_Date,F50,IF(F4&gt;=Interest_Serviced_From,0,F50))</f>
        <v>0</v>
      </c>
      <c r="G59" s="219">
        <f t="shared" ca="1" si="194"/>
        <v>910.61937972820306</v>
      </c>
      <c r="H59" s="219">
        <f t="shared" ca="1" si="194"/>
        <v>882.97834598860823</v>
      </c>
      <c r="I59" s="219">
        <f t="shared" ca="1" si="194"/>
        <v>1038.2335419527592</v>
      </c>
      <c r="J59" s="219">
        <f t="shared" ca="1" si="194"/>
        <v>1069.8866913369504</v>
      </c>
      <c r="K59" s="219">
        <f t="shared" ca="1" si="194"/>
        <v>1170.8739518282562</v>
      </c>
      <c r="L59" s="219">
        <f t="shared" ca="1" si="194"/>
        <v>1198.6026917368779</v>
      </c>
      <c r="M59" s="219">
        <f t="shared" ca="1" si="194"/>
        <v>1304.2357770006095</v>
      </c>
      <c r="N59" s="219">
        <f t="shared" ca="1" si="194"/>
        <v>1372.286055142089</v>
      </c>
      <c r="O59" s="219">
        <f t="shared" ca="1" si="194"/>
        <v>4192.8748178758333</v>
      </c>
      <c r="P59" s="219">
        <f t="shared" ca="1" si="194"/>
        <v>8547.0602911560509</v>
      </c>
      <c r="Q59" s="219">
        <f t="shared" ca="1" si="194"/>
        <v>12363.46553711671</v>
      </c>
      <c r="R59" s="219">
        <f t="shared" ca="1" si="194"/>
        <v>17012.557103274736</v>
      </c>
      <c r="S59" s="219">
        <f t="shared" ca="1" si="194"/>
        <v>21264.444957654923</v>
      </c>
      <c r="T59" s="219">
        <f t="shared" ca="1" si="194"/>
        <v>23057.610878954561</v>
      </c>
      <c r="U59" s="219">
        <f t="shared" ca="1" si="194"/>
        <v>29790.405927354928</v>
      </c>
      <c r="V59" s="219">
        <f t="shared" ca="1" si="194"/>
        <v>32978.287882519435</v>
      </c>
      <c r="W59" s="219">
        <f t="shared" ca="1" si="194"/>
        <v>38371.442751094073</v>
      </c>
      <c r="X59" s="219">
        <f t="shared" ca="1" si="194"/>
        <v>41305.439014462972</v>
      </c>
      <c r="Y59" s="219">
        <f t="shared" ca="1" si="194"/>
        <v>46999.150805971156</v>
      </c>
      <c r="Z59" s="219">
        <f t="shared" ca="1" si="194"/>
        <v>51333.809874475919</v>
      </c>
      <c r="AA59" s="219">
        <f t="shared" ca="1" si="194"/>
        <v>53884.29076411701</v>
      </c>
      <c r="AB59" s="219">
        <f t="shared" ca="1" si="194"/>
        <v>60032.018691036792</v>
      </c>
      <c r="AC59" s="219">
        <f t="shared" ca="1" si="194"/>
        <v>57674.29987066485</v>
      </c>
      <c r="AD59" s="219">
        <f t="shared" ca="1" si="194"/>
        <v>59152.523367457543</v>
      </c>
      <c r="AE59" s="219">
        <f t="shared" si="194"/>
        <v>0</v>
      </c>
      <c r="AF59" s="219">
        <f t="shared" si="194"/>
        <v>0</v>
      </c>
      <c r="AG59" s="219">
        <f t="shared" si="194"/>
        <v>0</v>
      </c>
      <c r="AH59" s="219">
        <f t="shared" si="194"/>
        <v>0</v>
      </c>
      <c r="AI59" s="219">
        <f t="shared" si="194"/>
        <v>0</v>
      </c>
      <c r="AJ59" s="219">
        <f t="shared" si="194"/>
        <v>0</v>
      </c>
      <c r="AK59" s="219">
        <f t="shared" si="194"/>
        <v>0</v>
      </c>
      <c r="AL59" s="219">
        <f t="shared" ref="AL59:BP59" si="195">IF(AL4&lt;=Practical_Completion_Date,AL50,IF(AL4&gt;=Interest_Serviced_From,0,AL50))</f>
        <v>0</v>
      </c>
      <c r="AM59" s="219">
        <f t="shared" si="195"/>
        <v>0</v>
      </c>
      <c r="AN59" s="219">
        <f t="shared" si="195"/>
        <v>0</v>
      </c>
      <c r="AO59" s="219">
        <f t="shared" si="195"/>
        <v>0</v>
      </c>
      <c r="AP59" s="219">
        <f t="shared" si="195"/>
        <v>0</v>
      </c>
      <c r="AQ59" s="219">
        <f t="shared" si="195"/>
        <v>0</v>
      </c>
      <c r="AR59" s="219">
        <f t="shared" si="195"/>
        <v>0</v>
      </c>
      <c r="AS59" s="219">
        <f t="shared" si="195"/>
        <v>0</v>
      </c>
      <c r="AT59" s="219">
        <f t="shared" si="195"/>
        <v>0</v>
      </c>
      <c r="AU59" s="219">
        <f t="shared" si="195"/>
        <v>0</v>
      </c>
      <c r="AV59" s="219">
        <f t="shared" si="195"/>
        <v>0</v>
      </c>
      <c r="AW59" s="219">
        <f t="shared" si="195"/>
        <v>0</v>
      </c>
      <c r="AX59" s="219">
        <f t="shared" si="195"/>
        <v>0</v>
      </c>
      <c r="AY59" s="219">
        <f t="shared" si="195"/>
        <v>0</v>
      </c>
      <c r="AZ59" s="219">
        <f t="shared" si="195"/>
        <v>0</v>
      </c>
      <c r="BA59" s="219">
        <f t="shared" si="195"/>
        <v>0</v>
      </c>
      <c r="BB59" s="219">
        <f t="shared" si="195"/>
        <v>0</v>
      </c>
      <c r="BC59" s="219">
        <f t="shared" si="195"/>
        <v>0</v>
      </c>
      <c r="BD59" s="219">
        <f t="shared" si="195"/>
        <v>0</v>
      </c>
      <c r="BE59" s="219">
        <f t="shared" si="195"/>
        <v>0</v>
      </c>
      <c r="BF59" s="219">
        <f t="shared" si="195"/>
        <v>0</v>
      </c>
      <c r="BG59" s="219">
        <f t="shared" si="195"/>
        <v>0</v>
      </c>
      <c r="BH59" s="219">
        <f t="shared" si="195"/>
        <v>0</v>
      </c>
      <c r="BI59" s="219">
        <f t="shared" si="195"/>
        <v>0</v>
      </c>
      <c r="BJ59" s="219">
        <f t="shared" si="195"/>
        <v>0</v>
      </c>
      <c r="BK59" s="219">
        <f t="shared" si="195"/>
        <v>0</v>
      </c>
      <c r="BL59" s="219">
        <f t="shared" si="195"/>
        <v>0</v>
      </c>
      <c r="BM59" s="219">
        <f t="shared" si="195"/>
        <v>0</v>
      </c>
      <c r="BN59" s="219">
        <f t="shared" si="195"/>
        <v>0</v>
      </c>
      <c r="BO59" s="219">
        <f t="shared" si="195"/>
        <v>0</v>
      </c>
      <c r="BP59" s="219">
        <f t="shared" si="195"/>
        <v>0</v>
      </c>
    </row>
    <row r="60" spans="1:68" x14ac:dyDescent="0.2"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19"/>
      <c r="AW60" s="219"/>
      <c r="AX60" s="219"/>
      <c r="AY60" s="219"/>
      <c r="AZ60" s="219"/>
      <c r="BA60" s="219"/>
      <c r="BB60" s="219"/>
      <c r="BC60" s="219"/>
      <c r="BD60" s="219"/>
      <c r="BE60" s="219"/>
      <c r="BF60" s="219"/>
      <c r="BG60" s="219"/>
      <c r="BH60" s="219"/>
      <c r="BI60" s="219"/>
      <c r="BJ60" s="219"/>
      <c r="BK60" s="219"/>
      <c r="BL60" s="219"/>
      <c r="BM60" s="219"/>
      <c r="BN60" s="219"/>
      <c r="BO60" s="219"/>
      <c r="BP60" s="219"/>
    </row>
    <row r="61" spans="1:68" x14ac:dyDescent="0.2"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19"/>
      <c r="AW61" s="219"/>
      <c r="AX61" s="219"/>
      <c r="AY61" s="219"/>
      <c r="AZ61" s="219"/>
      <c r="BA61" s="219"/>
      <c r="BB61" s="219"/>
      <c r="BC61" s="219"/>
      <c r="BD61" s="219"/>
      <c r="BE61" s="219"/>
      <c r="BF61" s="219"/>
      <c r="BG61" s="219"/>
      <c r="BH61" s="219"/>
      <c r="BI61" s="219"/>
      <c r="BJ61" s="219"/>
      <c r="BK61" s="219"/>
      <c r="BL61" s="219"/>
      <c r="BM61" s="219"/>
      <c r="BN61" s="219"/>
      <c r="BO61" s="219"/>
      <c r="BP61" s="219"/>
    </row>
    <row r="62" spans="1:68" x14ac:dyDescent="0.2"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19"/>
      <c r="AW62" s="219"/>
      <c r="AX62" s="219"/>
      <c r="AY62" s="219"/>
      <c r="AZ62" s="219"/>
      <c r="BA62" s="219"/>
      <c r="BB62" s="219"/>
      <c r="BC62" s="219"/>
      <c r="BD62" s="219"/>
      <c r="BE62" s="219"/>
      <c r="BF62" s="219"/>
      <c r="BG62" s="219"/>
      <c r="BH62" s="219"/>
      <c r="BI62" s="219"/>
      <c r="BJ62" s="219"/>
      <c r="BK62" s="219"/>
      <c r="BL62" s="219"/>
      <c r="BM62" s="219"/>
      <c r="BN62" s="219"/>
      <c r="BO62" s="219"/>
      <c r="BP62" s="219"/>
    </row>
    <row r="63" spans="1:68" x14ac:dyDescent="0.2">
      <c r="AD63" s="219"/>
      <c r="AE63" s="219"/>
      <c r="AF63" s="219"/>
      <c r="AG63" s="219"/>
      <c r="AH63" s="219"/>
      <c r="AI63" s="219"/>
      <c r="AJ63" s="219"/>
      <c r="AK63" s="219"/>
      <c r="AL63" s="219"/>
      <c r="AM63" s="219"/>
      <c r="AN63" s="219"/>
      <c r="AO63" s="219"/>
      <c r="AP63" s="219"/>
      <c r="AQ63" s="219"/>
      <c r="AR63" s="219"/>
      <c r="AS63" s="219"/>
      <c r="AT63" s="219"/>
      <c r="AU63" s="219"/>
      <c r="AV63" s="219"/>
      <c r="AW63" s="219"/>
      <c r="AX63" s="219"/>
      <c r="AY63" s="219"/>
      <c r="AZ63" s="219"/>
      <c r="BA63" s="219"/>
      <c r="BB63" s="219"/>
      <c r="BC63" s="219"/>
      <c r="BD63" s="219"/>
      <c r="BE63" s="219"/>
      <c r="BF63" s="219"/>
      <c r="BG63" s="219"/>
      <c r="BH63" s="219"/>
      <c r="BI63" s="219"/>
      <c r="BJ63" s="219"/>
      <c r="BK63" s="219"/>
      <c r="BL63" s="219"/>
      <c r="BM63" s="219"/>
      <c r="BN63" s="219"/>
      <c r="BO63" s="219"/>
      <c r="BP63" s="219"/>
    </row>
  </sheetData>
  <conditionalFormatting sqref="C38">
    <cfRule type="cellIs" dxfId="8" priority="5" operator="lessThan">
      <formula>$B$38</formula>
    </cfRule>
    <cfRule type="cellIs" dxfId="7" priority="6" operator="greaterThan">
      <formula>$B$38</formula>
    </cfRule>
    <cfRule type="expression" dxfId="6" priority="7">
      <formula>"&gt;$B$38"</formula>
    </cfRule>
  </conditionalFormatting>
  <conditionalFormatting sqref="G49:BP49">
    <cfRule type="cellIs" dxfId="5" priority="4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OrEqual" id="{661FEFB1-4690-4D0C-BCB0-03B06A8E340A}">
            <xm:f>Inputs!$E$6</xm:f>
            <x14:dxf>
              <font>
                <color auto="1"/>
              </font>
              <fill>
                <patternFill>
                  <bgColor theme="5" tint="0.79998168889431442"/>
                </patternFill>
              </fill>
            </x14:dxf>
          </x14:cfRule>
          <x14:cfRule type="cellIs" priority="2" operator="greaterThan" id="{F52872FE-7431-4F7A-99A2-63397F9F0447}">
            <xm:f>Inputs!$E$6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m:sqref>F3:BP3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30"/>
  <sheetViews>
    <sheetView showGridLines="0" workbookViewId="0">
      <selection activeCell="E17" sqref="E17"/>
    </sheetView>
  </sheetViews>
  <sheetFormatPr defaultRowHeight="15" x14ac:dyDescent="0.25"/>
  <cols>
    <col min="1" max="1" width="5.42578125" style="375" customWidth="1"/>
    <col min="2" max="2" width="68.42578125" style="375" bestFit="1" customWidth="1"/>
    <col min="3" max="3" width="11.28515625" style="375" bestFit="1" customWidth="1"/>
    <col min="4" max="4" width="17.140625" style="375" bestFit="1" customWidth="1"/>
    <col min="5" max="5" width="11.140625" style="375" bestFit="1" customWidth="1"/>
    <col min="6" max="6" width="11.7109375" style="375" customWidth="1"/>
    <col min="7" max="7" width="10.7109375" style="375" bestFit="1" customWidth="1"/>
    <col min="8" max="8" width="6.140625" style="375" bestFit="1" customWidth="1"/>
    <col min="9" max="16384" width="9.140625" style="375"/>
  </cols>
  <sheetData>
    <row r="2" spans="2:8" ht="30" x14ac:dyDescent="0.25">
      <c r="B2" s="373" t="s">
        <v>85</v>
      </c>
      <c r="C2" s="374" t="s">
        <v>86</v>
      </c>
      <c r="D2" s="374" t="s">
        <v>87</v>
      </c>
      <c r="E2" s="374" t="s">
        <v>10</v>
      </c>
      <c r="F2" s="374" t="s">
        <v>88</v>
      </c>
      <c r="G2" s="374" t="s">
        <v>89</v>
      </c>
    </row>
    <row r="3" spans="2:8" x14ac:dyDescent="0.25">
      <c r="B3" s="376" t="s">
        <v>90</v>
      </c>
      <c r="C3" s="352">
        <v>8</v>
      </c>
      <c r="D3" s="352">
        <v>149</v>
      </c>
      <c r="E3" s="352">
        <v>44</v>
      </c>
      <c r="F3" s="372">
        <v>0.97</v>
      </c>
      <c r="G3" s="377">
        <f>C3*D3*E3*F3</f>
        <v>50874.559999999998</v>
      </c>
    </row>
    <row r="4" spans="2:8" x14ac:dyDescent="0.25">
      <c r="B4" s="376" t="s">
        <v>91</v>
      </c>
      <c r="C4" s="352">
        <v>35</v>
      </c>
      <c r="D4" s="352">
        <v>149</v>
      </c>
      <c r="E4" s="352">
        <v>44</v>
      </c>
      <c r="F4" s="372">
        <v>0.97</v>
      </c>
      <c r="G4" s="377">
        <f t="shared" ref="G4:G8" si="0">C4*D4*E4*F4</f>
        <v>222576.19999999998</v>
      </c>
    </row>
    <row r="5" spans="2:8" x14ac:dyDescent="0.25">
      <c r="B5" s="376" t="s">
        <v>92</v>
      </c>
      <c r="C5" s="352">
        <v>126</v>
      </c>
      <c r="D5" s="352">
        <v>149</v>
      </c>
      <c r="E5" s="352">
        <v>44</v>
      </c>
      <c r="F5" s="372">
        <v>0.97</v>
      </c>
      <c r="G5" s="377">
        <f t="shared" si="0"/>
        <v>801274.32</v>
      </c>
    </row>
    <row r="6" spans="2:8" x14ac:dyDescent="0.25">
      <c r="B6" s="376" t="s">
        <v>93</v>
      </c>
      <c r="C6" s="352">
        <v>156</v>
      </c>
      <c r="D6" s="352">
        <v>190</v>
      </c>
      <c r="E6" s="352">
        <v>49</v>
      </c>
      <c r="F6" s="372">
        <v>0.97</v>
      </c>
      <c r="G6" s="377">
        <f t="shared" si="0"/>
        <v>1408789.2</v>
      </c>
    </row>
    <row r="7" spans="2:8" x14ac:dyDescent="0.25">
      <c r="B7" s="376" t="s">
        <v>94</v>
      </c>
      <c r="C7" s="352">
        <v>17</v>
      </c>
      <c r="D7" s="352">
        <v>190</v>
      </c>
      <c r="E7" s="352">
        <v>49</v>
      </c>
      <c r="F7" s="372">
        <v>0.97</v>
      </c>
      <c r="G7" s="377">
        <f t="shared" si="0"/>
        <v>153521.9</v>
      </c>
    </row>
    <row r="8" spans="2:8" x14ac:dyDescent="0.25">
      <c r="B8" s="376"/>
      <c r="C8" s="352">
        <v>0</v>
      </c>
      <c r="D8" s="352">
        <v>0</v>
      </c>
      <c r="E8" s="352">
        <v>0</v>
      </c>
      <c r="F8" s="372">
        <v>0</v>
      </c>
      <c r="G8" s="377">
        <f t="shared" si="0"/>
        <v>0</v>
      </c>
    </row>
    <row r="9" spans="2:8" ht="15.75" thickBot="1" x14ac:dyDescent="0.3">
      <c r="B9" s="378" t="s">
        <v>95</v>
      </c>
      <c r="C9" s="379">
        <f>SUM(C3:C8)</f>
        <v>342</v>
      </c>
      <c r="D9" s="380">
        <f>SUMPRODUCT(C3:C8,D3:D8)/C9</f>
        <v>169.73976608187135</v>
      </c>
      <c r="E9" s="380">
        <f>SUMPRODUCT(C3:C8,E3:E8)/C9</f>
        <v>46.529239766081872</v>
      </c>
      <c r="F9" s="381"/>
      <c r="G9" s="382">
        <f>SUM(G3:G8)</f>
        <v>2637036.1800000002</v>
      </c>
    </row>
    <row r="10" spans="2:8" x14ac:dyDescent="0.25">
      <c r="B10" s="376"/>
      <c r="C10" s="376"/>
      <c r="D10" s="376"/>
      <c r="E10" s="376"/>
      <c r="F10" s="376"/>
      <c r="G10" s="383"/>
    </row>
    <row r="11" spans="2:8" x14ac:dyDescent="0.25">
      <c r="B11" s="376" t="s">
        <v>96</v>
      </c>
      <c r="C11" s="236">
        <v>73130</v>
      </c>
      <c r="D11" s="376"/>
      <c r="E11" s="376"/>
      <c r="F11" s="376"/>
      <c r="G11" s="383"/>
    </row>
    <row r="12" spans="2:8" x14ac:dyDescent="0.25">
      <c r="B12" s="376"/>
      <c r="C12" s="376"/>
      <c r="D12" s="376"/>
      <c r="E12" s="376"/>
      <c r="F12" s="376"/>
      <c r="G12" s="383"/>
    </row>
    <row r="13" spans="2:8" x14ac:dyDescent="0.25">
      <c r="B13" s="384" t="s">
        <v>97</v>
      </c>
      <c r="C13" s="385">
        <f>G9+C11</f>
        <v>2710166.18</v>
      </c>
      <c r="D13" s="376"/>
      <c r="E13" s="376"/>
      <c r="F13" s="376"/>
      <c r="G13" s="376"/>
    </row>
    <row r="14" spans="2:8" x14ac:dyDescent="0.25">
      <c r="B14" s="386" t="s">
        <v>98</v>
      </c>
      <c r="C14" s="385">
        <f>E14*C9</f>
        <v>684000</v>
      </c>
      <c r="D14" s="376" t="s">
        <v>99</v>
      </c>
      <c r="E14" s="236">
        <v>2000</v>
      </c>
      <c r="F14" s="376"/>
      <c r="G14" s="376" t="s">
        <v>100</v>
      </c>
      <c r="H14" s="387">
        <f>C15/C19</f>
        <v>6.5974999999999992E-2</v>
      </c>
    </row>
    <row r="15" spans="2:8" ht="15.75" thickBot="1" x14ac:dyDescent="0.3">
      <c r="B15" s="388" t="s">
        <v>101</v>
      </c>
      <c r="C15" s="389">
        <f>C13-C14</f>
        <v>2026166.1800000002</v>
      </c>
      <c r="D15" s="376"/>
      <c r="E15" s="376"/>
      <c r="F15" s="376"/>
      <c r="G15" s="376"/>
      <c r="H15" s="387"/>
    </row>
    <row r="16" spans="2:8" x14ac:dyDescent="0.25">
      <c r="B16" s="376"/>
      <c r="C16" s="390"/>
      <c r="F16" s="376"/>
      <c r="G16" s="376"/>
    </row>
    <row r="17" spans="2:7" x14ac:dyDescent="0.25">
      <c r="B17" s="384" t="s">
        <v>102</v>
      </c>
      <c r="C17" s="385">
        <f>C15/E17</f>
        <v>31171787.384615388</v>
      </c>
      <c r="D17" s="376" t="s">
        <v>103</v>
      </c>
      <c r="E17" s="394">
        <v>6.5000000000000002E-2</v>
      </c>
      <c r="F17" s="376"/>
      <c r="G17" s="376"/>
    </row>
    <row r="18" spans="2:7" x14ac:dyDescent="0.25">
      <c r="B18" s="386" t="s">
        <v>104</v>
      </c>
      <c r="C18" s="391">
        <f>C17*E18</f>
        <v>467576.81076923083</v>
      </c>
      <c r="D18" s="375" t="s">
        <v>105</v>
      </c>
      <c r="E18" s="394">
        <v>1.4999999999999999E-2</v>
      </c>
      <c r="F18" s="376"/>
      <c r="G18" s="376"/>
    </row>
    <row r="19" spans="2:7" ht="15.75" thickBot="1" x14ac:dyDescent="0.3">
      <c r="B19" s="388" t="s">
        <v>106</v>
      </c>
      <c r="C19" s="389">
        <f>C17/(1+E18)</f>
        <v>30711120.575975753</v>
      </c>
      <c r="D19" s="376"/>
      <c r="E19" s="376"/>
      <c r="F19" s="376"/>
      <c r="G19" s="376"/>
    </row>
    <row r="21" spans="2:7" x14ac:dyDescent="0.25">
      <c r="B21" s="392" t="s">
        <v>107</v>
      </c>
    </row>
    <row r="22" spans="2:7" x14ac:dyDescent="0.25">
      <c r="B22" s="393" t="s">
        <v>108</v>
      </c>
    </row>
    <row r="23" spans="2:7" x14ac:dyDescent="0.25">
      <c r="B23" s="393" t="s">
        <v>109</v>
      </c>
    </row>
    <row r="24" spans="2:7" x14ac:dyDescent="0.25">
      <c r="B24" s="393" t="s">
        <v>110</v>
      </c>
      <c r="E24" s="395"/>
    </row>
    <row r="25" spans="2:7" x14ac:dyDescent="0.25">
      <c r="B25" s="393" t="s">
        <v>111</v>
      </c>
    </row>
    <row r="26" spans="2:7" x14ac:dyDescent="0.25">
      <c r="B26" s="393" t="s">
        <v>112</v>
      </c>
    </row>
    <row r="27" spans="2:7" x14ac:dyDescent="0.25">
      <c r="B27" s="393" t="s">
        <v>113</v>
      </c>
    </row>
    <row r="28" spans="2:7" x14ac:dyDescent="0.25">
      <c r="B28" s="393" t="s">
        <v>114</v>
      </c>
    </row>
    <row r="29" spans="2:7" x14ac:dyDescent="0.25">
      <c r="B29" s="393" t="s">
        <v>103</v>
      </c>
    </row>
    <row r="30" spans="2:7" x14ac:dyDescent="0.25">
      <c r="B30" s="393" t="s">
        <v>115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27"/>
  <sheetViews>
    <sheetView showGridLines="0" zoomScaleNormal="100" workbookViewId="0">
      <selection activeCell="C16" sqref="C16"/>
    </sheetView>
  </sheetViews>
  <sheetFormatPr defaultRowHeight="15" x14ac:dyDescent="0.25"/>
  <cols>
    <col min="1" max="1" width="8.85546875" customWidth="1"/>
    <col min="2" max="2" width="26" customWidth="1"/>
    <col min="3" max="3" width="17.85546875" customWidth="1"/>
    <col min="4" max="4" width="17.28515625" customWidth="1"/>
    <col min="5" max="5" width="15.5703125" customWidth="1"/>
    <col min="7" max="7" width="23.42578125" bestFit="1" customWidth="1"/>
    <col min="8" max="8" width="12.85546875" bestFit="1" customWidth="1"/>
    <col min="10" max="10" width="12.85546875" bestFit="1" customWidth="1"/>
  </cols>
  <sheetData>
    <row r="3" spans="2:5" x14ac:dyDescent="0.25">
      <c r="B3" s="253" t="s">
        <v>116</v>
      </c>
      <c r="C3" s="254"/>
      <c r="D3" s="254"/>
      <c r="E3" s="255"/>
    </row>
    <row r="4" spans="2:5" x14ac:dyDescent="0.25">
      <c r="B4" s="256"/>
      <c r="C4" s="257" t="s">
        <v>117</v>
      </c>
      <c r="D4" s="257" t="s">
        <v>118</v>
      </c>
      <c r="E4" s="258" t="s">
        <v>119</v>
      </c>
    </row>
    <row r="5" spans="2:5" x14ac:dyDescent="0.25">
      <c r="B5" s="259" t="s">
        <v>5</v>
      </c>
      <c r="C5" s="260">
        <f>Acquisition_Costs</f>
        <v>1596000</v>
      </c>
      <c r="D5" s="260">
        <f ca="1">IF(C5&lt;Total_Equity_Facility,C5,Total_Equity_Facility)</f>
        <v>1596000</v>
      </c>
      <c r="E5" s="261">
        <f ca="1">Acquisition_Costs-Acquisition_Costs_Equity</f>
        <v>0</v>
      </c>
    </row>
    <row r="6" spans="2:5" x14ac:dyDescent="0.25">
      <c r="B6" s="259" t="s">
        <v>9</v>
      </c>
      <c r="C6" s="260">
        <f>Construction_Costs</f>
        <v>21597000</v>
      </c>
      <c r="D6" s="260">
        <f ca="1">IF(SUM(C5:C6)&lt;Total_Equity_Facility,C6,Total_Equity_Facility-Acquisition_Costs_Equity)</f>
        <v>8993440.8156366125</v>
      </c>
      <c r="E6" s="261">
        <f ca="1">Construction_Costs-Construction_Costs_Equity</f>
        <v>12603559.184363388</v>
      </c>
    </row>
    <row r="7" spans="2:5" x14ac:dyDescent="0.25">
      <c r="B7" s="259" t="s">
        <v>12</v>
      </c>
      <c r="C7" s="260">
        <f>Contingency</f>
        <v>0</v>
      </c>
      <c r="D7" s="260">
        <f ca="1">IF(SUM(C5:C7)&lt;Total_Equity_Facility,C7,Total_Equity_Facility-Acquisition_Costs_Equity-Construction_Costs_Equity)</f>
        <v>0</v>
      </c>
      <c r="E7" s="261">
        <f ca="1">Contingency-Contingency_Equity</f>
        <v>0</v>
      </c>
    </row>
    <row r="8" spans="2:5" x14ac:dyDescent="0.25">
      <c r="B8" s="259" t="s">
        <v>15</v>
      </c>
      <c r="C8" s="260">
        <f>Other_Costs</f>
        <v>1588811</v>
      </c>
      <c r="D8" s="260">
        <f ca="1">IF(SUM(C5:C8)&lt;Total_Equity_Facility,C8,Total_Equity_Facility-Acquisition_Costs_Equity-Construction_Costs_Equity-Contingency_Equity)</f>
        <v>0</v>
      </c>
      <c r="E8" s="261">
        <f ca="1">Other_Costs-Other_Costs_Equity</f>
        <v>1588811</v>
      </c>
    </row>
    <row r="9" spans="2:5" x14ac:dyDescent="0.25">
      <c r="B9" s="259" t="s">
        <v>17</v>
      </c>
      <c r="C9" s="260">
        <f>Professional_Fees</f>
        <v>647910</v>
      </c>
      <c r="D9" s="260">
        <f ca="1">IF(SUM(C5:C9)&lt;Total_Equity_Facility,C9,Total_Equity_Facility-Acquisition_Costs_Equity-Construction_Costs_Equity-Contingency_Equity-Other_Costs_Equity)</f>
        <v>0</v>
      </c>
      <c r="E9" s="261">
        <f ca="1">Professional_Fees-Professional_Fees_Equity</f>
        <v>647910</v>
      </c>
    </row>
    <row r="10" spans="2:5" x14ac:dyDescent="0.25">
      <c r="B10" s="259" t="s">
        <v>20</v>
      </c>
      <c r="C10" s="260">
        <f>Marketing_Costs</f>
        <v>0</v>
      </c>
      <c r="D10" s="260">
        <f ca="1">IF(SUM(C5:C10)&lt;Total_Equity_Facility,C10,Total_Equity_Facility-Acquisition_Costs_Equity-Construction_Costs_Equity-Contingency_Equity-Other_Costs_Equity-Professional_Fees_Equity)</f>
        <v>0</v>
      </c>
      <c r="E10" s="261">
        <f ca="1">Marketing_Costs-Marketing_Lettings_Equity</f>
        <v>0</v>
      </c>
    </row>
    <row r="11" spans="2:5" x14ac:dyDescent="0.25">
      <c r="B11" s="259" t="s">
        <v>14</v>
      </c>
      <c r="C11" s="262">
        <f ca="1">Interest_Roll</f>
        <v>566907.39896990184</v>
      </c>
      <c r="D11" s="260">
        <f ca="1">IF(SUM(C5:C11)&lt;Total_Equity_Facility,C11,Total_Equity_Facility-Acquisition_Costs_Equity-Construction_Costs_Equity-Contingency_Equity-Other_Costs_Equity-Professional_Fees_Equity-Marketing_Lettings_Equity)</f>
        <v>0</v>
      </c>
      <c r="E11" s="261">
        <f ca="1">Interest_Roll-Interest_Rollup_Equity</f>
        <v>566907.39896990184</v>
      </c>
    </row>
    <row r="12" spans="2:5" x14ac:dyDescent="0.25">
      <c r="B12" s="259" t="s">
        <v>120</v>
      </c>
      <c r="C12" s="262">
        <f ca="1">Non_Utilisation_Fee_Value</f>
        <v>238711.22176980184</v>
      </c>
      <c r="D12" s="260">
        <f ca="1">IF(SUM(C5:C12)&lt;Total_Equity_Facility,C12,Total_Equity_Facility-Acquisition_Costs_Equity-Construction_Costs_Equity-Contingency_Equity-Other_Costs_Equity-Professional_Fees_Equity-Marketing_Lettings_Equity-Interest_Rollup_Equity)</f>
        <v>0</v>
      </c>
      <c r="E12" s="261">
        <f ca="1">Non_Utilisation_Fee_Value-Non_UtilFee_Equity</f>
        <v>238711.22176980184</v>
      </c>
    </row>
    <row r="13" spans="2:5" x14ac:dyDescent="0.25">
      <c r="B13" s="259" t="s">
        <v>19</v>
      </c>
      <c r="C13" s="260">
        <f ca="1">Arrangement_Fee_Value</f>
        <v>238262.41835182378</v>
      </c>
      <c r="D13" s="260">
        <f ca="1">IF(SUM(C5:C13)&lt;Total_Equity_Facility,C13,Total_Equity_Facility-Acquisition_Costs_Equity-Construction_Costs_Equity-Contingency_Equity-Other_Costs_Equity-Professional_Fees_Equity-Marketing_Lettings_Equity-Interest_Rollup_Equity-Non_UtilFee_Equity)</f>
        <v>0</v>
      </c>
      <c r="E13" s="261">
        <f ca="1">Arrangement_Fee_Value-Arrangement_Fee_Equity</f>
        <v>238262.41835182378</v>
      </c>
    </row>
    <row r="14" spans="2:5" x14ac:dyDescent="0.25">
      <c r="B14" s="263" t="s">
        <v>121</v>
      </c>
      <c r="C14" s="264">
        <f ca="1">SUM(C5:C13)</f>
        <v>26473602.039091531</v>
      </c>
      <c r="D14" s="264">
        <f ca="1">Acquisition_Costs_Equity+Construction_Costs_Equity+Contingency_Equity+Other_Costs_Equity+Professional_Fees_Equity+Marketing_Lettings_Equity+Interest_Rollup_Equity+Non_UtilFee_Equity+Arrangement_Fee_Equity</f>
        <v>10589440.815636612</v>
      </c>
      <c r="E14" s="265">
        <f ca="1">Acquisition_Costs_SnrDebt+Construction_Costs_SnrDebt+Contingency_SnrDebt+Other_Costs_SnrDebt+Professional_Fees_SnrDebt+Marketing_Lettings_SnrDebt+Interest_Rollup_SnrDebt+Non_UtilFee_SnrDebt+Arrangement_Fee_SnrDebt</f>
        <v>15884161.223454915</v>
      </c>
    </row>
    <row r="15" spans="2:5" x14ac:dyDescent="0.25">
      <c r="B15" s="259" t="s">
        <v>117</v>
      </c>
      <c r="C15" s="260">
        <f ca="1">NDV-Total_ProjectCosts</f>
        <v>4237518.5368842222</v>
      </c>
      <c r="D15" s="266"/>
      <c r="E15" s="267"/>
    </row>
    <row r="16" spans="2:5" x14ac:dyDescent="0.25">
      <c r="B16" s="259" t="s">
        <v>122</v>
      </c>
      <c r="C16" s="275">
        <f ca="1">Project_Profit/Total_ProjectCosts</f>
        <v>0.16006580935329481</v>
      </c>
      <c r="D16" s="266"/>
      <c r="E16" s="267"/>
    </row>
    <row r="17" spans="2:5" x14ac:dyDescent="0.25">
      <c r="B17" s="263"/>
      <c r="C17" s="264"/>
      <c r="D17" s="264"/>
      <c r="E17" s="265"/>
    </row>
    <row r="18" spans="2:5" x14ac:dyDescent="0.25">
      <c r="B18" s="259" t="s">
        <v>83</v>
      </c>
      <c r="C18" s="262">
        <f ca="1">Interest_Serviced</f>
        <v>1662078.2128464039</v>
      </c>
      <c r="D18" s="268"/>
      <c r="E18" s="269"/>
    </row>
    <row r="19" spans="2:5" x14ac:dyDescent="0.25">
      <c r="B19" s="259" t="s">
        <v>123</v>
      </c>
      <c r="C19" s="262">
        <f ca="1">Interest_Roll</f>
        <v>566907.39896990184</v>
      </c>
      <c r="D19" s="270"/>
      <c r="E19" s="269"/>
    </row>
    <row r="20" spans="2:5" x14ac:dyDescent="0.25">
      <c r="B20" s="259" t="s">
        <v>19</v>
      </c>
      <c r="C20" s="260">
        <f ca="1">Arrangement_Fee_Value</f>
        <v>238262.41835182378</v>
      </c>
      <c r="D20" s="270"/>
      <c r="E20" s="269"/>
    </row>
    <row r="21" spans="2:5" x14ac:dyDescent="0.25">
      <c r="B21" s="259" t="s">
        <v>120</v>
      </c>
      <c r="C21" s="260">
        <f ca="1">Non_Utilisation_Fee_Value</f>
        <v>238711.22176980184</v>
      </c>
      <c r="D21" s="270"/>
      <c r="E21" s="269"/>
    </row>
    <row r="22" spans="2:5" x14ac:dyDescent="0.25">
      <c r="B22" s="259" t="s">
        <v>28</v>
      </c>
      <c r="C22" s="260">
        <f ca="1">Exit_Fee_Value</f>
        <v>2382624.1835182379</v>
      </c>
      <c r="D22" s="270"/>
      <c r="E22" s="269"/>
    </row>
    <row r="23" spans="2:5" x14ac:dyDescent="0.25">
      <c r="B23" s="256" t="s">
        <v>124</v>
      </c>
      <c r="C23" s="271">
        <f ca="1">Arrangement_Fee_Value+Non_Utilisation_Fee_Value+Exit_Fee_Value+Total_Interest</f>
        <v>5088583.4354561698</v>
      </c>
      <c r="D23" s="268"/>
      <c r="E23" s="269"/>
    </row>
    <row r="24" spans="2:5" x14ac:dyDescent="0.25">
      <c r="B24" s="272"/>
      <c r="C24" s="273"/>
      <c r="D24" s="273"/>
      <c r="E24" s="274"/>
    </row>
    <row r="26" spans="2:5" x14ac:dyDescent="0.25">
      <c r="B26" s="276" t="s">
        <v>125</v>
      </c>
    </row>
    <row r="27" spans="2:5" x14ac:dyDescent="0.25">
      <c r="B27" s="277" t="s">
        <v>126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showGridLines="0" zoomScaleNormal="100" workbookViewId="0">
      <selection activeCell="G32" sqref="G32"/>
    </sheetView>
  </sheetViews>
  <sheetFormatPr defaultColWidth="9.140625" defaultRowHeight="12.75" x14ac:dyDescent="0.2"/>
  <cols>
    <col min="1" max="1" width="9.140625" style="278"/>
    <col min="2" max="2" width="15.7109375" style="297" bestFit="1" customWidth="1"/>
    <col min="3" max="3" width="18.42578125" style="278" customWidth="1"/>
    <col min="4" max="4" width="15.5703125" style="278" customWidth="1"/>
    <col min="5" max="5" width="4" style="278" customWidth="1"/>
    <col min="6" max="6" width="27.42578125" style="278" bestFit="1" customWidth="1"/>
    <col min="7" max="7" width="13.85546875" style="278" bestFit="1" customWidth="1"/>
    <col min="8" max="11" width="12.7109375" style="278" customWidth="1"/>
    <col min="12" max="13" width="11" style="278" bestFit="1" customWidth="1"/>
    <col min="14" max="14" width="11.7109375" style="278" customWidth="1"/>
    <col min="15" max="15" width="11" style="278" bestFit="1" customWidth="1"/>
    <col min="16" max="23" width="11.7109375" style="278" customWidth="1"/>
    <col min="24" max="16384" width="9.140625" style="278"/>
  </cols>
  <sheetData>
    <row r="1" spans="3:18" x14ac:dyDescent="0.2">
      <c r="C1" s="421" t="s">
        <v>127</v>
      </c>
      <c r="D1" s="421"/>
      <c r="F1" s="422" t="s">
        <v>128</v>
      </c>
      <c r="G1" s="422"/>
    </row>
    <row r="2" spans="3:18" x14ac:dyDescent="0.2">
      <c r="C2" s="307" t="s">
        <v>129</v>
      </c>
      <c r="D2" s="308"/>
      <c r="F2" s="333" t="s">
        <v>129</v>
      </c>
      <c r="G2" s="334"/>
    </row>
    <row r="3" spans="3:18" x14ac:dyDescent="0.2">
      <c r="C3" s="308" t="s">
        <v>130</v>
      </c>
      <c r="D3" s="309">
        <f ca="1">Total_SnrDebt_Sources_Uses</f>
        <v>15884161.223454915</v>
      </c>
      <c r="F3" s="334" t="s">
        <v>130</v>
      </c>
      <c r="G3" s="335">
        <f ca="1">Total_SnrDebt_Sources_Uses</f>
        <v>15884161.223454915</v>
      </c>
    </row>
    <row r="4" spans="3:18" x14ac:dyDescent="0.2">
      <c r="C4" s="308" t="s">
        <v>131</v>
      </c>
      <c r="D4" s="309">
        <f>NOI</f>
        <v>2026166.1800000002</v>
      </c>
      <c r="F4" s="334" t="s">
        <v>132</v>
      </c>
      <c r="G4" s="336">
        <f>'Rent Schedule'!E18</f>
        <v>1.4999999999999999E-2</v>
      </c>
      <c r="H4" s="278" t="s">
        <v>133</v>
      </c>
      <c r="J4" s="313">
        <v>5.0000000000000001E-3</v>
      </c>
    </row>
    <row r="5" spans="3:18" x14ac:dyDescent="0.2">
      <c r="C5" s="308" t="s">
        <v>103</v>
      </c>
      <c r="D5" s="310">
        <f>NIY</f>
        <v>6.5000000000000002E-2</v>
      </c>
      <c r="F5" s="278" t="s">
        <v>103</v>
      </c>
      <c r="G5" s="336">
        <f>NIY</f>
        <v>6.5000000000000002E-2</v>
      </c>
    </row>
    <row r="6" spans="3:18" x14ac:dyDescent="0.2">
      <c r="C6" s="308"/>
      <c r="D6" s="310"/>
      <c r="F6" s="334" t="s">
        <v>134</v>
      </c>
      <c r="G6" s="335">
        <f>NDV</f>
        <v>30711120.575975753</v>
      </c>
    </row>
    <row r="7" spans="3:18" x14ac:dyDescent="0.2">
      <c r="C7" s="308"/>
      <c r="D7" s="311" t="s">
        <v>135</v>
      </c>
      <c r="F7" s="334"/>
      <c r="G7" s="335"/>
    </row>
    <row r="8" spans="3:18" x14ac:dyDescent="0.2">
      <c r="C8" s="308" t="s">
        <v>136</v>
      </c>
      <c r="D8" s="314">
        <f ca="1">'Rent Schedule'!C15/Total_SnrDebt_Sources_Uses</f>
        <v>0.12755890295347272</v>
      </c>
    </row>
    <row r="9" spans="3:18" x14ac:dyDescent="0.2">
      <c r="C9" s="308" t="s">
        <v>137</v>
      </c>
      <c r="D9" s="309">
        <f ca="1">(NIY*Total_SnrDebt_Sources_Uses)</f>
        <v>1032470.4795245695</v>
      </c>
      <c r="F9" s="334"/>
      <c r="G9" s="335"/>
    </row>
    <row r="12" spans="3:18" ht="15" x14ac:dyDescent="0.25">
      <c r="F12" s="423" t="s">
        <v>138</v>
      </c>
      <c r="G12" s="424"/>
      <c r="H12" s="429" t="s">
        <v>139</v>
      </c>
      <c r="I12" s="430"/>
      <c r="J12" s="430"/>
      <c r="K12" s="431"/>
      <c r="M12"/>
      <c r="N12"/>
      <c r="O12"/>
      <c r="P12"/>
      <c r="Q12"/>
      <c r="R12"/>
    </row>
    <row r="13" spans="3:18" ht="15" x14ac:dyDescent="0.25">
      <c r="F13" s="425"/>
      <c r="G13" s="426"/>
      <c r="H13" s="312">
        <v>0.5</v>
      </c>
      <c r="I13" s="312">
        <v>0.6</v>
      </c>
      <c r="J13" s="312">
        <v>0.7</v>
      </c>
      <c r="K13" s="279" t="s">
        <v>140</v>
      </c>
      <c r="M13"/>
      <c r="N13"/>
      <c r="O13"/>
      <c r="P13"/>
      <c r="Q13"/>
      <c r="R13"/>
    </row>
    <row r="14" spans="3:18" ht="15" x14ac:dyDescent="0.25">
      <c r="F14" s="427"/>
      <c r="G14" s="428"/>
      <c r="H14" s="345">
        <f t="shared" ref="H14:I14" si="0">$K$14*H13</f>
        <v>1013083.0900000001</v>
      </c>
      <c r="I14" s="345">
        <f t="shared" si="0"/>
        <v>1215699.7080000001</v>
      </c>
      <c r="J14" s="340">
        <f>$K$14*J13</f>
        <v>1418316.3260000001</v>
      </c>
      <c r="K14" s="341">
        <f>NOI</f>
        <v>2026166.1800000002</v>
      </c>
      <c r="L14" s="280"/>
      <c r="M14"/>
      <c r="N14"/>
      <c r="O14"/>
      <c r="P14"/>
      <c r="Q14"/>
      <c r="R14"/>
    </row>
    <row r="15" spans="3:18" s="281" customFormat="1" ht="15" customHeight="1" x14ac:dyDescent="0.25">
      <c r="F15" s="418" t="s">
        <v>141</v>
      </c>
      <c r="G15" s="342">
        <f>NIY</f>
        <v>6.5000000000000002E-2</v>
      </c>
      <c r="H15" s="282">
        <f t="shared" ref="H15:K20" si="1">(H$14/$G15)*(1-Purchasers_Cost_Percent)</f>
        <v>15352105.286923079</v>
      </c>
      <c r="I15" s="283">
        <f t="shared" si="1"/>
        <v>18422526.344307691</v>
      </c>
      <c r="J15" s="283">
        <f t="shared" si="1"/>
        <v>21492947.401692308</v>
      </c>
      <c r="K15" s="284">
        <f t="shared" si="1"/>
        <v>30704210.573846158</v>
      </c>
      <c r="M15"/>
      <c r="N15"/>
      <c r="O15"/>
      <c r="P15"/>
      <c r="Q15"/>
      <c r="R15"/>
    </row>
    <row r="16" spans="3:18" s="281" customFormat="1" ht="15" customHeight="1" x14ac:dyDescent="0.25">
      <c r="F16" s="419"/>
      <c r="G16" s="343">
        <f>G15+Yield_Increments</f>
        <v>7.0000000000000007E-2</v>
      </c>
      <c r="H16" s="285">
        <f t="shared" si="1"/>
        <v>14255526.337857142</v>
      </c>
      <c r="I16" s="286">
        <f t="shared" si="1"/>
        <v>17106631.605428573</v>
      </c>
      <c r="J16" s="286">
        <f t="shared" si="1"/>
        <v>19957736.873</v>
      </c>
      <c r="K16" s="287">
        <f t="shared" si="1"/>
        <v>28511052.675714284</v>
      </c>
      <c r="M16"/>
      <c r="N16"/>
      <c r="O16"/>
      <c r="P16"/>
      <c r="Q16"/>
      <c r="R16"/>
    </row>
    <row r="17" spans="6:16" s="281" customFormat="1" ht="15" customHeight="1" x14ac:dyDescent="0.25">
      <c r="F17" s="419"/>
      <c r="G17" s="343">
        <f>G16+Yield_Increments</f>
        <v>7.5000000000000011E-2</v>
      </c>
      <c r="H17" s="285">
        <f t="shared" si="1"/>
        <v>13305157.915333332</v>
      </c>
      <c r="I17" s="286">
        <f t="shared" si="1"/>
        <v>15966189.498399999</v>
      </c>
      <c r="J17" s="286">
        <f t="shared" si="1"/>
        <v>18627221.081466664</v>
      </c>
      <c r="K17" s="287">
        <f t="shared" si="1"/>
        <v>26610315.830666665</v>
      </c>
    </row>
    <row r="18" spans="6:16" s="281" customFormat="1" ht="15" customHeight="1" x14ac:dyDescent="0.25">
      <c r="F18" s="419"/>
      <c r="G18" s="343">
        <f>G17+Yield_Increments</f>
        <v>8.0000000000000016E-2</v>
      </c>
      <c r="H18" s="285">
        <f t="shared" si="1"/>
        <v>12473585.545624997</v>
      </c>
      <c r="I18" s="286">
        <f t="shared" si="1"/>
        <v>14968302.654749997</v>
      </c>
      <c r="J18" s="286">
        <f t="shared" si="1"/>
        <v>17463019.763875</v>
      </c>
      <c r="K18" s="287">
        <f t="shared" si="1"/>
        <v>24947171.091249995</v>
      </c>
    </row>
    <row r="19" spans="6:16" s="281" customFormat="1" ht="15" customHeight="1" x14ac:dyDescent="0.25">
      <c r="F19" s="419"/>
      <c r="G19" s="343">
        <f>G18+Yield_Increments</f>
        <v>8.500000000000002E-2</v>
      </c>
      <c r="H19" s="285">
        <f t="shared" si="1"/>
        <v>11739845.219411762</v>
      </c>
      <c r="I19" s="286">
        <f t="shared" si="1"/>
        <v>14087814.263294116</v>
      </c>
      <c r="J19" s="286">
        <f t="shared" si="1"/>
        <v>16435783.307176467</v>
      </c>
      <c r="K19" s="287">
        <f t="shared" si="1"/>
        <v>23479690.438823525</v>
      </c>
    </row>
    <row r="20" spans="6:16" s="281" customFormat="1" ht="15" customHeight="1" x14ac:dyDescent="0.25">
      <c r="F20" s="420"/>
      <c r="G20" s="344">
        <f>G19+Yield_Increments</f>
        <v>9.0000000000000024E-2</v>
      </c>
      <c r="H20" s="288">
        <f t="shared" si="1"/>
        <v>11087631.596111109</v>
      </c>
      <c r="I20" s="289">
        <f t="shared" si="1"/>
        <v>13305157.915333331</v>
      </c>
      <c r="J20" s="289">
        <f t="shared" si="1"/>
        <v>15522684.234555554</v>
      </c>
      <c r="K20" s="290">
        <f t="shared" si="1"/>
        <v>22175263.192222219</v>
      </c>
    </row>
    <row r="21" spans="6:16" x14ac:dyDescent="0.2">
      <c r="F21" s="291" t="str">
        <f>CONCATENATE("* assumes purchasers' costs of ",Purchasers_Cost_Percent*100,"%")</f>
        <v>* assumes purchasers' costs of 1.5%</v>
      </c>
    </row>
    <row r="22" spans="6:16" x14ac:dyDescent="0.2">
      <c r="G22" s="292"/>
    </row>
    <row r="23" spans="6:16" x14ac:dyDescent="0.2">
      <c r="F23" s="337" t="s">
        <v>142</v>
      </c>
      <c r="G23" s="338">
        <v>1</v>
      </c>
      <c r="H23" s="338">
        <f>G23+1</f>
        <v>2</v>
      </c>
      <c r="I23" s="338">
        <f t="shared" ref="I23:P23" si="2">H23+1</f>
        <v>3</v>
      </c>
      <c r="J23" s="338">
        <f t="shared" si="2"/>
        <v>4</v>
      </c>
      <c r="K23" s="338">
        <f t="shared" si="2"/>
        <v>5</v>
      </c>
      <c r="L23" s="338">
        <f t="shared" si="2"/>
        <v>6</v>
      </c>
      <c r="M23" s="338">
        <f>L23+1</f>
        <v>7</v>
      </c>
      <c r="N23" s="338">
        <f t="shared" si="2"/>
        <v>8</v>
      </c>
      <c r="O23" s="338">
        <f t="shared" si="2"/>
        <v>9</v>
      </c>
      <c r="P23" s="339">
        <f t="shared" si="2"/>
        <v>10</v>
      </c>
    </row>
    <row r="24" spans="6:16" s="293" customFormat="1" x14ac:dyDescent="0.2">
      <c r="F24" s="294"/>
      <c r="G24" s="295"/>
      <c r="H24" s="295"/>
      <c r="I24" s="295"/>
      <c r="J24" s="295"/>
      <c r="K24" s="295"/>
      <c r="L24" s="295"/>
      <c r="M24" s="295"/>
      <c r="N24" s="295"/>
      <c r="O24" s="295"/>
      <c r="P24" s="296"/>
    </row>
    <row r="25" spans="6:16" s="297" customFormat="1" x14ac:dyDescent="0.2">
      <c r="F25" s="298" t="s">
        <v>73</v>
      </c>
      <c r="G25" s="299">
        <f ca="1">Total_SnrDebt_Sources_Uses</f>
        <v>15884161.223454915</v>
      </c>
      <c r="H25" s="299">
        <f ca="1">G29</f>
        <v>13857995.043454915</v>
      </c>
      <c r="I25" s="299">
        <f t="shared" ref="I25:P25" ca="1" si="3">H29</f>
        <v>11831828.863454916</v>
      </c>
      <c r="J25" s="299">
        <f t="shared" ca="1" si="3"/>
        <v>9805662.6834549159</v>
      </c>
      <c r="K25" s="299">
        <f t="shared" ca="1" si="3"/>
        <v>7779496.5034549162</v>
      </c>
      <c r="L25" s="299">
        <f t="shared" ca="1" si="3"/>
        <v>5753330.3234549165</v>
      </c>
      <c r="M25" s="299">
        <f t="shared" ca="1" si="3"/>
        <v>3727164.1434549163</v>
      </c>
      <c r="N25" s="299">
        <f t="shared" ca="1" si="3"/>
        <v>1700997.9634549161</v>
      </c>
      <c r="O25" s="299">
        <f t="shared" ca="1" si="3"/>
        <v>-325168.21654508403</v>
      </c>
      <c r="P25" s="300">
        <f t="shared" ca="1" si="3"/>
        <v>-2351334.3965450842</v>
      </c>
    </row>
    <row r="26" spans="6:16" x14ac:dyDescent="0.2">
      <c r="F26" s="301" t="s">
        <v>70</v>
      </c>
      <c r="G26" s="302">
        <f ca="1">Total_SnrDebt_Sources_Uses*Invest_All_In_InterestRate</f>
        <v>0</v>
      </c>
      <c r="H26" s="302">
        <f t="shared" ref="H26:P26" ca="1" si="4">H25*Invest_All_In_InterestRate</f>
        <v>0</v>
      </c>
      <c r="I26" s="302">
        <f t="shared" ca="1" si="4"/>
        <v>0</v>
      </c>
      <c r="J26" s="302">
        <f t="shared" ca="1" si="4"/>
        <v>0</v>
      </c>
      <c r="K26" s="302">
        <f t="shared" ca="1" si="4"/>
        <v>0</v>
      </c>
      <c r="L26" s="302">
        <f t="shared" ca="1" si="4"/>
        <v>0</v>
      </c>
      <c r="M26" s="302">
        <f t="shared" ca="1" si="4"/>
        <v>0</v>
      </c>
      <c r="N26" s="302">
        <f t="shared" ca="1" si="4"/>
        <v>0</v>
      </c>
      <c r="O26" s="302">
        <f t="shared" ca="1" si="4"/>
        <v>0</v>
      </c>
      <c r="P26" s="302">
        <f t="shared" ca="1" si="4"/>
        <v>0</v>
      </c>
    </row>
    <row r="27" spans="6:16" x14ac:dyDescent="0.2">
      <c r="F27" s="301" t="s">
        <v>143</v>
      </c>
      <c r="G27" s="302">
        <f>$D$4</f>
        <v>2026166.1800000002</v>
      </c>
      <c r="H27" s="302">
        <f>$D$4</f>
        <v>2026166.1800000002</v>
      </c>
      <c r="I27" s="302">
        <f t="shared" ref="I27:P27" si="5">$D$4</f>
        <v>2026166.1800000002</v>
      </c>
      <c r="J27" s="302">
        <f t="shared" si="5"/>
        <v>2026166.1800000002</v>
      </c>
      <c r="K27" s="302">
        <f t="shared" si="5"/>
        <v>2026166.1800000002</v>
      </c>
      <c r="L27" s="302">
        <f t="shared" si="5"/>
        <v>2026166.1800000002</v>
      </c>
      <c r="M27" s="302">
        <f t="shared" si="5"/>
        <v>2026166.1800000002</v>
      </c>
      <c r="N27" s="302">
        <f t="shared" si="5"/>
        <v>2026166.1800000002</v>
      </c>
      <c r="O27" s="302">
        <f t="shared" si="5"/>
        <v>2026166.1800000002</v>
      </c>
      <c r="P27" s="303">
        <f t="shared" si="5"/>
        <v>2026166.1800000002</v>
      </c>
    </row>
    <row r="28" spans="6:16" x14ac:dyDescent="0.2">
      <c r="F28" s="301" t="s">
        <v>144</v>
      </c>
      <c r="G28" s="302">
        <f ca="1">G27-G26</f>
        <v>2026166.1800000002</v>
      </c>
      <c r="H28" s="302">
        <f ca="1">H27-H26</f>
        <v>2026166.1800000002</v>
      </c>
      <c r="I28" s="302">
        <f t="shared" ref="I28:P28" ca="1" si="6">I27-I26</f>
        <v>2026166.1800000002</v>
      </c>
      <c r="J28" s="302">
        <f t="shared" ca="1" si="6"/>
        <v>2026166.1800000002</v>
      </c>
      <c r="K28" s="302">
        <f t="shared" ca="1" si="6"/>
        <v>2026166.1800000002</v>
      </c>
      <c r="L28" s="302">
        <f t="shared" ca="1" si="6"/>
        <v>2026166.1800000002</v>
      </c>
      <c r="M28" s="302">
        <f t="shared" ca="1" si="6"/>
        <v>2026166.1800000002</v>
      </c>
      <c r="N28" s="302">
        <f t="shared" ca="1" si="6"/>
        <v>2026166.1800000002</v>
      </c>
      <c r="O28" s="302">
        <f t="shared" ca="1" si="6"/>
        <v>2026166.1800000002</v>
      </c>
      <c r="P28" s="303">
        <f t="shared" ca="1" si="6"/>
        <v>2026166.1800000002</v>
      </c>
    </row>
    <row r="29" spans="6:16" s="297" customFormat="1" x14ac:dyDescent="0.2">
      <c r="F29" s="298" t="s">
        <v>76</v>
      </c>
      <c r="G29" s="299">
        <f ca="1">G25-G28</f>
        <v>13857995.043454915</v>
      </c>
      <c r="H29" s="299">
        <f ca="1">H25-H28</f>
        <v>11831828.863454916</v>
      </c>
      <c r="I29" s="299">
        <f t="shared" ref="I29:P29" ca="1" si="7">I25-I28</f>
        <v>9805662.6834549159</v>
      </c>
      <c r="J29" s="299">
        <f t="shared" ca="1" si="7"/>
        <v>7779496.5034549162</v>
      </c>
      <c r="K29" s="299">
        <f t="shared" ca="1" si="7"/>
        <v>5753330.3234549165</v>
      </c>
      <c r="L29" s="299">
        <f t="shared" ca="1" si="7"/>
        <v>3727164.1434549163</v>
      </c>
      <c r="M29" s="299">
        <f t="shared" ca="1" si="7"/>
        <v>1700997.9634549161</v>
      </c>
      <c r="N29" s="299">
        <f t="shared" ca="1" si="7"/>
        <v>-325168.21654508403</v>
      </c>
      <c r="O29" s="299">
        <f t="shared" ca="1" si="7"/>
        <v>-2351334.3965450842</v>
      </c>
      <c r="P29" s="300">
        <f t="shared" ca="1" si="7"/>
        <v>-4377500.5765450839</v>
      </c>
    </row>
    <row r="30" spans="6:16" x14ac:dyDescent="0.2">
      <c r="F30" s="301"/>
      <c r="G30" s="302"/>
      <c r="H30" s="302"/>
      <c r="I30" s="302"/>
      <c r="J30" s="302"/>
      <c r="K30" s="302"/>
      <c r="L30" s="302"/>
      <c r="M30" s="302"/>
      <c r="N30" s="302"/>
      <c r="O30" s="302"/>
      <c r="P30" s="303"/>
    </row>
    <row r="31" spans="6:16" x14ac:dyDescent="0.2">
      <c r="F31" s="301" t="s">
        <v>134</v>
      </c>
      <c r="G31" s="302">
        <f>NDV</f>
        <v>30711120.575975753</v>
      </c>
      <c r="H31" s="302">
        <f>G31</f>
        <v>30711120.575975753</v>
      </c>
      <c r="I31" s="302">
        <f t="shared" ref="I31:P31" si="8">H31</f>
        <v>30711120.575975753</v>
      </c>
      <c r="J31" s="302">
        <f t="shared" si="8"/>
        <v>30711120.575975753</v>
      </c>
      <c r="K31" s="302">
        <f t="shared" si="8"/>
        <v>30711120.575975753</v>
      </c>
      <c r="L31" s="302">
        <f t="shared" si="8"/>
        <v>30711120.575975753</v>
      </c>
      <c r="M31" s="302">
        <f t="shared" si="8"/>
        <v>30711120.575975753</v>
      </c>
      <c r="N31" s="302">
        <f t="shared" si="8"/>
        <v>30711120.575975753</v>
      </c>
      <c r="O31" s="302">
        <f t="shared" si="8"/>
        <v>30711120.575975753</v>
      </c>
      <c r="P31" s="303">
        <f t="shared" si="8"/>
        <v>30711120.575975753</v>
      </c>
    </row>
    <row r="32" spans="6:16" x14ac:dyDescent="0.2">
      <c r="F32" s="304" t="s">
        <v>145</v>
      </c>
      <c r="G32" s="305">
        <f ca="1">G29/G31</f>
        <v>0.45123703673305704</v>
      </c>
      <c r="H32" s="305">
        <f ca="1">H29/H31</f>
        <v>0.38526203673305709</v>
      </c>
      <c r="I32" s="305">
        <f t="shared" ref="I32:P32" ca="1" si="9">I29/I31</f>
        <v>0.31928703673305708</v>
      </c>
      <c r="J32" s="305">
        <f t="shared" ca="1" si="9"/>
        <v>0.25331203673305713</v>
      </c>
      <c r="K32" s="305">
        <f t="shared" ca="1" si="9"/>
        <v>0.18733703673305713</v>
      </c>
      <c r="L32" s="305">
        <f t="shared" ca="1" si="9"/>
        <v>0.12136203673305714</v>
      </c>
      <c r="M32" s="305">
        <f t="shared" ca="1" si="9"/>
        <v>5.5387036733057143E-2</v>
      </c>
      <c r="N32" s="305">
        <f t="shared" ca="1" si="9"/>
        <v>-1.058796326694285E-2</v>
      </c>
      <c r="O32" s="305">
        <f t="shared" ca="1" si="9"/>
        <v>-7.6562963266942841E-2</v>
      </c>
      <c r="P32" s="306">
        <f t="shared" ca="1" si="9"/>
        <v>-0.14253796326694282</v>
      </c>
    </row>
  </sheetData>
  <mergeCells count="5">
    <mergeCell ref="F15:F20"/>
    <mergeCell ref="C1:D1"/>
    <mergeCell ref="F1:G1"/>
    <mergeCell ref="F12:G14"/>
    <mergeCell ref="H12:K12"/>
  </mergeCells>
  <conditionalFormatting sqref="H15:K20">
    <cfRule type="cellIs" dxfId="2" priority="3" operator="greaterThan">
      <formula>$D$3</formula>
    </cfRule>
    <cfRule type="cellIs" dxfId="1" priority="4" operator="lessThanOrEqual">
      <formula>$D$3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1"/>
  <sheetViews>
    <sheetView showGridLines="0" workbookViewId="0">
      <selection activeCell="C13" sqref="C13"/>
    </sheetView>
  </sheetViews>
  <sheetFormatPr defaultRowHeight="15" x14ac:dyDescent="0.25"/>
  <cols>
    <col min="2" max="2" width="15.7109375" bestFit="1" customWidth="1"/>
    <col min="3" max="3" width="13.85546875" bestFit="1" customWidth="1"/>
    <col min="4" max="4" width="8.7109375" bestFit="1" customWidth="1"/>
    <col min="6" max="6" width="15.7109375" bestFit="1" customWidth="1"/>
    <col min="7" max="7" width="10" bestFit="1" customWidth="1"/>
    <col min="8" max="8" width="15.7109375" bestFit="1" customWidth="1"/>
    <col min="9" max="9" width="13.85546875" bestFit="1" customWidth="1"/>
    <col min="10" max="10" width="8.7109375" bestFit="1" customWidth="1"/>
  </cols>
  <sheetData>
    <row r="2" spans="2:7" x14ac:dyDescent="0.25">
      <c r="B2" s="396" t="s">
        <v>146</v>
      </c>
      <c r="C2" s="397"/>
      <c r="D2" s="397"/>
      <c r="F2" s="396" t="s">
        <v>147</v>
      </c>
      <c r="G2" s="397"/>
    </row>
    <row r="3" spans="2:7" x14ac:dyDescent="0.25">
      <c r="B3" s="397"/>
      <c r="C3" s="432"/>
      <c r="D3" s="432"/>
      <c r="F3" s="397"/>
      <c r="G3" s="409"/>
    </row>
    <row r="4" spans="2:7" x14ac:dyDescent="0.25">
      <c r="B4" s="397"/>
      <c r="C4" s="398" t="s">
        <v>135</v>
      </c>
      <c r="D4" s="398" t="s">
        <v>148</v>
      </c>
      <c r="F4" s="397"/>
      <c r="G4" s="404"/>
    </row>
    <row r="5" spans="2:7" x14ac:dyDescent="0.25">
      <c r="B5" s="397" t="s">
        <v>45</v>
      </c>
      <c r="C5" s="399">
        <f ca="1">Total_SnrDebt_Sources_Uses/Total_ProjectCosts</f>
        <v>0.59999999999999987</v>
      </c>
      <c r="D5" s="399">
        <f ca="1">(Total_SnrDebt_Sources_Uses-Capital_Guarantee)/Total_ProjectCosts</f>
        <v>0.54333978437142516</v>
      </c>
      <c r="F5" s="397" t="s">
        <v>149</v>
      </c>
      <c r="G5" s="404">
        <f ca="1">Total_SnrDebt_Sources_Uses*Invest_All_In_InterestRate</f>
        <v>0</v>
      </c>
    </row>
    <row r="6" spans="2:7" x14ac:dyDescent="0.25">
      <c r="B6" s="397" t="s">
        <v>150</v>
      </c>
      <c r="C6" s="399">
        <f ca="1">LTNDV_Bank_BreakEven</f>
        <v>0.51721203673305705</v>
      </c>
      <c r="D6" s="399">
        <f ca="1">LTNDV_Incl_Guarantee</f>
        <v>0.46836979418807489</v>
      </c>
      <c r="F6" s="397" t="s">
        <v>151</v>
      </c>
      <c r="G6" s="410" t="e">
        <f ca="1">NOI/Interest_pa</f>
        <v>#DIV/0!</v>
      </c>
    </row>
    <row r="7" spans="2:7" x14ac:dyDescent="0.25">
      <c r="B7" s="397"/>
      <c r="C7" s="397"/>
      <c r="D7" s="397"/>
      <c r="F7" s="397"/>
      <c r="G7" s="404"/>
    </row>
    <row r="8" spans="2:7" x14ac:dyDescent="0.25">
      <c r="B8" s="397" t="s">
        <v>152</v>
      </c>
      <c r="C8" s="404">
        <f>Gross_Rental</f>
        <v>2710166.18</v>
      </c>
      <c r="D8" s="397"/>
      <c r="F8" s="397" t="s">
        <v>153</v>
      </c>
      <c r="G8" s="404">
        <f ca="1">NOI-Interest_pa</f>
        <v>2026166.1800000002</v>
      </c>
    </row>
    <row r="9" spans="2:7" x14ac:dyDescent="0.25">
      <c r="B9" s="397" t="s">
        <v>62</v>
      </c>
      <c r="C9" s="404">
        <f>NOI</f>
        <v>2026166.1800000002</v>
      </c>
      <c r="D9" s="400">
        <f>(Gross_Rental-NOI)/Gross_Rental</f>
        <v>0.2523830475959965</v>
      </c>
      <c r="F9" s="397" t="s">
        <v>154</v>
      </c>
      <c r="G9" s="411">
        <f ca="1">Free_Cashflow*(Investment_Period_Term/12)</f>
        <v>6247345.7216666676</v>
      </c>
    </row>
    <row r="10" spans="2:7" x14ac:dyDescent="0.25">
      <c r="B10" s="397"/>
      <c r="C10" s="399"/>
      <c r="D10" s="399"/>
    </row>
    <row r="11" spans="2:7" x14ac:dyDescent="0.25">
      <c r="B11" s="397"/>
      <c r="C11" s="398" t="s">
        <v>135</v>
      </c>
      <c r="D11" s="398" t="s">
        <v>148</v>
      </c>
    </row>
    <row r="12" spans="2:7" x14ac:dyDescent="0.25">
      <c r="B12" s="397" t="s">
        <v>155</v>
      </c>
      <c r="C12" s="401">
        <f ca="1">NOI/Total_SnrDebt_Sources_Uses</f>
        <v>0.12755890295347272</v>
      </c>
      <c r="D12" s="399">
        <f ca="1">NOI/(Total_SnrDebt_Sources_Uses-Capital_Guarantee)</f>
        <v>0.14086091976611881</v>
      </c>
    </row>
    <row r="13" spans="2:7" x14ac:dyDescent="0.25">
      <c r="B13" s="397" t="s">
        <v>151</v>
      </c>
      <c r="C13" s="402" t="e">
        <f ca="1">NOI/(Total_SnrDebt_Sources_Uses*Invest_All_In_InterestRate)</f>
        <v>#DIV/0!</v>
      </c>
      <c r="D13" s="402" t="e">
        <f ca="1">NOI/((Total_SnrDebt_Sources_Uses-Capital_Guarantee)*Invest_All_In_InterestRate)</f>
        <v>#DIV/0!</v>
      </c>
    </row>
    <row r="14" spans="2:7" x14ac:dyDescent="0.25">
      <c r="B14" s="397"/>
      <c r="C14" s="397"/>
      <c r="D14" s="397"/>
    </row>
    <row r="15" spans="2:7" x14ac:dyDescent="0.25">
      <c r="B15" s="397" t="s">
        <v>86</v>
      </c>
      <c r="C15" s="403">
        <f>Total_No_Beds</f>
        <v>342</v>
      </c>
      <c r="D15" s="397"/>
    </row>
    <row r="16" spans="2:7" x14ac:dyDescent="0.25">
      <c r="B16" s="397" t="s">
        <v>156</v>
      </c>
      <c r="C16" s="404">
        <f>NDV/Total_No_Beds</f>
        <v>89798.598175367704</v>
      </c>
      <c r="D16" s="397"/>
    </row>
    <row r="17" spans="2:4" x14ac:dyDescent="0.25">
      <c r="B17" s="397" t="s">
        <v>157</v>
      </c>
      <c r="C17" s="404">
        <f>Construction_Costs/Total_No_Beds</f>
        <v>63149.122807017542</v>
      </c>
      <c r="D17" s="397"/>
    </row>
    <row r="18" spans="2:4" x14ac:dyDescent="0.25">
      <c r="B18" s="397"/>
      <c r="C18" s="403"/>
      <c r="D18" s="397"/>
    </row>
    <row r="19" spans="2:4" x14ac:dyDescent="0.25">
      <c r="B19" s="397"/>
      <c r="C19" s="398" t="s">
        <v>135</v>
      </c>
      <c r="D19" s="398" t="s">
        <v>148</v>
      </c>
    </row>
    <row r="20" spans="2:4" x14ac:dyDescent="0.25">
      <c r="B20" s="397" t="s">
        <v>158</v>
      </c>
      <c r="C20" s="404">
        <f ca="1">Total_SnrDebt_Sources_Uses/Total_No_Beds</f>
        <v>46444.915858055305</v>
      </c>
      <c r="D20" s="404">
        <f ca="1">(Total_SnrDebt_Sources_Uses-Capital_Guarantee)/Total_No_Beds</f>
        <v>42058.950945774603</v>
      </c>
    </row>
    <row r="21" spans="2:4" x14ac:dyDescent="0.25">
      <c r="B21" s="397"/>
      <c r="C21" s="405"/>
      <c r="D21" s="405"/>
    </row>
    <row r="22" spans="2:4" x14ac:dyDescent="0.25">
      <c r="B22" s="406"/>
      <c r="C22" s="398"/>
      <c r="D22" s="398"/>
    </row>
    <row r="23" spans="2:4" x14ac:dyDescent="0.25">
      <c r="B23" s="397"/>
      <c r="C23" s="407"/>
      <c r="D23" s="407"/>
    </row>
    <row r="24" spans="2:4" x14ac:dyDescent="0.25">
      <c r="D24" s="408"/>
    </row>
    <row r="25" spans="2:4" x14ac:dyDescent="0.25">
      <c r="D25" s="408"/>
    </row>
    <row r="26" spans="2:4" x14ac:dyDescent="0.25">
      <c r="D26" s="397"/>
    </row>
    <row r="27" spans="2:4" x14ac:dyDescent="0.25">
      <c r="D27" s="397"/>
    </row>
    <row r="28" spans="2:4" x14ac:dyDescent="0.25">
      <c r="D28" s="398"/>
    </row>
    <row r="29" spans="2:4" x14ac:dyDescent="0.25">
      <c r="D29" s="404"/>
    </row>
    <row r="30" spans="2:4" x14ac:dyDescent="0.25">
      <c r="D30" s="405"/>
    </row>
    <row r="31" spans="2:4" x14ac:dyDescent="0.25">
      <c r="D31" s="397"/>
    </row>
  </sheetData>
  <mergeCells count="1">
    <mergeCell ref="C3:D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workbookViewId="0">
      <selection activeCell="F5" sqref="F5"/>
    </sheetView>
  </sheetViews>
  <sheetFormatPr defaultRowHeight="15" x14ac:dyDescent="0.25"/>
  <cols>
    <col min="2" max="2" width="16.140625" bestFit="1" customWidth="1"/>
    <col min="3" max="3" width="12.7109375" bestFit="1" customWidth="1"/>
    <col min="4" max="4" width="14.7109375" bestFit="1" customWidth="1"/>
    <col min="5" max="5" width="18.7109375" customWidth="1"/>
    <col min="6" max="6" width="14.28515625" customWidth="1"/>
  </cols>
  <sheetData>
    <row r="2" spans="2:6" x14ac:dyDescent="0.25">
      <c r="B2" s="315" t="s">
        <v>32</v>
      </c>
      <c r="C2" s="316">
        <f>Capital_Guarantee</f>
        <v>1500000</v>
      </c>
      <c r="D2" s="315"/>
      <c r="E2" s="317" t="s">
        <v>135</v>
      </c>
      <c r="F2" s="318" t="s">
        <v>148</v>
      </c>
    </row>
    <row r="3" spans="2:6" x14ac:dyDescent="0.25">
      <c r="B3" s="319" t="s">
        <v>134</v>
      </c>
      <c r="C3" s="320">
        <f>NDV</f>
        <v>30711120.575975753</v>
      </c>
      <c r="D3" s="321" t="s">
        <v>45</v>
      </c>
      <c r="E3" s="322">
        <f ca="1">Total_SnrDebt_Sources_Uses/Total_ProjectCosts</f>
        <v>0.59999999999999987</v>
      </c>
      <c r="F3" s="322">
        <f ca="1">(Total_SnrDebt_Sources_Uses-Capital_Guarantee)/Total_ProjectCosts</f>
        <v>0.54333978437142516</v>
      </c>
    </row>
    <row r="4" spans="2:6" x14ac:dyDescent="0.25">
      <c r="B4" s="319" t="s">
        <v>159</v>
      </c>
      <c r="C4" s="323">
        <f ca="1">POC</f>
        <v>0.16006580935329481</v>
      </c>
      <c r="D4" s="321" t="s">
        <v>145</v>
      </c>
      <c r="E4" s="322">
        <f ca="1">Total_SnrDebt_Sources_Uses/NDV</f>
        <v>0.51721203673305705</v>
      </c>
      <c r="F4" s="322">
        <f ca="1">(Total_SnrDebt_Sources_Uses-Capital_Guarantee)/NDV</f>
        <v>0.46836979418807489</v>
      </c>
    </row>
    <row r="5" spans="2:6" x14ac:dyDescent="0.25">
      <c r="B5" s="319" t="s">
        <v>160</v>
      </c>
      <c r="C5" s="320">
        <f ca="1">NDV-Total_ProjectCosts</f>
        <v>4237518.5368842222</v>
      </c>
      <c r="D5" s="321" t="s">
        <v>161</v>
      </c>
      <c r="E5" s="322">
        <f ca="1">NOI/Total_SnrDebt_Sources_Uses</f>
        <v>0.12755890295347272</v>
      </c>
      <c r="F5" s="322">
        <f ca="1">NOI/(Total_SnrDebt_Sources_Uses-Capital_Guarantee)</f>
        <v>0.14086091976611881</v>
      </c>
    </row>
    <row r="6" spans="2:6" x14ac:dyDescent="0.25">
      <c r="B6" s="319" t="s">
        <v>103</v>
      </c>
      <c r="C6" s="323">
        <f>NIY</f>
        <v>6.5000000000000002E-2</v>
      </c>
      <c r="D6" s="321" t="s">
        <v>162</v>
      </c>
      <c r="E6" s="324" t="e">
        <f ca="1">ICR_BBE</f>
        <v>#DIV/0!</v>
      </c>
      <c r="F6" s="324" t="e">
        <f ca="1">ICR_BBE_Incl_Guarantee</f>
        <v>#DIV/0!</v>
      </c>
    </row>
    <row r="7" spans="2:6" x14ac:dyDescent="0.25">
      <c r="B7" s="412"/>
      <c r="C7" s="413"/>
      <c r="D7" s="325"/>
      <c r="E7" s="326"/>
      <c r="F7" s="32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8"/>
  <sheetViews>
    <sheetView workbookViewId="0">
      <pane ySplit="4" topLeftCell="A5" activePane="bottomLeft" state="frozen"/>
      <selection pane="bottomLeft" activeCell="D34" sqref="D34"/>
    </sheetView>
  </sheetViews>
  <sheetFormatPr defaultRowHeight="15" x14ac:dyDescent="0.25"/>
  <cols>
    <col min="1" max="1" width="20.7109375" customWidth="1"/>
    <col min="2" max="2" width="40.85546875" customWidth="1"/>
    <col min="3" max="3" width="21" customWidth="1"/>
  </cols>
  <sheetData>
    <row r="4" spans="1:3" x14ac:dyDescent="0.25">
      <c r="A4" s="433" t="s">
        <v>163</v>
      </c>
      <c r="B4" s="433"/>
      <c r="C4" s="251" t="s">
        <v>164</v>
      </c>
    </row>
    <row r="5" spans="1:3" x14ac:dyDescent="0.25">
      <c r="A5" t="s">
        <v>165</v>
      </c>
      <c r="B5" s="235" t="s">
        <v>5</v>
      </c>
      <c r="C5" s="172" t="s">
        <v>166</v>
      </c>
    </row>
    <row r="6" spans="1:3" x14ac:dyDescent="0.25">
      <c r="A6" t="s">
        <v>165</v>
      </c>
      <c r="B6" s="235" t="s">
        <v>9</v>
      </c>
      <c r="C6" s="172" t="s">
        <v>166</v>
      </c>
    </row>
    <row r="7" spans="1:3" x14ac:dyDescent="0.25">
      <c r="A7" t="s">
        <v>165</v>
      </c>
      <c r="B7" s="235" t="s">
        <v>12</v>
      </c>
      <c r="C7" s="172" t="s">
        <v>166</v>
      </c>
    </row>
    <row r="8" spans="1:3" x14ac:dyDescent="0.25">
      <c r="A8" t="s">
        <v>165</v>
      </c>
      <c r="B8" s="235" t="s">
        <v>15</v>
      </c>
      <c r="C8" s="172" t="s">
        <v>166</v>
      </c>
    </row>
    <row r="9" spans="1:3" x14ac:dyDescent="0.25">
      <c r="A9" t="s">
        <v>165</v>
      </c>
      <c r="B9" s="235" t="s">
        <v>17</v>
      </c>
      <c r="C9" s="172" t="s">
        <v>166</v>
      </c>
    </row>
    <row r="10" spans="1:3" x14ac:dyDescent="0.25">
      <c r="A10" t="s">
        <v>165</v>
      </c>
      <c r="B10" s="235" t="s">
        <v>20</v>
      </c>
      <c r="C10" s="172" t="s">
        <v>166</v>
      </c>
    </row>
    <row r="11" spans="1:3" x14ac:dyDescent="0.25">
      <c r="A11" t="s">
        <v>165</v>
      </c>
      <c r="B11" s="235" t="s">
        <v>6</v>
      </c>
      <c r="C11" s="172" t="s">
        <v>166</v>
      </c>
    </row>
    <row r="12" spans="1:3" x14ac:dyDescent="0.25">
      <c r="A12" t="s">
        <v>165</v>
      </c>
      <c r="B12" s="235" t="s">
        <v>10</v>
      </c>
      <c r="C12" s="172" t="s">
        <v>166</v>
      </c>
    </row>
    <row r="13" spans="1:3" x14ac:dyDescent="0.25">
      <c r="A13" t="s">
        <v>165</v>
      </c>
      <c r="B13" s="235" t="s">
        <v>167</v>
      </c>
      <c r="C13" s="172" t="s">
        <v>166</v>
      </c>
    </row>
    <row r="14" spans="1:3" x14ac:dyDescent="0.25">
      <c r="A14" t="s">
        <v>165</v>
      </c>
      <c r="B14" s="235" t="s">
        <v>23</v>
      </c>
      <c r="C14" s="172" t="s">
        <v>166</v>
      </c>
    </row>
    <row r="15" spans="1:3" x14ac:dyDescent="0.25">
      <c r="A15" t="s">
        <v>165</v>
      </c>
      <c r="B15" s="235" t="s">
        <v>31</v>
      </c>
      <c r="C15" s="172" t="s">
        <v>166</v>
      </c>
    </row>
    <row r="16" spans="1:3" x14ac:dyDescent="0.25">
      <c r="A16" t="s">
        <v>165</v>
      </c>
      <c r="B16" s="235" t="s">
        <v>34</v>
      </c>
      <c r="C16" s="172" t="s">
        <v>166</v>
      </c>
    </row>
    <row r="17" spans="1:3" x14ac:dyDescent="0.25">
      <c r="A17" t="s">
        <v>165</v>
      </c>
      <c r="B17" s="235" t="s">
        <v>168</v>
      </c>
      <c r="C17" s="172" t="s">
        <v>166</v>
      </c>
    </row>
    <row r="18" spans="1:3" x14ac:dyDescent="0.25">
      <c r="A18" t="s">
        <v>165</v>
      </c>
      <c r="B18" s="235" t="s">
        <v>169</v>
      </c>
      <c r="C18" s="172" t="s">
        <v>166</v>
      </c>
    </row>
    <row r="19" spans="1:3" x14ac:dyDescent="0.25">
      <c r="A19" t="s">
        <v>165</v>
      </c>
      <c r="B19" s="235" t="s">
        <v>170</v>
      </c>
      <c r="C19" s="172" t="s">
        <v>166</v>
      </c>
    </row>
    <row r="20" spans="1:3" x14ac:dyDescent="0.25">
      <c r="A20" t="s">
        <v>165</v>
      </c>
      <c r="B20" s="235" t="s">
        <v>45</v>
      </c>
      <c r="C20" s="172" t="s">
        <v>166</v>
      </c>
    </row>
    <row r="21" spans="1:3" x14ac:dyDescent="0.25">
      <c r="A21" t="s">
        <v>165</v>
      </c>
      <c r="B21" s="235" t="s">
        <v>32</v>
      </c>
      <c r="C21" s="172" t="s">
        <v>166</v>
      </c>
    </row>
    <row r="22" spans="1:3" x14ac:dyDescent="0.25">
      <c r="A22" t="s">
        <v>165</v>
      </c>
      <c r="B22" s="235" t="s">
        <v>35</v>
      </c>
      <c r="C22" s="172" t="s">
        <v>166</v>
      </c>
    </row>
    <row r="23" spans="1:3" x14ac:dyDescent="0.25">
      <c r="A23" t="s">
        <v>165</v>
      </c>
      <c r="B23" s="235" t="s">
        <v>38</v>
      </c>
      <c r="C23" s="172" t="s">
        <v>166</v>
      </c>
    </row>
    <row r="24" spans="1:3" x14ac:dyDescent="0.25">
      <c r="A24" t="s">
        <v>171</v>
      </c>
      <c r="B24" s="235" t="s">
        <v>11</v>
      </c>
      <c r="C24" s="172" t="s">
        <v>166</v>
      </c>
    </row>
    <row r="25" spans="1:3" x14ac:dyDescent="0.25">
      <c r="A25" t="s">
        <v>171</v>
      </c>
      <c r="B25" s="235" t="s">
        <v>13</v>
      </c>
      <c r="C25" s="172" t="s">
        <v>166</v>
      </c>
    </row>
    <row r="26" spans="1:3" x14ac:dyDescent="0.25">
      <c r="A26" t="s">
        <v>171</v>
      </c>
      <c r="B26" s="235" t="s">
        <v>21</v>
      </c>
      <c r="C26" s="172" t="s">
        <v>166</v>
      </c>
    </row>
    <row r="27" spans="1:3" x14ac:dyDescent="0.25">
      <c r="A27" t="s">
        <v>171</v>
      </c>
      <c r="B27" s="235" t="s">
        <v>24</v>
      </c>
      <c r="C27" s="172" t="s">
        <v>166</v>
      </c>
    </row>
    <row r="28" spans="1:3" x14ac:dyDescent="0.25">
      <c r="A28" t="s">
        <v>171</v>
      </c>
      <c r="B28" s="235" t="s">
        <v>172</v>
      </c>
      <c r="C28" s="172" t="s">
        <v>166</v>
      </c>
    </row>
    <row r="29" spans="1:3" x14ac:dyDescent="0.25">
      <c r="A29" t="s">
        <v>171</v>
      </c>
      <c r="B29" s="235" t="s">
        <v>25</v>
      </c>
      <c r="C29" s="172" t="s">
        <v>166</v>
      </c>
    </row>
    <row r="30" spans="1:3" x14ac:dyDescent="0.25">
      <c r="A30" t="s">
        <v>171</v>
      </c>
      <c r="B30" s="235" t="s">
        <v>173</v>
      </c>
      <c r="C30" s="172" t="s">
        <v>166</v>
      </c>
    </row>
    <row r="31" spans="1:3" x14ac:dyDescent="0.25">
      <c r="A31" t="s">
        <v>171</v>
      </c>
      <c r="B31" s="235" t="s">
        <v>174</v>
      </c>
      <c r="C31" s="172" t="s">
        <v>166</v>
      </c>
    </row>
    <row r="32" spans="1:3" x14ac:dyDescent="0.25">
      <c r="A32" t="s">
        <v>171</v>
      </c>
      <c r="B32" s="235" t="s">
        <v>175</v>
      </c>
      <c r="C32" s="172" t="s">
        <v>166</v>
      </c>
    </row>
    <row r="33" spans="1:3" x14ac:dyDescent="0.25">
      <c r="A33" t="s">
        <v>171</v>
      </c>
      <c r="B33" s="235" t="s">
        <v>176</v>
      </c>
      <c r="C33" s="172" t="s">
        <v>166</v>
      </c>
    </row>
    <row r="34" spans="1:3" x14ac:dyDescent="0.25">
      <c r="A34" t="s">
        <v>177</v>
      </c>
      <c r="B34" s="235" t="s">
        <v>178</v>
      </c>
      <c r="C34" s="252" t="s">
        <v>179</v>
      </c>
    </row>
    <row r="35" spans="1:3" x14ac:dyDescent="0.25">
      <c r="A35" t="s">
        <v>165</v>
      </c>
      <c r="B35" s="235" t="s">
        <v>180</v>
      </c>
      <c r="C35" s="252" t="s">
        <v>179</v>
      </c>
    </row>
    <row r="36" spans="1:3" x14ac:dyDescent="0.25">
      <c r="A36" t="s">
        <v>165</v>
      </c>
      <c r="B36" s="235" t="s">
        <v>181</v>
      </c>
      <c r="C36" s="252" t="s">
        <v>179</v>
      </c>
    </row>
    <row r="37" spans="1:3" x14ac:dyDescent="0.25">
      <c r="A37" t="s">
        <v>165</v>
      </c>
      <c r="B37" s="235" t="s">
        <v>182</v>
      </c>
      <c r="C37" s="252" t="s">
        <v>179</v>
      </c>
    </row>
    <row r="38" spans="1:3" x14ac:dyDescent="0.25">
      <c r="A38" t="s">
        <v>165</v>
      </c>
      <c r="B38" s="235" t="s">
        <v>183</v>
      </c>
      <c r="C38" s="252" t="s">
        <v>179</v>
      </c>
    </row>
    <row r="39" spans="1:3" x14ac:dyDescent="0.25">
      <c r="A39" t="s">
        <v>165</v>
      </c>
      <c r="B39" s="235" t="s">
        <v>184</v>
      </c>
      <c r="C39" s="252" t="s">
        <v>179</v>
      </c>
    </row>
    <row r="40" spans="1:3" x14ac:dyDescent="0.25">
      <c r="A40" t="s">
        <v>165</v>
      </c>
      <c r="B40" s="235" t="s">
        <v>185</v>
      </c>
      <c r="C40" s="252" t="s">
        <v>179</v>
      </c>
    </row>
    <row r="41" spans="1:3" x14ac:dyDescent="0.25">
      <c r="A41" t="s">
        <v>165</v>
      </c>
      <c r="B41" t="s">
        <v>186</v>
      </c>
      <c r="C41" s="252" t="s">
        <v>179</v>
      </c>
    </row>
    <row r="42" spans="1:3" x14ac:dyDescent="0.25">
      <c r="A42" t="s">
        <v>165</v>
      </c>
      <c r="B42" t="s">
        <v>187</v>
      </c>
      <c r="C42" s="252" t="s">
        <v>179</v>
      </c>
    </row>
    <row r="43" spans="1:3" x14ac:dyDescent="0.25">
      <c r="A43" t="s">
        <v>188</v>
      </c>
      <c r="B43" s="235" t="s">
        <v>189</v>
      </c>
      <c r="C43" s="252" t="s">
        <v>179</v>
      </c>
    </row>
    <row r="44" spans="1:3" x14ac:dyDescent="0.25">
      <c r="A44" t="s">
        <v>171</v>
      </c>
      <c r="B44" s="235" t="s">
        <v>190</v>
      </c>
      <c r="C44" s="252" t="s">
        <v>179</v>
      </c>
    </row>
    <row r="45" spans="1:3" x14ac:dyDescent="0.25">
      <c r="A45" t="s">
        <v>171</v>
      </c>
      <c r="B45" s="235" t="s">
        <v>11</v>
      </c>
      <c r="C45" s="252" t="s">
        <v>179</v>
      </c>
    </row>
    <row r="46" spans="1:3" x14ac:dyDescent="0.25">
      <c r="A46" t="s">
        <v>171</v>
      </c>
      <c r="B46" s="235" t="s">
        <v>191</v>
      </c>
      <c r="C46" s="252" t="s">
        <v>179</v>
      </c>
    </row>
    <row r="47" spans="1:3" x14ac:dyDescent="0.25">
      <c r="A47" t="s">
        <v>171</v>
      </c>
      <c r="B47" s="235" t="s">
        <v>192</v>
      </c>
      <c r="C47" s="252" t="s">
        <v>179</v>
      </c>
    </row>
    <row r="48" spans="1:3" x14ac:dyDescent="0.25">
      <c r="A48" t="s">
        <v>171</v>
      </c>
      <c r="B48" s="235" t="s">
        <v>193</v>
      </c>
      <c r="C48" s="252" t="s">
        <v>179</v>
      </c>
    </row>
    <row r="49" spans="1:3" x14ac:dyDescent="0.25">
      <c r="A49" t="s">
        <v>171</v>
      </c>
      <c r="B49" s="235" t="s">
        <v>194</v>
      </c>
      <c r="C49" s="252" t="s">
        <v>179</v>
      </c>
    </row>
    <row r="50" spans="1:3" x14ac:dyDescent="0.25">
      <c r="A50" t="s">
        <v>171</v>
      </c>
      <c r="B50" s="235" t="s">
        <v>195</v>
      </c>
      <c r="C50" s="252" t="s">
        <v>179</v>
      </c>
    </row>
    <row r="51" spans="1:3" x14ac:dyDescent="0.25">
      <c r="A51" t="s">
        <v>171</v>
      </c>
      <c r="B51" s="235" t="s">
        <v>196</v>
      </c>
      <c r="C51" s="252" t="s">
        <v>179</v>
      </c>
    </row>
    <row r="52" spans="1:3" x14ac:dyDescent="0.25">
      <c r="A52" t="s">
        <v>171</v>
      </c>
      <c r="B52" s="235" t="s">
        <v>197</v>
      </c>
      <c r="C52" s="252" t="s">
        <v>179</v>
      </c>
    </row>
    <row r="53" spans="1:3" x14ac:dyDescent="0.25">
      <c r="A53" t="s">
        <v>171</v>
      </c>
      <c r="B53" s="235" t="s">
        <v>198</v>
      </c>
      <c r="C53" s="252" t="s">
        <v>179</v>
      </c>
    </row>
    <row r="54" spans="1:3" x14ac:dyDescent="0.25">
      <c r="A54" t="s">
        <v>171</v>
      </c>
      <c r="B54" s="235" t="s">
        <v>64</v>
      </c>
      <c r="C54" s="252" t="s">
        <v>179</v>
      </c>
    </row>
    <row r="55" spans="1:3" x14ac:dyDescent="0.25">
      <c r="A55" t="s">
        <v>171</v>
      </c>
      <c r="B55" s="235" t="s">
        <v>199</v>
      </c>
      <c r="C55" s="252" t="s">
        <v>179</v>
      </c>
    </row>
    <row r="56" spans="1:3" x14ac:dyDescent="0.25">
      <c r="A56" t="s">
        <v>171</v>
      </c>
      <c r="B56" s="235" t="s">
        <v>200</v>
      </c>
      <c r="C56" s="252" t="s">
        <v>179</v>
      </c>
    </row>
    <row r="57" spans="1:3" x14ac:dyDescent="0.25">
      <c r="A57" t="s">
        <v>171</v>
      </c>
      <c r="B57" s="235" t="s">
        <v>201</v>
      </c>
      <c r="C57" s="252" t="s">
        <v>179</v>
      </c>
    </row>
    <row r="58" spans="1:3" x14ac:dyDescent="0.25">
      <c r="A58" t="s">
        <v>171</v>
      </c>
      <c r="B58" s="235" t="s">
        <v>202</v>
      </c>
      <c r="C58" s="252" t="s">
        <v>179</v>
      </c>
    </row>
    <row r="59" spans="1:3" x14ac:dyDescent="0.25">
      <c r="A59" t="s">
        <v>171</v>
      </c>
      <c r="B59" s="235" t="s">
        <v>203</v>
      </c>
      <c r="C59" s="252" t="s">
        <v>179</v>
      </c>
    </row>
    <row r="60" spans="1:3" x14ac:dyDescent="0.25">
      <c r="A60" t="s">
        <v>171</v>
      </c>
      <c r="B60" s="235" t="s">
        <v>204</v>
      </c>
      <c r="C60" s="252" t="s">
        <v>179</v>
      </c>
    </row>
    <row r="61" spans="1:3" x14ac:dyDescent="0.25">
      <c r="A61" t="s">
        <v>171</v>
      </c>
      <c r="B61" s="235" t="s">
        <v>205</v>
      </c>
      <c r="C61" s="252" t="s">
        <v>179</v>
      </c>
    </row>
    <row r="62" spans="1:3" x14ac:dyDescent="0.25">
      <c r="A62" t="s">
        <v>171</v>
      </c>
      <c r="B62" s="235" t="s">
        <v>206</v>
      </c>
      <c r="C62" s="252" t="s">
        <v>179</v>
      </c>
    </row>
    <row r="63" spans="1:3" x14ac:dyDescent="0.25">
      <c r="A63" t="s">
        <v>171</v>
      </c>
      <c r="B63" s="235" t="s">
        <v>207</v>
      </c>
      <c r="C63" s="252" t="s">
        <v>179</v>
      </c>
    </row>
    <row r="64" spans="1:3" x14ac:dyDescent="0.25">
      <c r="A64" t="s">
        <v>171</v>
      </c>
      <c r="B64" s="235" t="s">
        <v>208</v>
      </c>
      <c r="C64" s="252" t="s">
        <v>179</v>
      </c>
    </row>
    <row r="65" spans="1:3" x14ac:dyDescent="0.25">
      <c r="A65" t="s">
        <v>171</v>
      </c>
      <c r="B65" s="235" t="s">
        <v>82</v>
      </c>
      <c r="C65" s="252" t="s">
        <v>179</v>
      </c>
    </row>
    <row r="66" spans="1:3" x14ac:dyDescent="0.25">
      <c r="A66" t="s">
        <v>171</v>
      </c>
      <c r="B66" s="235" t="s">
        <v>209</v>
      </c>
      <c r="C66" s="252" t="s">
        <v>179</v>
      </c>
    </row>
    <row r="67" spans="1:3" x14ac:dyDescent="0.25">
      <c r="A67" t="s">
        <v>171</v>
      </c>
      <c r="B67" s="235" t="s">
        <v>210</v>
      </c>
      <c r="C67" s="252" t="s">
        <v>179</v>
      </c>
    </row>
    <row r="68" spans="1:3" x14ac:dyDescent="0.25">
      <c r="A68" t="s">
        <v>171</v>
      </c>
      <c r="B68" s="235" t="s">
        <v>211</v>
      </c>
      <c r="C68" s="252" t="s">
        <v>179</v>
      </c>
    </row>
    <row r="69" spans="1:3" x14ac:dyDescent="0.25">
      <c r="A69" t="s">
        <v>171</v>
      </c>
      <c r="B69" s="235" t="s">
        <v>212</v>
      </c>
      <c r="C69" s="252" t="s">
        <v>179</v>
      </c>
    </row>
    <row r="70" spans="1:3" x14ac:dyDescent="0.25">
      <c r="A70" t="s">
        <v>171</v>
      </c>
      <c r="B70" s="235" t="s">
        <v>213</v>
      </c>
      <c r="C70" s="252" t="s">
        <v>179</v>
      </c>
    </row>
    <row r="71" spans="1:3" x14ac:dyDescent="0.25">
      <c r="A71" t="s">
        <v>171</v>
      </c>
      <c r="B71" s="235" t="s">
        <v>78</v>
      </c>
      <c r="C71" s="252" t="s">
        <v>179</v>
      </c>
    </row>
    <row r="72" spans="1:3" x14ac:dyDescent="0.25">
      <c r="A72" t="s">
        <v>171</v>
      </c>
      <c r="B72" s="327" t="s">
        <v>11</v>
      </c>
      <c r="C72" s="252" t="s">
        <v>166</v>
      </c>
    </row>
    <row r="73" spans="1:3" x14ac:dyDescent="0.25">
      <c r="A73" t="s">
        <v>214</v>
      </c>
      <c r="B73" s="327" t="s">
        <v>14</v>
      </c>
      <c r="C73" s="252" t="s">
        <v>166</v>
      </c>
    </row>
    <row r="74" spans="1:3" x14ac:dyDescent="0.25">
      <c r="A74" t="s">
        <v>214</v>
      </c>
      <c r="B74" s="327" t="s">
        <v>16</v>
      </c>
      <c r="C74" s="252" t="s">
        <v>166</v>
      </c>
    </row>
    <row r="75" spans="1:3" x14ac:dyDescent="0.25">
      <c r="A75" t="s">
        <v>171</v>
      </c>
      <c r="B75" s="327" t="s">
        <v>19</v>
      </c>
      <c r="C75" s="252" t="s">
        <v>166</v>
      </c>
    </row>
    <row r="76" spans="1:3" x14ac:dyDescent="0.25">
      <c r="A76" t="s">
        <v>171</v>
      </c>
      <c r="B76" s="327" t="s">
        <v>215</v>
      </c>
      <c r="C76" s="252" t="s">
        <v>166</v>
      </c>
    </row>
    <row r="77" spans="1:3" x14ac:dyDescent="0.25">
      <c r="A77" t="s">
        <v>171</v>
      </c>
      <c r="B77" s="327" t="s">
        <v>25</v>
      </c>
      <c r="C77" s="252" t="s">
        <v>166</v>
      </c>
    </row>
    <row r="78" spans="1:3" x14ac:dyDescent="0.25">
      <c r="A78" t="s">
        <v>171</v>
      </c>
      <c r="B78" s="327" t="s">
        <v>27</v>
      </c>
      <c r="C78" s="252" t="s">
        <v>166</v>
      </c>
    </row>
    <row r="79" spans="1:3" x14ac:dyDescent="0.25">
      <c r="A79" t="s">
        <v>171</v>
      </c>
      <c r="B79" s="327" t="s">
        <v>28</v>
      </c>
      <c r="C79" s="252" t="s">
        <v>166</v>
      </c>
    </row>
    <row r="80" spans="1:3" x14ac:dyDescent="0.25">
      <c r="C80" s="252"/>
    </row>
    <row r="81" spans="2:3" x14ac:dyDescent="0.25">
      <c r="C81" s="252"/>
    </row>
    <row r="82" spans="2:3" x14ac:dyDescent="0.25">
      <c r="C82" s="252"/>
    </row>
    <row r="83" spans="2:3" x14ac:dyDescent="0.25">
      <c r="C83" s="252"/>
    </row>
    <row r="84" spans="2:3" x14ac:dyDescent="0.25">
      <c r="C84" s="252"/>
    </row>
    <row r="85" spans="2:3" x14ac:dyDescent="0.25">
      <c r="C85" s="252"/>
    </row>
    <row r="86" spans="2:3" x14ac:dyDescent="0.25">
      <c r="B86" s="235"/>
      <c r="C86" s="252"/>
    </row>
    <row r="87" spans="2:3" x14ac:dyDescent="0.25">
      <c r="B87" s="235"/>
      <c r="C87" s="252"/>
    </row>
    <row r="88" spans="2:3" x14ac:dyDescent="0.25">
      <c r="B88" s="235"/>
      <c r="C88" s="252"/>
    </row>
    <row r="89" spans="2:3" x14ac:dyDescent="0.25">
      <c r="B89" s="235"/>
      <c r="C89" s="252"/>
    </row>
    <row r="90" spans="2:3" x14ac:dyDescent="0.25">
      <c r="C90" s="252"/>
    </row>
    <row r="91" spans="2:3" x14ac:dyDescent="0.25">
      <c r="C91" s="252"/>
    </row>
    <row r="92" spans="2:3" x14ac:dyDescent="0.25">
      <c r="C92" s="252"/>
    </row>
    <row r="93" spans="2:3" x14ac:dyDescent="0.25">
      <c r="C93" s="252"/>
    </row>
    <row r="94" spans="2:3" x14ac:dyDescent="0.25">
      <c r="C94" s="252"/>
    </row>
    <row r="95" spans="2:3" x14ac:dyDescent="0.25">
      <c r="C95" s="252"/>
    </row>
    <row r="96" spans="2:3" x14ac:dyDescent="0.25">
      <c r="B96" s="235"/>
      <c r="C96" s="252"/>
    </row>
    <row r="97" spans="2:3" x14ac:dyDescent="0.25">
      <c r="B97" s="235"/>
      <c r="C97" s="252"/>
    </row>
    <row r="98" spans="2:3" x14ac:dyDescent="0.25">
      <c r="B98" s="235"/>
      <c r="C98" s="252"/>
    </row>
    <row r="99" spans="2:3" x14ac:dyDescent="0.25">
      <c r="B99" s="235"/>
      <c r="C99" s="252"/>
    </row>
    <row r="100" spans="2:3" x14ac:dyDescent="0.25">
      <c r="C100" s="252"/>
    </row>
    <row r="101" spans="2:3" x14ac:dyDescent="0.25">
      <c r="C101" s="252"/>
    </row>
    <row r="102" spans="2:3" x14ac:dyDescent="0.25">
      <c r="C102" s="252"/>
    </row>
    <row r="103" spans="2:3" x14ac:dyDescent="0.25">
      <c r="C103" s="252"/>
    </row>
    <row r="104" spans="2:3" x14ac:dyDescent="0.25">
      <c r="C104" s="252"/>
    </row>
    <row r="105" spans="2:3" x14ac:dyDescent="0.25">
      <c r="C105" s="252"/>
    </row>
    <row r="106" spans="2:3" x14ac:dyDescent="0.25">
      <c r="B106" s="235"/>
      <c r="C106" s="252"/>
    </row>
    <row r="107" spans="2:3" x14ac:dyDescent="0.25">
      <c r="B107" s="235"/>
      <c r="C107" s="252"/>
    </row>
    <row r="108" spans="2:3" x14ac:dyDescent="0.25">
      <c r="B108" s="235"/>
      <c r="C108" s="252"/>
    </row>
    <row r="109" spans="2:3" x14ac:dyDescent="0.25">
      <c r="B109" s="235"/>
      <c r="C109" s="252"/>
    </row>
    <row r="110" spans="2:3" x14ac:dyDescent="0.25">
      <c r="B110" s="235"/>
      <c r="C110" s="252"/>
    </row>
    <row r="111" spans="2:3" x14ac:dyDescent="0.25">
      <c r="B111" s="235"/>
      <c r="C111" s="252"/>
    </row>
    <row r="112" spans="2:3" x14ac:dyDescent="0.25">
      <c r="B112" s="235"/>
      <c r="C112" s="252"/>
    </row>
    <row r="113" spans="2:3" x14ac:dyDescent="0.25">
      <c r="B113" s="235"/>
      <c r="C113" s="252"/>
    </row>
    <row r="114" spans="2:3" x14ac:dyDescent="0.25">
      <c r="B114" s="235"/>
      <c r="C114" s="252"/>
    </row>
    <row r="115" spans="2:3" x14ac:dyDescent="0.25">
      <c r="B115" s="235"/>
      <c r="C115" s="252"/>
    </row>
    <row r="116" spans="2:3" x14ac:dyDescent="0.25">
      <c r="B116" s="235"/>
      <c r="C116" s="252"/>
    </row>
    <row r="117" spans="2:3" x14ac:dyDescent="0.25">
      <c r="B117" s="235"/>
      <c r="C117" s="252"/>
    </row>
    <row r="118" spans="2:3" x14ac:dyDescent="0.25">
      <c r="B118" s="235"/>
      <c r="C118" s="252"/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BB198"/>
  <sheetViews>
    <sheetView topLeftCell="A29" zoomScale="85" zoomScaleNormal="85" workbookViewId="0">
      <selection activeCell="F55" sqref="F55"/>
    </sheetView>
  </sheetViews>
  <sheetFormatPr defaultColWidth="9.28515625" defaultRowHeight="13.5" x14ac:dyDescent="0.25"/>
  <cols>
    <col min="1" max="1" width="11.28515625" style="63" customWidth="1"/>
    <col min="2" max="2" width="26.42578125" style="13" customWidth="1"/>
    <col min="3" max="3" width="15.28515625" style="2" customWidth="1"/>
    <col min="4" max="4" width="25.7109375" style="2" customWidth="1"/>
    <col min="5" max="5" width="16.28515625" style="2" customWidth="1"/>
    <col min="6" max="6" width="13.28515625" style="2" customWidth="1"/>
    <col min="7" max="7" width="12.5703125" style="2" customWidth="1"/>
    <col min="8" max="8" width="11.28515625" style="2" customWidth="1"/>
    <col min="9" max="9" width="24.5703125" style="3" customWidth="1"/>
    <col min="10" max="10" width="20.28515625" style="3" customWidth="1"/>
    <col min="11" max="11" width="12" style="3" customWidth="1"/>
    <col min="12" max="12" width="17.28515625" style="3" customWidth="1"/>
    <col min="13" max="13" width="13.42578125" style="3" customWidth="1"/>
    <col min="14" max="14" width="17" style="3" customWidth="1"/>
    <col min="15" max="15" width="14.42578125" style="3" customWidth="1"/>
    <col min="16" max="16" width="12.5703125" style="3" customWidth="1"/>
    <col min="17" max="17" width="11.7109375" style="3" customWidth="1"/>
    <col min="18" max="18" width="13" style="3" customWidth="1"/>
    <col min="19" max="19" width="12.28515625" style="206" customWidth="1"/>
    <col min="20" max="20" width="13.28515625" style="3" customWidth="1"/>
    <col min="21" max="24" width="11.7109375" style="3" customWidth="1"/>
    <col min="25" max="27" width="13" style="3" customWidth="1"/>
    <col min="28" max="28" width="11.7109375" style="3" customWidth="1"/>
    <col min="29" max="29" width="13.7109375" style="206" customWidth="1"/>
    <col min="30" max="47" width="13.7109375" style="3" customWidth="1"/>
    <col min="48" max="48" width="12.28515625" style="3" customWidth="1"/>
    <col min="49" max="49" width="11.7109375" style="3" customWidth="1"/>
    <col min="50" max="16384" width="9.28515625" style="3"/>
  </cols>
  <sheetData>
    <row r="1" spans="2:23" ht="14.25" thickBot="1" x14ac:dyDescent="0.3">
      <c r="B1" s="434" t="s">
        <v>216</v>
      </c>
      <c r="C1" s="434"/>
      <c r="D1" s="1"/>
    </row>
    <row r="2" spans="2:23" ht="14.25" thickBot="1" x14ac:dyDescent="0.3">
      <c r="B2" s="434" t="s">
        <v>217</v>
      </c>
      <c r="C2" s="434"/>
      <c r="G2" s="4" t="s">
        <v>218</v>
      </c>
      <c r="I2" s="5" t="s">
        <v>219</v>
      </c>
      <c r="J2" s="6"/>
      <c r="K2" s="6"/>
      <c r="L2" s="7" t="str">
        <f>B1</f>
        <v>Aerial House, Chesham</v>
      </c>
      <c r="O2" s="8"/>
    </row>
    <row r="3" spans="2:23" ht="14.25" thickBot="1" x14ac:dyDescent="0.3">
      <c r="B3" s="9" t="s">
        <v>220</v>
      </c>
      <c r="C3" s="435" t="str">
        <f>B1</f>
        <v>Aerial House, Chesham</v>
      </c>
      <c r="D3" s="436"/>
      <c r="I3" s="10" t="s">
        <v>221</v>
      </c>
      <c r="J3" s="11"/>
      <c r="K3" s="11"/>
      <c r="L3" s="12">
        <f>M55</f>
        <v>21685542.5</v>
      </c>
      <c r="O3" s="8"/>
    </row>
    <row r="4" spans="2:23" x14ac:dyDescent="0.25">
      <c r="B4" s="15" t="s">
        <v>222</v>
      </c>
      <c r="C4" s="16">
        <f>SUM(D55)</f>
        <v>113167</v>
      </c>
      <c r="D4" s="17"/>
      <c r="I4" s="20" t="s">
        <v>223</v>
      </c>
      <c r="J4" s="159"/>
      <c r="K4" s="159"/>
      <c r="L4" s="22">
        <f>SUM(M62:M72)</f>
        <v>-8738064.5</v>
      </c>
      <c r="O4" s="8"/>
    </row>
    <row r="5" spans="2:23" x14ac:dyDescent="0.25">
      <c r="B5" s="18"/>
      <c r="D5" s="19"/>
      <c r="I5" s="20" t="s">
        <v>224</v>
      </c>
      <c r="J5" s="159"/>
      <c r="K5" s="159"/>
      <c r="L5" s="22">
        <f>SUM(M76:M119)</f>
        <v>-7524981.2727499986</v>
      </c>
      <c r="W5" s="205"/>
    </row>
    <row r="6" spans="2:23" x14ac:dyDescent="0.25">
      <c r="B6" s="18" t="s">
        <v>225</v>
      </c>
      <c r="C6" s="23">
        <f>-SUM(M62:M134,M141:M146)</f>
        <v>16766728.308999995</v>
      </c>
      <c r="D6" s="19"/>
      <c r="E6" s="23"/>
      <c r="I6" s="20" t="s">
        <v>226</v>
      </c>
      <c r="J6" s="159"/>
      <c r="K6" s="159"/>
      <c r="L6" s="22">
        <f>SUM(M120:M129)</f>
        <v>-71000</v>
      </c>
      <c r="W6" s="205"/>
    </row>
    <row r="7" spans="2:23" x14ac:dyDescent="0.25">
      <c r="B7" s="25" t="s">
        <v>227</v>
      </c>
      <c r="C7" s="23">
        <f>C6-L11</f>
        <v>17625495.15999436</v>
      </c>
      <c r="D7" s="19"/>
      <c r="I7" s="20" t="s">
        <v>228</v>
      </c>
      <c r="J7" s="159"/>
      <c r="K7" s="159"/>
      <c r="L7" s="22">
        <f>SUM(M141:M147)</f>
        <v>-432682.53625</v>
      </c>
      <c r="W7" s="205"/>
    </row>
    <row r="8" spans="2:23" x14ac:dyDescent="0.25">
      <c r="B8" s="18"/>
      <c r="D8" s="19"/>
      <c r="I8" s="24"/>
      <c r="J8" s="159"/>
      <c r="K8" s="159"/>
      <c r="L8" s="22"/>
      <c r="W8" s="205"/>
    </row>
    <row r="9" spans="2:23" x14ac:dyDescent="0.25">
      <c r="B9" s="18" t="s">
        <v>229</v>
      </c>
      <c r="C9" s="23">
        <f>M58</f>
        <v>21685542.5</v>
      </c>
      <c r="D9" s="19"/>
      <c r="I9" s="20" t="s">
        <v>230</v>
      </c>
      <c r="J9" s="159"/>
      <c r="K9" s="159"/>
      <c r="L9" s="152">
        <f>SUM(L3:L8)</f>
        <v>4918814.1910000015</v>
      </c>
      <c r="W9" s="205"/>
    </row>
    <row r="10" spans="2:23" ht="14.25" thickBot="1" x14ac:dyDescent="0.3">
      <c r="B10" s="26" t="s">
        <v>231</v>
      </c>
      <c r="C10" s="27">
        <f>C9/C4</f>
        <v>191.62425883870739</v>
      </c>
      <c r="D10" s="28"/>
      <c r="I10" s="24"/>
      <c r="J10" s="159"/>
      <c r="K10" s="159"/>
      <c r="L10" s="22"/>
      <c r="W10" s="205"/>
    </row>
    <row r="11" spans="2:23" ht="14.25" thickBot="1" x14ac:dyDescent="0.3">
      <c r="I11" s="20" t="s">
        <v>232</v>
      </c>
      <c r="J11" s="159"/>
      <c r="K11" s="159"/>
      <c r="L11" s="22">
        <f>-SUM(M156)+SUM(M149:M151)+SUM(M135:M138)</f>
        <v>-858766.85099436494</v>
      </c>
      <c r="W11" s="205"/>
    </row>
    <row r="12" spans="2:23" ht="14.25" thickBot="1" x14ac:dyDescent="0.3">
      <c r="B12" s="9" t="s">
        <v>233</v>
      </c>
      <c r="C12" s="29"/>
      <c r="D12" s="30"/>
      <c r="E12" s="31"/>
      <c r="I12" s="54"/>
      <c r="J12" s="154"/>
      <c r="K12" s="154"/>
      <c r="L12" s="58"/>
      <c r="W12" s="205"/>
    </row>
    <row r="13" spans="2:23" ht="14.25" thickBot="1" x14ac:dyDescent="0.3">
      <c r="B13" s="32"/>
      <c r="C13" s="33"/>
      <c r="D13" s="34" t="s">
        <v>234</v>
      </c>
      <c r="E13" s="35" t="s">
        <v>235</v>
      </c>
      <c r="I13" s="42" t="s">
        <v>236</v>
      </c>
      <c r="J13" s="159"/>
      <c r="K13" s="159"/>
      <c r="L13" s="43">
        <f>SUM(L9:L11)</f>
        <v>4060047.3400056367</v>
      </c>
      <c r="M13" s="36"/>
      <c r="W13" s="205"/>
    </row>
    <row r="14" spans="2:23" ht="14.25" thickTop="1" x14ac:dyDescent="0.25">
      <c r="B14" s="18" t="s">
        <v>234</v>
      </c>
      <c r="C14" s="37">
        <v>11500000</v>
      </c>
      <c r="D14" s="38">
        <f>C14</f>
        <v>11500000</v>
      </c>
      <c r="E14" s="39"/>
      <c r="I14" s="42" t="s">
        <v>237</v>
      </c>
      <c r="J14" s="159"/>
      <c r="K14" s="159"/>
      <c r="L14" s="48">
        <f>L13/C7</f>
        <v>0.2303508243683825</v>
      </c>
      <c r="W14" s="205"/>
    </row>
    <row r="15" spans="2:23" ht="14.25" thickBot="1" x14ac:dyDescent="0.3">
      <c r="B15" s="18" t="s">
        <v>238</v>
      </c>
      <c r="C15" s="40">
        <v>0.65</v>
      </c>
      <c r="D15" s="38">
        <f>-C15*(SUM(M62:M150,-460000))</f>
        <v>11502629.650849998</v>
      </c>
      <c r="E15" s="41">
        <f>-C17/(SUM(M61:M152,-125000))</f>
        <v>0.65496296181252522</v>
      </c>
      <c r="F15" s="23"/>
      <c r="I15" s="168"/>
      <c r="J15" s="163"/>
      <c r="K15" s="163"/>
      <c r="L15" s="169"/>
      <c r="W15" s="205"/>
    </row>
    <row r="16" spans="2:23" ht="14.25" thickBot="1" x14ac:dyDescent="0.3">
      <c r="B16" s="18" t="s">
        <v>239</v>
      </c>
      <c r="C16" s="40">
        <v>0.53</v>
      </c>
      <c r="D16" s="38">
        <f>C16*(M55)</f>
        <v>11493337.525</v>
      </c>
      <c r="E16" s="41">
        <f>C17/M58</f>
        <v>0.52436056807600373</v>
      </c>
      <c r="F16" s="23"/>
    </row>
    <row r="17" spans="1:23" ht="14.25" thickBot="1" x14ac:dyDescent="0.3">
      <c r="B17" s="44" t="s">
        <v>240</v>
      </c>
      <c r="C17" s="45">
        <f>-MIN(P170:AU170)</f>
        <v>11371043.384336323</v>
      </c>
      <c r="D17" s="46">
        <f>MIN(D14:D16)</f>
        <v>11493337.525</v>
      </c>
      <c r="E17" s="47" t="str">
        <f>IF(MIN(Q170:AV170)&lt;-D17,"check ltv, ltc","")</f>
        <v/>
      </c>
      <c r="H17" s="155"/>
      <c r="I17" s="162"/>
      <c r="J17" s="162"/>
      <c r="K17" s="162"/>
      <c r="L17" s="164"/>
      <c r="M17" s="154"/>
      <c r="W17" s="205"/>
    </row>
    <row r="18" spans="1:23" x14ac:dyDescent="0.25">
      <c r="B18" s="32"/>
      <c r="C18" s="185"/>
      <c r="D18" s="17"/>
      <c r="E18" s="36"/>
      <c r="H18" s="155"/>
      <c r="I18" s="165"/>
      <c r="J18" s="165"/>
      <c r="K18" s="165"/>
      <c r="L18" s="166"/>
      <c r="M18" s="154"/>
      <c r="W18" s="205"/>
    </row>
    <row r="19" spans="1:23" x14ac:dyDescent="0.25">
      <c r="B19" s="187" t="s">
        <v>241</v>
      </c>
      <c r="C19" s="184"/>
      <c r="D19" s="51"/>
      <c r="E19" s="36"/>
      <c r="H19" s="155"/>
      <c r="I19" s="160"/>
      <c r="J19" s="162"/>
      <c r="K19" s="162"/>
      <c r="L19" s="161"/>
      <c r="M19" s="153"/>
      <c r="W19" s="205"/>
    </row>
    <row r="20" spans="1:23" x14ac:dyDescent="0.25">
      <c r="B20" s="49" t="s">
        <v>242</v>
      </c>
      <c r="C20" s="183">
        <v>4.4999999999999998E-2</v>
      </c>
      <c r="D20" s="51"/>
      <c r="E20" s="155"/>
      <c r="H20" s="155"/>
      <c r="I20" s="153"/>
      <c r="J20" s="153"/>
      <c r="K20" s="153"/>
      <c r="L20" s="167"/>
      <c r="M20" s="153"/>
      <c r="W20" s="205"/>
    </row>
    <row r="21" spans="1:23" x14ac:dyDescent="0.25">
      <c r="B21" s="49" t="s">
        <v>243</v>
      </c>
      <c r="C21" s="186">
        <v>0.01</v>
      </c>
      <c r="D21" s="19"/>
      <c r="E21" s="57"/>
      <c r="H21" s="155"/>
      <c r="I21" s="153"/>
      <c r="J21" s="153"/>
      <c r="K21" s="153"/>
      <c r="L21" s="167"/>
      <c r="M21" s="153"/>
      <c r="W21" s="205"/>
    </row>
    <row r="22" spans="1:23" x14ac:dyDescent="0.25">
      <c r="B22" s="55" t="s">
        <v>244</v>
      </c>
      <c r="C22" s="183">
        <v>0.02</v>
      </c>
      <c r="D22" s="56"/>
      <c r="E22" s="155"/>
      <c r="H22" s="155"/>
      <c r="I22" s="153"/>
      <c r="J22" s="153"/>
      <c r="K22" s="153"/>
      <c r="L22" s="167"/>
      <c r="M22" s="153"/>
      <c r="W22" s="205"/>
    </row>
    <row r="23" spans="1:23" ht="14.25" thickBot="1" x14ac:dyDescent="0.3">
      <c r="B23" s="18"/>
      <c r="C23" s="188"/>
      <c r="D23" s="19"/>
      <c r="E23" s="61"/>
      <c r="H23" s="155"/>
      <c r="I23" s="153"/>
      <c r="J23" s="153"/>
      <c r="K23" s="153"/>
      <c r="L23" s="153"/>
      <c r="M23" s="153"/>
      <c r="W23" s="205"/>
    </row>
    <row r="24" spans="1:23" x14ac:dyDescent="0.25">
      <c r="B24" s="15" t="s">
        <v>118</v>
      </c>
      <c r="C24" s="59">
        <v>9500000</v>
      </c>
      <c r="D24" s="17"/>
      <c r="E24" s="61"/>
      <c r="F24" s="155"/>
      <c r="H24" s="155"/>
      <c r="I24" s="153"/>
      <c r="J24" s="153"/>
      <c r="K24" s="153"/>
      <c r="L24" s="153"/>
      <c r="M24" s="153"/>
      <c r="W24" s="205"/>
    </row>
    <row r="25" spans="1:23" ht="14.25" thickBot="1" x14ac:dyDescent="0.3">
      <c r="B25" s="26" t="s">
        <v>245</v>
      </c>
      <c r="C25" s="189">
        <v>5400000</v>
      </c>
      <c r="D25" s="62"/>
      <c r="G25" s="13"/>
      <c r="H25" s="155"/>
      <c r="I25" s="153"/>
      <c r="J25" s="153"/>
      <c r="K25" s="153"/>
      <c r="L25" s="153"/>
      <c r="M25" s="154"/>
      <c r="W25" s="205"/>
    </row>
    <row r="26" spans="1:23" ht="14.25" thickBot="1" x14ac:dyDescent="0.3">
      <c r="B26" s="63"/>
      <c r="H26" s="3"/>
    </row>
    <row r="27" spans="1:23" ht="14.25" thickBot="1" x14ac:dyDescent="0.3">
      <c r="B27" s="9" t="s">
        <v>246</v>
      </c>
      <c r="C27" s="29"/>
      <c r="D27" s="29"/>
      <c r="E27" s="29"/>
      <c r="F27" s="29"/>
      <c r="G27" s="30"/>
      <c r="H27" s="3"/>
      <c r="M27" s="36"/>
    </row>
    <row r="28" spans="1:23" ht="17.25" customHeight="1" thickBot="1" x14ac:dyDescent="0.3">
      <c r="B28" s="18" t="s">
        <v>247</v>
      </c>
      <c r="E28" s="3"/>
      <c r="F28" s="3"/>
      <c r="G28" s="58"/>
      <c r="H28" s="3"/>
    </row>
    <row r="29" spans="1:23" ht="14.25" thickBot="1" x14ac:dyDescent="0.3">
      <c r="A29" s="137"/>
      <c r="B29" s="64">
        <f>L14</f>
        <v>0.2303508243683825</v>
      </c>
      <c r="C29" s="65">
        <v>185</v>
      </c>
      <c r="D29" s="65">
        <v>187.5</v>
      </c>
      <c r="E29" s="65">
        <v>191.6</v>
      </c>
      <c r="F29" s="65">
        <v>192.5</v>
      </c>
      <c r="G29" s="66">
        <v>195</v>
      </c>
      <c r="H29" s="3"/>
    </row>
    <row r="30" spans="1:23" ht="14.25" thickBot="1" x14ac:dyDescent="0.3">
      <c r="A30" s="100"/>
      <c r="B30" s="67">
        <f>B29</f>
        <v>0.2303508243683825</v>
      </c>
      <c r="C30" s="68">
        <f>C29/$E$29</f>
        <v>0.96555323590814202</v>
      </c>
      <c r="D30" s="68">
        <f t="shared" ref="D30:G30" si="0">D29/$E$29</f>
        <v>0.9786012526096034</v>
      </c>
      <c r="E30" s="68">
        <f t="shared" si="0"/>
        <v>1</v>
      </c>
      <c r="F30" s="68">
        <f t="shared" si="0"/>
        <v>1.0046972860125261</v>
      </c>
      <c r="G30" s="69">
        <f t="shared" si="0"/>
        <v>1.0177453027139876</v>
      </c>
      <c r="H30" s="3"/>
    </row>
    <row r="31" spans="1:23" ht="14.25" thickBot="1" x14ac:dyDescent="0.3">
      <c r="A31" s="100">
        <v>46</v>
      </c>
      <c r="B31" s="71">
        <f>A31/$A$32</f>
        <v>0.97872340425531912</v>
      </c>
      <c r="C31" s="194">
        <f t="dataTable" ref="C31:G34" dt2D="1" dtr="1" r1="F38" r2="I75"/>
        <v>0.19744595823593672</v>
      </c>
      <c r="D31" s="195">
        <v>0.21361497075634964</v>
      </c>
      <c r="E31" s="195">
        <v>0.24013141933057539</v>
      </c>
      <c r="F31" s="195">
        <v>0.24595198144504643</v>
      </c>
      <c r="G31" s="196">
        <v>0.26209516484855827</v>
      </c>
      <c r="H31" s="3"/>
    </row>
    <row r="32" spans="1:23" ht="14.25" thickBot="1" x14ac:dyDescent="0.3">
      <c r="A32" s="100">
        <v>47</v>
      </c>
      <c r="B32" s="71">
        <f>A32/$A$32</f>
        <v>1</v>
      </c>
      <c r="C32" s="197">
        <v>0.18800175380354067</v>
      </c>
      <c r="D32" s="198">
        <v>0.20404334131429011</v>
      </c>
      <c r="E32" s="199">
        <v>0.2303508243683825</v>
      </c>
      <c r="F32" s="198">
        <v>0.23612551791443892</v>
      </c>
      <c r="G32" s="200">
        <v>0.2521661070245515</v>
      </c>
      <c r="H32" s="3"/>
    </row>
    <row r="33" spans="1:54" x14ac:dyDescent="0.25">
      <c r="A33" s="100">
        <v>48</v>
      </c>
      <c r="B33" s="71">
        <f>A33/$A$32</f>
        <v>1.0212765957446808</v>
      </c>
      <c r="C33" s="197">
        <v>0.17870535569208379</v>
      </c>
      <c r="D33" s="198">
        <v>0.19462151091378516</v>
      </c>
      <c r="E33" s="198">
        <v>0.22072329624084763</v>
      </c>
      <c r="F33" s="198">
        <v>0.2264528384942445</v>
      </c>
      <c r="G33" s="200">
        <v>0.24236801087323342</v>
      </c>
      <c r="H33" s="3"/>
    </row>
    <row r="34" spans="1:54" ht="14.25" thickBot="1" x14ac:dyDescent="0.3">
      <c r="A34" s="100">
        <v>49</v>
      </c>
      <c r="B34" s="72">
        <f>A34/$A$32</f>
        <v>1.0425531914893618</v>
      </c>
      <c r="C34" s="201">
        <v>0.16955332098369144</v>
      </c>
      <c r="D34" s="202">
        <v>0.18534599025527368</v>
      </c>
      <c r="E34" s="202">
        <v>0.21124526959075371</v>
      </c>
      <c r="F34" s="202">
        <v>0.21693036113304492</v>
      </c>
      <c r="G34" s="203">
        <v>0.23272206275899732</v>
      </c>
      <c r="H34" s="3"/>
    </row>
    <row r="35" spans="1:54" x14ac:dyDescent="0.25">
      <c r="A35" s="137"/>
      <c r="H35" s="3"/>
    </row>
    <row r="36" spans="1:54" x14ac:dyDescent="0.25">
      <c r="H36" s="3"/>
    </row>
    <row r="37" spans="1:54" x14ac:dyDescent="0.25">
      <c r="A37" s="13"/>
      <c r="B37" s="63" t="s">
        <v>248</v>
      </c>
      <c r="C37" s="13"/>
      <c r="D37" s="2" t="s">
        <v>249</v>
      </c>
      <c r="E37" s="73">
        <f>SUMPRODUCT(M42:M53)/D55</f>
        <v>191.62425883870739</v>
      </c>
      <c r="F37" s="2" t="s">
        <v>250</v>
      </c>
      <c r="I37" s="2"/>
    </row>
    <row r="38" spans="1:54" x14ac:dyDescent="0.25">
      <c r="A38" s="13"/>
      <c r="B38" s="63"/>
      <c r="C38" s="13"/>
      <c r="D38" s="2" t="s">
        <v>251</v>
      </c>
      <c r="E38" s="73">
        <f>SUM(F42:F53)/SUM(D42:D53)</f>
        <v>191.62425883870739</v>
      </c>
      <c r="F38" s="74">
        <v>1</v>
      </c>
      <c r="I38" s="2"/>
    </row>
    <row r="39" spans="1:54" x14ac:dyDescent="0.25">
      <c r="A39" s="13"/>
      <c r="B39" s="63" t="s">
        <v>252</v>
      </c>
      <c r="C39" s="13"/>
      <c r="I39" s="2"/>
      <c r="J39" s="2"/>
    </row>
    <row r="40" spans="1:54" x14ac:dyDescent="0.25">
      <c r="A40" s="13"/>
      <c r="B40" s="75" t="s">
        <v>253</v>
      </c>
      <c r="C40" s="76"/>
      <c r="D40" s="77"/>
      <c r="E40" s="77"/>
      <c r="F40" s="77" t="s">
        <v>254</v>
      </c>
      <c r="G40" s="77"/>
      <c r="H40" s="77"/>
      <c r="I40" s="77"/>
      <c r="J40" s="78"/>
      <c r="K40" s="78"/>
      <c r="L40" s="78"/>
      <c r="M40" s="78"/>
      <c r="N40" s="78"/>
      <c r="O40" s="78"/>
    </row>
    <row r="41" spans="1:54" ht="41.25" thickBot="1" x14ac:dyDescent="0.3">
      <c r="A41" s="13"/>
      <c r="B41" s="79"/>
      <c r="C41" s="80"/>
      <c r="D41" s="77" t="s">
        <v>255</v>
      </c>
      <c r="E41" s="77" t="s">
        <v>256</v>
      </c>
      <c r="F41" s="77" t="s">
        <v>257</v>
      </c>
      <c r="G41" s="77" t="s">
        <v>250</v>
      </c>
      <c r="H41" s="77"/>
      <c r="I41" s="77" t="s">
        <v>141</v>
      </c>
      <c r="J41" s="77" t="s">
        <v>258</v>
      </c>
      <c r="K41" s="81" t="s">
        <v>259</v>
      </c>
      <c r="L41" s="81" t="s">
        <v>260</v>
      </c>
      <c r="M41" s="81" t="s">
        <v>261</v>
      </c>
      <c r="N41" s="77" t="s">
        <v>262</v>
      </c>
      <c r="O41" s="78" t="s">
        <v>263</v>
      </c>
      <c r="P41" s="82" t="s">
        <v>264</v>
      </c>
      <c r="Q41" s="82">
        <v>43861</v>
      </c>
      <c r="R41" s="82">
        <f>EOMONTH(Q41,1)</f>
        <v>43890</v>
      </c>
      <c r="S41" s="82">
        <f t="shared" ref="S41:AU41" si="1">EOMONTH(R41,1)</f>
        <v>43921</v>
      </c>
      <c r="T41" s="84">
        <f t="shared" si="1"/>
        <v>43951</v>
      </c>
      <c r="U41" s="82">
        <f t="shared" si="1"/>
        <v>43982</v>
      </c>
      <c r="V41" s="82">
        <f t="shared" si="1"/>
        <v>44012</v>
      </c>
      <c r="W41" s="82">
        <f t="shared" si="1"/>
        <v>44043</v>
      </c>
      <c r="X41" s="82">
        <f t="shared" si="1"/>
        <v>44074</v>
      </c>
      <c r="Y41" s="82">
        <f t="shared" si="1"/>
        <v>44104</v>
      </c>
      <c r="Z41" s="82">
        <f t="shared" si="1"/>
        <v>44135</v>
      </c>
      <c r="AA41" s="82">
        <f t="shared" si="1"/>
        <v>44165</v>
      </c>
      <c r="AB41" s="82">
        <f t="shared" si="1"/>
        <v>44196</v>
      </c>
      <c r="AC41" s="82">
        <f t="shared" si="1"/>
        <v>44227</v>
      </c>
      <c r="AD41" s="84">
        <f t="shared" si="1"/>
        <v>44255</v>
      </c>
      <c r="AE41" s="82">
        <f t="shared" si="1"/>
        <v>44286</v>
      </c>
      <c r="AF41" s="82">
        <f t="shared" si="1"/>
        <v>44316</v>
      </c>
      <c r="AG41" s="82">
        <f t="shared" si="1"/>
        <v>44347</v>
      </c>
      <c r="AH41" s="82">
        <f t="shared" si="1"/>
        <v>44377</v>
      </c>
      <c r="AI41" s="82">
        <f t="shared" si="1"/>
        <v>44408</v>
      </c>
      <c r="AJ41" s="82">
        <f t="shared" si="1"/>
        <v>44439</v>
      </c>
      <c r="AK41" s="82">
        <f t="shared" si="1"/>
        <v>44469</v>
      </c>
      <c r="AL41" s="82">
        <f t="shared" si="1"/>
        <v>44500</v>
      </c>
      <c r="AM41" s="82">
        <f t="shared" si="1"/>
        <v>44530</v>
      </c>
      <c r="AN41" s="82">
        <f t="shared" si="1"/>
        <v>44561</v>
      </c>
      <c r="AO41" s="82">
        <f t="shared" si="1"/>
        <v>44592</v>
      </c>
      <c r="AP41" s="82">
        <f t="shared" si="1"/>
        <v>44620</v>
      </c>
      <c r="AQ41" s="82">
        <f t="shared" si="1"/>
        <v>44651</v>
      </c>
      <c r="AR41" s="82">
        <f t="shared" si="1"/>
        <v>44681</v>
      </c>
      <c r="AS41" s="82">
        <f t="shared" si="1"/>
        <v>44712</v>
      </c>
      <c r="AT41" s="82">
        <f t="shared" si="1"/>
        <v>44742</v>
      </c>
      <c r="AU41" s="82">
        <f t="shared" si="1"/>
        <v>44773</v>
      </c>
      <c r="AV41" s="83" t="s">
        <v>121</v>
      </c>
      <c r="AW41" s="84" t="s">
        <v>265</v>
      </c>
    </row>
    <row r="42" spans="1:54" x14ac:dyDescent="0.25">
      <c r="A42" s="13" t="s">
        <v>266</v>
      </c>
      <c r="B42" s="85" t="s">
        <v>267</v>
      </c>
      <c r="C42" s="13"/>
      <c r="D42" s="60">
        <v>6070</v>
      </c>
      <c r="E42" s="86">
        <v>200</v>
      </c>
      <c r="F42" s="61">
        <f>E42*D42</f>
        <v>1214000</v>
      </c>
      <c r="G42" s="23">
        <f t="shared" ref="G42:G52" si="2">F42*$F$38</f>
        <v>1214000</v>
      </c>
      <c r="H42" s="2" t="s">
        <v>268</v>
      </c>
      <c r="I42" s="50">
        <v>1</v>
      </c>
      <c r="J42" s="87">
        <f t="shared" ref="J42:J52" si="3">1/I42</f>
        <v>1</v>
      </c>
      <c r="K42" s="88">
        <v>0</v>
      </c>
      <c r="L42" s="3">
        <f t="shared" ref="L42:L53" si="4">ROUND((-$O$76+N42)/365*12,0)</f>
        <v>1</v>
      </c>
      <c r="M42" s="61">
        <f t="shared" ref="M42:M53" si="5">IF(A42="leasehold",(J42*G42-G42/12*K42)/(1+$E$60),(J42*G42-G42/12*K42))</f>
        <v>1214000</v>
      </c>
      <c r="N42" s="89">
        <v>44255</v>
      </c>
      <c r="O42" s="90">
        <f t="shared" ref="O42:O52" si="6">N42</f>
        <v>44255</v>
      </c>
      <c r="P42" s="3">
        <f t="shared" ref="P42:P52" si="7">ROUND((O42-N42)/365*12,0)+1</f>
        <v>1</v>
      </c>
      <c r="Q42" s="61">
        <f t="shared" ref="Q42:AF53" si="8">IF(OR(Q$41&lt;$N42,Q$41&gt;$O42),0,$M42/$P42)</f>
        <v>0</v>
      </c>
      <c r="R42" s="61">
        <f t="shared" si="8"/>
        <v>0</v>
      </c>
      <c r="S42" s="207">
        <f t="shared" si="8"/>
        <v>0</v>
      </c>
      <c r="T42" s="61">
        <f t="shared" si="8"/>
        <v>0</v>
      </c>
      <c r="U42" s="61">
        <f t="shared" si="8"/>
        <v>0</v>
      </c>
      <c r="V42" s="61">
        <f t="shared" si="8"/>
        <v>0</v>
      </c>
      <c r="W42" s="61">
        <f t="shared" si="8"/>
        <v>0</v>
      </c>
      <c r="X42" s="61">
        <f t="shared" si="8"/>
        <v>0</v>
      </c>
      <c r="Y42" s="61">
        <f t="shared" si="8"/>
        <v>0</v>
      </c>
      <c r="Z42" s="61">
        <f t="shared" si="8"/>
        <v>0</v>
      </c>
      <c r="AA42" s="61">
        <f t="shared" si="8"/>
        <v>0</v>
      </c>
      <c r="AB42" s="61">
        <f t="shared" si="8"/>
        <v>0</v>
      </c>
      <c r="AC42" s="207">
        <f t="shared" si="8"/>
        <v>0</v>
      </c>
      <c r="AD42" s="61">
        <f t="shared" si="8"/>
        <v>1214000</v>
      </c>
      <c r="AE42" s="61">
        <f t="shared" si="8"/>
        <v>0</v>
      </c>
      <c r="AF42" s="61">
        <f t="shared" si="8"/>
        <v>0</v>
      </c>
      <c r="AG42" s="61">
        <f t="shared" ref="AG42:AU53" si="9">IF(OR(AG$41&lt;$N42,AG$41&gt;$O42),0,$M42/$P42)</f>
        <v>0</v>
      </c>
      <c r="AH42" s="61">
        <f t="shared" si="9"/>
        <v>0</v>
      </c>
      <c r="AI42" s="61">
        <f t="shared" si="9"/>
        <v>0</v>
      </c>
      <c r="AJ42" s="61">
        <f t="shared" si="9"/>
        <v>0</v>
      </c>
      <c r="AK42" s="61">
        <f t="shared" si="9"/>
        <v>0</v>
      </c>
      <c r="AL42" s="61">
        <f t="shared" si="9"/>
        <v>0</v>
      </c>
      <c r="AM42" s="61">
        <f t="shared" si="9"/>
        <v>0</v>
      </c>
      <c r="AN42" s="61">
        <f t="shared" si="9"/>
        <v>0</v>
      </c>
      <c r="AO42" s="61">
        <f t="shared" si="9"/>
        <v>0</v>
      </c>
      <c r="AP42" s="61">
        <f t="shared" si="9"/>
        <v>0</v>
      </c>
      <c r="AQ42" s="61">
        <f t="shared" si="9"/>
        <v>0</v>
      </c>
      <c r="AR42" s="61">
        <f t="shared" si="9"/>
        <v>0</v>
      </c>
      <c r="AS42" s="61">
        <f t="shared" si="9"/>
        <v>0</v>
      </c>
      <c r="AT42" s="61">
        <f t="shared" si="9"/>
        <v>0</v>
      </c>
      <c r="AU42" s="61">
        <f t="shared" si="9"/>
        <v>0</v>
      </c>
      <c r="AV42" s="91">
        <f t="shared" ref="AV42:AV53" si="10">SUM(Q42:AU42)</f>
        <v>1214000</v>
      </c>
      <c r="AW42" s="36">
        <f t="shared" ref="AW42:AW53" si="11">SUM(Q42:AU42)-M42</f>
        <v>0</v>
      </c>
    </row>
    <row r="43" spans="1:54" x14ac:dyDescent="0.25">
      <c r="A43" s="13" t="s">
        <v>266</v>
      </c>
      <c r="B43" s="85" t="s">
        <v>269</v>
      </c>
      <c r="C43" s="13"/>
      <c r="D43" s="60">
        <v>5231</v>
      </c>
      <c r="E43" s="86">
        <v>200</v>
      </c>
      <c r="F43" s="61">
        <f>E43*D43</f>
        <v>1046200</v>
      </c>
      <c r="G43" s="23">
        <f t="shared" si="2"/>
        <v>1046200</v>
      </c>
      <c r="H43" s="2" t="s">
        <v>268</v>
      </c>
      <c r="I43" s="50">
        <f>$I$42</f>
        <v>1</v>
      </c>
      <c r="J43" s="87">
        <f t="shared" si="3"/>
        <v>1</v>
      </c>
      <c r="K43" s="88">
        <v>0</v>
      </c>
      <c r="L43" s="3">
        <f t="shared" si="4"/>
        <v>2</v>
      </c>
      <c r="M43" s="61">
        <f t="shared" si="5"/>
        <v>1046200</v>
      </c>
      <c r="N43" s="89">
        <v>44286</v>
      </c>
      <c r="O43" s="90">
        <f t="shared" si="6"/>
        <v>44286</v>
      </c>
      <c r="P43" s="3">
        <f t="shared" si="7"/>
        <v>1</v>
      </c>
      <c r="Q43" s="61">
        <f t="shared" si="8"/>
        <v>0</v>
      </c>
      <c r="R43" s="61">
        <f t="shared" si="8"/>
        <v>0</v>
      </c>
      <c r="S43" s="207">
        <f t="shared" si="8"/>
        <v>0</v>
      </c>
      <c r="T43" s="61">
        <f t="shared" si="8"/>
        <v>0</v>
      </c>
      <c r="U43" s="61">
        <f t="shared" si="8"/>
        <v>0</v>
      </c>
      <c r="V43" s="61">
        <f t="shared" si="8"/>
        <v>0</v>
      </c>
      <c r="W43" s="61">
        <f t="shared" si="8"/>
        <v>0</v>
      </c>
      <c r="X43" s="61">
        <f t="shared" si="8"/>
        <v>0</v>
      </c>
      <c r="Y43" s="61">
        <f t="shared" si="8"/>
        <v>0</v>
      </c>
      <c r="Z43" s="61">
        <f t="shared" si="8"/>
        <v>0</v>
      </c>
      <c r="AA43" s="61">
        <f t="shared" si="8"/>
        <v>0</v>
      </c>
      <c r="AB43" s="61">
        <f t="shared" si="8"/>
        <v>0</v>
      </c>
      <c r="AC43" s="207">
        <f t="shared" si="8"/>
        <v>0</v>
      </c>
      <c r="AD43" s="61">
        <f t="shared" si="8"/>
        <v>0</v>
      </c>
      <c r="AE43" s="61">
        <f t="shared" si="8"/>
        <v>1046200</v>
      </c>
      <c r="AF43" s="61">
        <f t="shared" si="8"/>
        <v>0</v>
      </c>
      <c r="AG43" s="61">
        <f t="shared" si="9"/>
        <v>0</v>
      </c>
      <c r="AH43" s="61">
        <f t="shared" si="9"/>
        <v>0</v>
      </c>
      <c r="AI43" s="61">
        <f t="shared" si="9"/>
        <v>0</v>
      </c>
      <c r="AJ43" s="61">
        <f t="shared" si="9"/>
        <v>0</v>
      </c>
      <c r="AK43" s="61">
        <f t="shared" si="9"/>
        <v>0</v>
      </c>
      <c r="AL43" s="61">
        <f t="shared" si="9"/>
        <v>0</v>
      </c>
      <c r="AM43" s="61">
        <f t="shared" si="9"/>
        <v>0</v>
      </c>
      <c r="AN43" s="61">
        <f t="shared" si="9"/>
        <v>0</v>
      </c>
      <c r="AO43" s="61">
        <f t="shared" si="9"/>
        <v>0</v>
      </c>
      <c r="AP43" s="61">
        <f t="shared" si="9"/>
        <v>0</v>
      </c>
      <c r="AQ43" s="61">
        <f t="shared" si="9"/>
        <v>0</v>
      </c>
      <c r="AR43" s="61">
        <f t="shared" si="9"/>
        <v>0</v>
      </c>
      <c r="AS43" s="61">
        <f t="shared" si="9"/>
        <v>0</v>
      </c>
      <c r="AT43" s="61">
        <f t="shared" si="9"/>
        <v>0</v>
      </c>
      <c r="AU43" s="61">
        <f t="shared" si="9"/>
        <v>0</v>
      </c>
      <c r="AV43" s="103">
        <f t="shared" si="10"/>
        <v>1046200</v>
      </c>
      <c r="AW43" s="36">
        <f t="shared" si="11"/>
        <v>0</v>
      </c>
    </row>
    <row r="44" spans="1:54" x14ac:dyDescent="0.25">
      <c r="A44" s="13" t="s">
        <v>266</v>
      </c>
      <c r="B44" s="85" t="s">
        <v>270</v>
      </c>
      <c r="C44" s="13"/>
      <c r="D44" s="60">
        <v>4876</v>
      </c>
      <c r="E44" s="86">
        <v>200</v>
      </c>
      <c r="F44" s="61">
        <f>E44*D44</f>
        <v>975200</v>
      </c>
      <c r="G44" s="23">
        <f t="shared" si="2"/>
        <v>975200</v>
      </c>
      <c r="H44" s="2" t="s">
        <v>268</v>
      </c>
      <c r="I44" s="50">
        <f t="shared" ref="I44:I53" si="12">$I$42</f>
        <v>1</v>
      </c>
      <c r="J44" s="87">
        <f t="shared" si="3"/>
        <v>1</v>
      </c>
      <c r="K44" s="88">
        <v>0</v>
      </c>
      <c r="L44" s="3">
        <f t="shared" si="4"/>
        <v>4</v>
      </c>
      <c r="M44" s="61">
        <f t="shared" si="5"/>
        <v>975200</v>
      </c>
      <c r="N44" s="89">
        <v>44347</v>
      </c>
      <c r="O44" s="90">
        <f t="shared" si="6"/>
        <v>44347</v>
      </c>
      <c r="P44" s="3">
        <f t="shared" si="7"/>
        <v>1</v>
      </c>
      <c r="Q44" s="61">
        <f t="shared" si="8"/>
        <v>0</v>
      </c>
      <c r="R44" s="61">
        <f t="shared" si="8"/>
        <v>0</v>
      </c>
      <c r="S44" s="207">
        <f t="shared" si="8"/>
        <v>0</v>
      </c>
      <c r="T44" s="61">
        <f t="shared" si="8"/>
        <v>0</v>
      </c>
      <c r="U44" s="61">
        <f t="shared" si="8"/>
        <v>0</v>
      </c>
      <c r="V44" s="61">
        <f t="shared" si="8"/>
        <v>0</v>
      </c>
      <c r="W44" s="61">
        <f t="shared" si="8"/>
        <v>0</v>
      </c>
      <c r="X44" s="61">
        <f t="shared" si="8"/>
        <v>0</v>
      </c>
      <c r="Y44" s="61">
        <f t="shared" si="8"/>
        <v>0</v>
      </c>
      <c r="Z44" s="61">
        <f t="shared" si="8"/>
        <v>0</v>
      </c>
      <c r="AA44" s="61">
        <f t="shared" si="8"/>
        <v>0</v>
      </c>
      <c r="AB44" s="61">
        <f t="shared" si="8"/>
        <v>0</v>
      </c>
      <c r="AC44" s="207">
        <f t="shared" si="8"/>
        <v>0</v>
      </c>
      <c r="AD44" s="61">
        <f t="shared" si="8"/>
        <v>0</v>
      </c>
      <c r="AE44" s="61">
        <f t="shared" si="8"/>
        <v>0</v>
      </c>
      <c r="AF44" s="61">
        <f t="shared" si="8"/>
        <v>0</v>
      </c>
      <c r="AG44" s="61">
        <f t="shared" si="9"/>
        <v>975200</v>
      </c>
      <c r="AH44" s="61">
        <f t="shared" si="9"/>
        <v>0</v>
      </c>
      <c r="AI44" s="61">
        <f t="shared" si="9"/>
        <v>0</v>
      </c>
      <c r="AJ44" s="61">
        <f t="shared" si="9"/>
        <v>0</v>
      </c>
      <c r="AK44" s="61">
        <f t="shared" si="9"/>
        <v>0</v>
      </c>
      <c r="AL44" s="61">
        <f t="shared" si="9"/>
        <v>0</v>
      </c>
      <c r="AM44" s="61">
        <f t="shared" si="9"/>
        <v>0</v>
      </c>
      <c r="AN44" s="61">
        <f t="shared" si="9"/>
        <v>0</v>
      </c>
      <c r="AO44" s="61">
        <f t="shared" si="9"/>
        <v>0</v>
      </c>
      <c r="AP44" s="61">
        <f t="shared" si="9"/>
        <v>0</v>
      </c>
      <c r="AQ44" s="61">
        <f t="shared" si="9"/>
        <v>0</v>
      </c>
      <c r="AR44" s="61">
        <f t="shared" si="9"/>
        <v>0</v>
      </c>
      <c r="AS44" s="61">
        <f t="shared" si="9"/>
        <v>0</v>
      </c>
      <c r="AT44" s="61">
        <f t="shared" si="9"/>
        <v>0</v>
      </c>
      <c r="AU44" s="61">
        <f t="shared" si="9"/>
        <v>0</v>
      </c>
      <c r="AV44" s="103">
        <f t="shared" si="10"/>
        <v>975200</v>
      </c>
      <c r="AW44" s="36">
        <f t="shared" si="11"/>
        <v>0</v>
      </c>
    </row>
    <row r="45" spans="1:54" x14ac:dyDescent="0.25">
      <c r="A45" s="13" t="s">
        <v>266</v>
      </c>
      <c r="B45" s="85" t="s">
        <v>271</v>
      </c>
      <c r="C45" s="13"/>
      <c r="D45" s="60">
        <v>4176</v>
      </c>
      <c r="E45" s="86">
        <v>200</v>
      </c>
      <c r="F45" s="61">
        <f>E45*D45</f>
        <v>835200</v>
      </c>
      <c r="G45" s="23">
        <f t="shared" si="2"/>
        <v>835200</v>
      </c>
      <c r="H45" s="2" t="s">
        <v>268</v>
      </c>
      <c r="I45" s="50">
        <f t="shared" si="12"/>
        <v>1</v>
      </c>
      <c r="J45" s="87">
        <f t="shared" si="3"/>
        <v>1</v>
      </c>
      <c r="K45" s="88">
        <v>0</v>
      </c>
      <c r="L45" s="3">
        <f t="shared" si="4"/>
        <v>6</v>
      </c>
      <c r="M45" s="61">
        <f t="shared" si="5"/>
        <v>835200</v>
      </c>
      <c r="N45" s="89">
        <v>44408</v>
      </c>
      <c r="O45" s="90">
        <f t="shared" si="6"/>
        <v>44408</v>
      </c>
      <c r="P45" s="3">
        <f t="shared" si="7"/>
        <v>1</v>
      </c>
      <c r="Q45" s="61">
        <f t="shared" si="8"/>
        <v>0</v>
      </c>
      <c r="R45" s="61">
        <f t="shared" si="8"/>
        <v>0</v>
      </c>
      <c r="S45" s="207">
        <f t="shared" si="8"/>
        <v>0</v>
      </c>
      <c r="T45" s="61">
        <f t="shared" si="8"/>
        <v>0</v>
      </c>
      <c r="U45" s="61">
        <f t="shared" si="8"/>
        <v>0</v>
      </c>
      <c r="V45" s="61">
        <f t="shared" si="8"/>
        <v>0</v>
      </c>
      <c r="W45" s="61">
        <f t="shared" si="8"/>
        <v>0</v>
      </c>
      <c r="X45" s="61">
        <f t="shared" si="8"/>
        <v>0</v>
      </c>
      <c r="Y45" s="61">
        <f t="shared" si="8"/>
        <v>0</v>
      </c>
      <c r="Z45" s="61">
        <f t="shared" si="8"/>
        <v>0</v>
      </c>
      <c r="AA45" s="61">
        <f t="shared" si="8"/>
        <v>0</v>
      </c>
      <c r="AB45" s="61">
        <f t="shared" si="8"/>
        <v>0</v>
      </c>
      <c r="AC45" s="207">
        <f t="shared" si="8"/>
        <v>0</v>
      </c>
      <c r="AD45" s="61">
        <f t="shared" si="8"/>
        <v>0</v>
      </c>
      <c r="AE45" s="61">
        <f t="shared" si="8"/>
        <v>0</v>
      </c>
      <c r="AF45" s="61">
        <f t="shared" si="8"/>
        <v>0</v>
      </c>
      <c r="AG45" s="61">
        <f t="shared" si="9"/>
        <v>0</v>
      </c>
      <c r="AH45" s="61">
        <f t="shared" si="9"/>
        <v>0</v>
      </c>
      <c r="AI45" s="61">
        <f t="shared" si="9"/>
        <v>835200</v>
      </c>
      <c r="AJ45" s="61">
        <f t="shared" si="9"/>
        <v>0</v>
      </c>
      <c r="AK45" s="61">
        <f t="shared" si="9"/>
        <v>0</v>
      </c>
      <c r="AL45" s="61">
        <f t="shared" si="9"/>
        <v>0</v>
      </c>
      <c r="AM45" s="61">
        <f t="shared" si="9"/>
        <v>0</v>
      </c>
      <c r="AN45" s="61">
        <f t="shared" si="9"/>
        <v>0</v>
      </c>
      <c r="AO45" s="61">
        <f t="shared" si="9"/>
        <v>0</v>
      </c>
      <c r="AP45" s="61">
        <f t="shared" si="9"/>
        <v>0</v>
      </c>
      <c r="AQ45" s="61">
        <f t="shared" si="9"/>
        <v>0</v>
      </c>
      <c r="AR45" s="61">
        <f t="shared" si="9"/>
        <v>0</v>
      </c>
      <c r="AS45" s="61">
        <f t="shared" si="9"/>
        <v>0</v>
      </c>
      <c r="AT45" s="61">
        <f t="shared" si="9"/>
        <v>0</v>
      </c>
      <c r="AU45" s="61">
        <f t="shared" si="9"/>
        <v>0</v>
      </c>
      <c r="AV45" s="103">
        <f t="shared" si="10"/>
        <v>835200</v>
      </c>
      <c r="AW45" s="36">
        <f t="shared" si="11"/>
        <v>0</v>
      </c>
    </row>
    <row r="46" spans="1:54" x14ac:dyDescent="0.25">
      <c r="A46" s="13" t="s">
        <v>266</v>
      </c>
      <c r="B46" s="85" t="s">
        <v>272</v>
      </c>
      <c r="C46" s="13"/>
      <c r="D46" s="60">
        <v>5565</v>
      </c>
      <c r="E46" s="86">
        <v>200</v>
      </c>
      <c r="F46" s="61">
        <f t="shared" ref="F46:F52" si="13">E46*D46</f>
        <v>1113000</v>
      </c>
      <c r="G46" s="23">
        <f t="shared" si="2"/>
        <v>1113000</v>
      </c>
      <c r="H46" s="2" t="s">
        <v>268</v>
      </c>
      <c r="I46" s="50">
        <f t="shared" si="12"/>
        <v>1</v>
      </c>
      <c r="J46" s="87">
        <f t="shared" si="3"/>
        <v>1</v>
      </c>
      <c r="K46" s="88">
        <v>0</v>
      </c>
      <c r="L46" s="3">
        <f t="shared" si="4"/>
        <v>10</v>
      </c>
      <c r="M46" s="61">
        <f t="shared" si="5"/>
        <v>1113000</v>
      </c>
      <c r="N46" s="89">
        <v>44530</v>
      </c>
      <c r="O46" s="90">
        <f t="shared" si="6"/>
        <v>44530</v>
      </c>
      <c r="P46" s="3">
        <f t="shared" si="7"/>
        <v>1</v>
      </c>
      <c r="Q46" s="61">
        <f t="shared" si="8"/>
        <v>0</v>
      </c>
      <c r="R46" s="61">
        <f t="shared" si="8"/>
        <v>0</v>
      </c>
      <c r="S46" s="207">
        <f t="shared" si="8"/>
        <v>0</v>
      </c>
      <c r="T46" s="61">
        <f t="shared" si="8"/>
        <v>0</v>
      </c>
      <c r="U46" s="61">
        <f t="shared" si="8"/>
        <v>0</v>
      </c>
      <c r="V46" s="61">
        <f t="shared" si="8"/>
        <v>0</v>
      </c>
      <c r="W46" s="61">
        <f t="shared" si="8"/>
        <v>0</v>
      </c>
      <c r="X46" s="61">
        <f t="shared" si="8"/>
        <v>0</v>
      </c>
      <c r="Y46" s="61">
        <f t="shared" si="8"/>
        <v>0</v>
      </c>
      <c r="Z46" s="61">
        <f t="shared" si="8"/>
        <v>0</v>
      </c>
      <c r="AA46" s="61">
        <f t="shared" si="8"/>
        <v>0</v>
      </c>
      <c r="AB46" s="61">
        <f t="shared" si="8"/>
        <v>0</v>
      </c>
      <c r="AC46" s="207">
        <f t="shared" si="8"/>
        <v>0</v>
      </c>
      <c r="AD46" s="61">
        <f t="shared" si="8"/>
        <v>0</v>
      </c>
      <c r="AE46" s="61">
        <f t="shared" si="8"/>
        <v>0</v>
      </c>
      <c r="AF46" s="61">
        <f t="shared" si="8"/>
        <v>0</v>
      </c>
      <c r="AG46" s="61">
        <f t="shared" si="9"/>
        <v>0</v>
      </c>
      <c r="AH46" s="61">
        <f t="shared" si="9"/>
        <v>0</v>
      </c>
      <c r="AI46" s="61">
        <f t="shared" si="9"/>
        <v>0</v>
      </c>
      <c r="AJ46" s="61">
        <f t="shared" si="9"/>
        <v>0</v>
      </c>
      <c r="AK46" s="61">
        <f t="shared" si="9"/>
        <v>0</v>
      </c>
      <c r="AL46" s="61">
        <f t="shared" si="9"/>
        <v>0</v>
      </c>
      <c r="AM46" s="61">
        <f t="shared" si="9"/>
        <v>1113000</v>
      </c>
      <c r="AN46" s="61">
        <f t="shared" si="9"/>
        <v>0</v>
      </c>
      <c r="AO46" s="61">
        <f t="shared" si="9"/>
        <v>0</v>
      </c>
      <c r="AP46" s="61">
        <f t="shared" si="9"/>
        <v>0</v>
      </c>
      <c r="AQ46" s="61">
        <f t="shared" si="9"/>
        <v>0</v>
      </c>
      <c r="AR46" s="61">
        <f t="shared" si="9"/>
        <v>0</v>
      </c>
      <c r="AS46" s="61">
        <f t="shared" si="9"/>
        <v>0</v>
      </c>
      <c r="AT46" s="61">
        <f t="shared" si="9"/>
        <v>0</v>
      </c>
      <c r="AU46" s="61">
        <f t="shared" si="9"/>
        <v>0</v>
      </c>
      <c r="AV46" s="103">
        <f t="shared" si="10"/>
        <v>1113000</v>
      </c>
      <c r="AW46" s="36">
        <f t="shared" si="11"/>
        <v>0</v>
      </c>
    </row>
    <row r="47" spans="1:54" x14ac:dyDescent="0.25">
      <c r="A47" s="13" t="s">
        <v>266</v>
      </c>
      <c r="B47" s="85" t="s">
        <v>273</v>
      </c>
      <c r="C47" s="13"/>
      <c r="D47" s="60">
        <v>6070</v>
      </c>
      <c r="E47" s="86">
        <v>200</v>
      </c>
      <c r="F47" s="61">
        <f t="shared" si="13"/>
        <v>1214000</v>
      </c>
      <c r="G47" s="23">
        <f t="shared" si="2"/>
        <v>1214000</v>
      </c>
      <c r="H47" s="2" t="s">
        <v>268</v>
      </c>
      <c r="I47" s="50">
        <f t="shared" si="12"/>
        <v>1</v>
      </c>
      <c r="J47" s="87">
        <f t="shared" si="3"/>
        <v>1</v>
      </c>
      <c r="K47" s="88">
        <v>0</v>
      </c>
      <c r="L47" s="3">
        <f t="shared" si="4"/>
        <v>12</v>
      </c>
      <c r="M47" s="61">
        <f t="shared" si="5"/>
        <v>1214000</v>
      </c>
      <c r="N47" s="89">
        <v>44592</v>
      </c>
      <c r="O47" s="90">
        <f t="shared" si="6"/>
        <v>44592</v>
      </c>
      <c r="P47" s="3">
        <f t="shared" si="7"/>
        <v>1</v>
      </c>
      <c r="Q47" s="61">
        <f t="shared" si="8"/>
        <v>0</v>
      </c>
      <c r="R47" s="61">
        <f t="shared" si="8"/>
        <v>0</v>
      </c>
      <c r="S47" s="207">
        <f t="shared" si="8"/>
        <v>0</v>
      </c>
      <c r="T47" s="61">
        <f t="shared" si="8"/>
        <v>0</v>
      </c>
      <c r="U47" s="61">
        <f t="shared" si="8"/>
        <v>0</v>
      </c>
      <c r="V47" s="61">
        <f t="shared" si="8"/>
        <v>0</v>
      </c>
      <c r="W47" s="61">
        <f t="shared" si="8"/>
        <v>0</v>
      </c>
      <c r="X47" s="61">
        <f t="shared" si="8"/>
        <v>0</v>
      </c>
      <c r="Y47" s="61">
        <f t="shared" si="8"/>
        <v>0</v>
      </c>
      <c r="Z47" s="61">
        <f t="shared" si="8"/>
        <v>0</v>
      </c>
      <c r="AA47" s="61">
        <f t="shared" si="8"/>
        <v>0</v>
      </c>
      <c r="AB47" s="61">
        <f t="shared" si="8"/>
        <v>0</v>
      </c>
      <c r="AC47" s="207">
        <f t="shared" si="8"/>
        <v>0</v>
      </c>
      <c r="AD47" s="61">
        <f t="shared" si="8"/>
        <v>0</v>
      </c>
      <c r="AE47" s="61">
        <f t="shared" si="8"/>
        <v>0</v>
      </c>
      <c r="AF47" s="61">
        <f t="shared" si="8"/>
        <v>0</v>
      </c>
      <c r="AG47" s="61">
        <f t="shared" si="9"/>
        <v>0</v>
      </c>
      <c r="AH47" s="61">
        <f t="shared" si="9"/>
        <v>0</v>
      </c>
      <c r="AI47" s="61">
        <f t="shared" si="9"/>
        <v>0</v>
      </c>
      <c r="AJ47" s="61">
        <f t="shared" si="9"/>
        <v>0</v>
      </c>
      <c r="AK47" s="61">
        <f t="shared" si="9"/>
        <v>0</v>
      </c>
      <c r="AL47" s="61">
        <f t="shared" si="9"/>
        <v>0</v>
      </c>
      <c r="AM47" s="61">
        <f t="shared" si="9"/>
        <v>0</v>
      </c>
      <c r="AN47" s="61">
        <f t="shared" si="9"/>
        <v>0</v>
      </c>
      <c r="AO47" s="61">
        <f t="shared" si="9"/>
        <v>1214000</v>
      </c>
      <c r="AP47" s="61">
        <f t="shared" si="9"/>
        <v>0</v>
      </c>
      <c r="AQ47" s="61">
        <f t="shared" si="9"/>
        <v>0</v>
      </c>
      <c r="AR47" s="61">
        <f t="shared" si="9"/>
        <v>0</v>
      </c>
      <c r="AS47" s="61">
        <f t="shared" si="9"/>
        <v>0</v>
      </c>
      <c r="AT47" s="61">
        <f t="shared" si="9"/>
        <v>0</v>
      </c>
      <c r="AU47" s="61">
        <f t="shared" si="9"/>
        <v>0</v>
      </c>
      <c r="AV47" s="103">
        <f t="shared" si="10"/>
        <v>1214000</v>
      </c>
      <c r="AW47" s="36">
        <f t="shared" si="11"/>
        <v>0</v>
      </c>
      <c r="BB47" s="154"/>
    </row>
    <row r="48" spans="1:54" x14ac:dyDescent="0.25">
      <c r="A48" s="13" t="s">
        <v>266</v>
      </c>
      <c r="B48" s="85" t="s">
        <v>274</v>
      </c>
      <c r="C48" s="13"/>
      <c r="D48" s="60">
        <v>9945</v>
      </c>
      <c r="E48" s="86">
        <v>195</v>
      </c>
      <c r="F48" s="61">
        <f t="shared" si="13"/>
        <v>1939275</v>
      </c>
      <c r="G48" s="23">
        <f t="shared" si="2"/>
        <v>1939275</v>
      </c>
      <c r="H48" s="2" t="s">
        <v>268</v>
      </c>
      <c r="I48" s="50">
        <f t="shared" si="12"/>
        <v>1</v>
      </c>
      <c r="J48" s="87">
        <f t="shared" si="3"/>
        <v>1</v>
      </c>
      <c r="K48" s="88">
        <v>0</v>
      </c>
      <c r="L48" s="3">
        <f t="shared" si="4"/>
        <v>1</v>
      </c>
      <c r="M48" s="61">
        <f t="shared" si="5"/>
        <v>1939275</v>
      </c>
      <c r="N48" s="89">
        <v>44255</v>
      </c>
      <c r="O48" s="90">
        <f t="shared" si="6"/>
        <v>44255</v>
      </c>
      <c r="P48" s="3">
        <f t="shared" si="7"/>
        <v>1</v>
      </c>
      <c r="Q48" s="61">
        <f t="shared" si="8"/>
        <v>0</v>
      </c>
      <c r="R48" s="61">
        <f t="shared" si="8"/>
        <v>0</v>
      </c>
      <c r="S48" s="207">
        <f t="shared" si="8"/>
        <v>0</v>
      </c>
      <c r="T48" s="61">
        <f t="shared" si="8"/>
        <v>0</v>
      </c>
      <c r="U48" s="61">
        <f t="shared" si="8"/>
        <v>0</v>
      </c>
      <c r="V48" s="61">
        <f t="shared" si="8"/>
        <v>0</v>
      </c>
      <c r="W48" s="61">
        <f t="shared" si="8"/>
        <v>0</v>
      </c>
      <c r="X48" s="61">
        <f t="shared" si="8"/>
        <v>0</v>
      </c>
      <c r="Y48" s="61">
        <f t="shared" si="8"/>
        <v>0</v>
      </c>
      <c r="Z48" s="61">
        <f t="shared" si="8"/>
        <v>0</v>
      </c>
      <c r="AA48" s="61">
        <f t="shared" si="8"/>
        <v>0</v>
      </c>
      <c r="AB48" s="61">
        <f t="shared" si="8"/>
        <v>0</v>
      </c>
      <c r="AC48" s="207">
        <f t="shared" si="8"/>
        <v>0</v>
      </c>
      <c r="AD48" s="61">
        <f t="shared" si="8"/>
        <v>1939275</v>
      </c>
      <c r="AE48" s="61">
        <f t="shared" si="8"/>
        <v>0</v>
      </c>
      <c r="AF48" s="61">
        <f t="shared" si="8"/>
        <v>0</v>
      </c>
      <c r="AG48" s="61">
        <f t="shared" si="9"/>
        <v>0</v>
      </c>
      <c r="AH48" s="61">
        <f t="shared" si="9"/>
        <v>0</v>
      </c>
      <c r="AI48" s="61">
        <f t="shared" si="9"/>
        <v>0</v>
      </c>
      <c r="AJ48" s="61">
        <f t="shared" si="9"/>
        <v>0</v>
      </c>
      <c r="AK48" s="61">
        <f t="shared" si="9"/>
        <v>0</v>
      </c>
      <c r="AL48" s="61">
        <f t="shared" si="9"/>
        <v>0</v>
      </c>
      <c r="AM48" s="61">
        <f t="shared" si="9"/>
        <v>0</v>
      </c>
      <c r="AN48" s="61">
        <f t="shared" si="9"/>
        <v>0</v>
      </c>
      <c r="AO48" s="61">
        <f t="shared" si="9"/>
        <v>0</v>
      </c>
      <c r="AP48" s="61">
        <f t="shared" si="9"/>
        <v>0</v>
      </c>
      <c r="AQ48" s="61">
        <f t="shared" si="9"/>
        <v>0</v>
      </c>
      <c r="AR48" s="61">
        <f t="shared" si="9"/>
        <v>0</v>
      </c>
      <c r="AS48" s="61">
        <f t="shared" si="9"/>
        <v>0</v>
      </c>
      <c r="AT48" s="61">
        <f t="shared" si="9"/>
        <v>0</v>
      </c>
      <c r="AU48" s="61">
        <f t="shared" si="9"/>
        <v>0</v>
      </c>
      <c r="AV48" s="103">
        <f t="shared" si="10"/>
        <v>1939275</v>
      </c>
      <c r="AW48" s="36">
        <f t="shared" si="11"/>
        <v>0</v>
      </c>
    </row>
    <row r="49" spans="1:53" x14ac:dyDescent="0.25">
      <c r="A49" s="13" t="s">
        <v>266</v>
      </c>
      <c r="B49" s="85" t="s">
        <v>275</v>
      </c>
      <c r="C49" s="13"/>
      <c r="D49" s="60">
        <v>8966</v>
      </c>
      <c r="E49" s="86">
        <v>195</v>
      </c>
      <c r="F49" s="61">
        <f t="shared" si="13"/>
        <v>1748370</v>
      </c>
      <c r="G49" s="23">
        <f t="shared" si="2"/>
        <v>1748370</v>
      </c>
      <c r="H49" s="2" t="s">
        <v>268</v>
      </c>
      <c r="I49" s="50">
        <f t="shared" si="12"/>
        <v>1</v>
      </c>
      <c r="J49" s="87">
        <f t="shared" si="3"/>
        <v>1</v>
      </c>
      <c r="K49" s="88">
        <v>0</v>
      </c>
      <c r="L49" s="3">
        <f t="shared" si="4"/>
        <v>2</v>
      </c>
      <c r="M49" s="61">
        <f t="shared" si="5"/>
        <v>1748370</v>
      </c>
      <c r="N49" s="89">
        <v>44286</v>
      </c>
      <c r="O49" s="90">
        <f t="shared" si="6"/>
        <v>44286</v>
      </c>
      <c r="P49" s="3">
        <f t="shared" si="7"/>
        <v>1</v>
      </c>
      <c r="Q49" s="61">
        <f t="shared" si="8"/>
        <v>0</v>
      </c>
      <c r="R49" s="61">
        <f t="shared" si="8"/>
        <v>0</v>
      </c>
      <c r="S49" s="207">
        <f t="shared" si="8"/>
        <v>0</v>
      </c>
      <c r="T49" s="61">
        <f t="shared" si="8"/>
        <v>0</v>
      </c>
      <c r="U49" s="61">
        <f t="shared" si="8"/>
        <v>0</v>
      </c>
      <c r="V49" s="61">
        <f t="shared" si="8"/>
        <v>0</v>
      </c>
      <c r="W49" s="61">
        <f t="shared" si="8"/>
        <v>0</v>
      </c>
      <c r="X49" s="61">
        <f t="shared" si="8"/>
        <v>0</v>
      </c>
      <c r="Y49" s="61">
        <f t="shared" si="8"/>
        <v>0</v>
      </c>
      <c r="Z49" s="61">
        <f t="shared" si="8"/>
        <v>0</v>
      </c>
      <c r="AA49" s="61">
        <f t="shared" si="8"/>
        <v>0</v>
      </c>
      <c r="AB49" s="61">
        <f t="shared" si="8"/>
        <v>0</v>
      </c>
      <c r="AC49" s="207">
        <f t="shared" si="8"/>
        <v>0</v>
      </c>
      <c r="AD49" s="61">
        <f t="shared" si="8"/>
        <v>0</v>
      </c>
      <c r="AE49" s="61">
        <f t="shared" si="8"/>
        <v>1748370</v>
      </c>
      <c r="AF49" s="61">
        <f t="shared" si="8"/>
        <v>0</v>
      </c>
      <c r="AG49" s="61">
        <f t="shared" si="9"/>
        <v>0</v>
      </c>
      <c r="AH49" s="61">
        <f t="shared" si="9"/>
        <v>0</v>
      </c>
      <c r="AI49" s="61">
        <f t="shared" si="9"/>
        <v>0</v>
      </c>
      <c r="AJ49" s="61">
        <f t="shared" si="9"/>
        <v>0</v>
      </c>
      <c r="AK49" s="61">
        <f t="shared" si="9"/>
        <v>0</v>
      </c>
      <c r="AL49" s="61">
        <f t="shared" si="9"/>
        <v>0</v>
      </c>
      <c r="AM49" s="61">
        <f t="shared" si="9"/>
        <v>0</v>
      </c>
      <c r="AN49" s="61">
        <f t="shared" si="9"/>
        <v>0</v>
      </c>
      <c r="AO49" s="61">
        <f t="shared" si="9"/>
        <v>0</v>
      </c>
      <c r="AP49" s="61">
        <f t="shared" si="9"/>
        <v>0</v>
      </c>
      <c r="AQ49" s="61">
        <f t="shared" si="9"/>
        <v>0</v>
      </c>
      <c r="AR49" s="61">
        <f t="shared" si="9"/>
        <v>0</v>
      </c>
      <c r="AS49" s="61">
        <f t="shared" si="9"/>
        <v>0</v>
      </c>
      <c r="AT49" s="61">
        <f t="shared" si="9"/>
        <v>0</v>
      </c>
      <c r="AU49" s="61">
        <f t="shared" si="9"/>
        <v>0</v>
      </c>
      <c r="AV49" s="103">
        <f t="shared" si="10"/>
        <v>1748370</v>
      </c>
      <c r="AW49" s="36">
        <f t="shared" si="11"/>
        <v>0</v>
      </c>
    </row>
    <row r="50" spans="1:53" x14ac:dyDescent="0.25">
      <c r="A50" s="13" t="s">
        <v>266</v>
      </c>
      <c r="B50" s="85" t="s">
        <v>276</v>
      </c>
      <c r="C50" s="13"/>
      <c r="D50" s="60">
        <v>8966</v>
      </c>
      <c r="E50" s="86">
        <v>195</v>
      </c>
      <c r="F50" s="61">
        <f t="shared" si="13"/>
        <v>1748370</v>
      </c>
      <c r="G50" s="23">
        <f t="shared" si="2"/>
        <v>1748370</v>
      </c>
      <c r="H50" s="2" t="s">
        <v>268</v>
      </c>
      <c r="I50" s="50">
        <f t="shared" si="12"/>
        <v>1</v>
      </c>
      <c r="J50" s="87">
        <f t="shared" si="3"/>
        <v>1</v>
      </c>
      <c r="K50" s="88">
        <v>0</v>
      </c>
      <c r="L50" s="3">
        <f t="shared" si="4"/>
        <v>4</v>
      </c>
      <c r="M50" s="61">
        <f t="shared" si="5"/>
        <v>1748370</v>
      </c>
      <c r="N50" s="89">
        <v>44347</v>
      </c>
      <c r="O50" s="90">
        <f t="shared" si="6"/>
        <v>44347</v>
      </c>
      <c r="P50" s="3">
        <f t="shared" si="7"/>
        <v>1</v>
      </c>
      <c r="Q50" s="61">
        <f t="shared" si="8"/>
        <v>0</v>
      </c>
      <c r="R50" s="61">
        <f t="shared" si="8"/>
        <v>0</v>
      </c>
      <c r="S50" s="207">
        <f t="shared" si="8"/>
        <v>0</v>
      </c>
      <c r="T50" s="61">
        <f t="shared" si="8"/>
        <v>0</v>
      </c>
      <c r="U50" s="61">
        <f t="shared" si="8"/>
        <v>0</v>
      </c>
      <c r="V50" s="61">
        <f t="shared" si="8"/>
        <v>0</v>
      </c>
      <c r="W50" s="61">
        <f t="shared" si="8"/>
        <v>0</v>
      </c>
      <c r="X50" s="61">
        <f t="shared" si="8"/>
        <v>0</v>
      </c>
      <c r="Y50" s="61">
        <f t="shared" si="8"/>
        <v>0</v>
      </c>
      <c r="Z50" s="61">
        <f t="shared" si="8"/>
        <v>0</v>
      </c>
      <c r="AA50" s="61">
        <f t="shared" si="8"/>
        <v>0</v>
      </c>
      <c r="AB50" s="61">
        <f t="shared" si="8"/>
        <v>0</v>
      </c>
      <c r="AC50" s="207">
        <f t="shared" si="8"/>
        <v>0</v>
      </c>
      <c r="AD50" s="61">
        <f t="shared" si="8"/>
        <v>0</v>
      </c>
      <c r="AE50" s="61">
        <f t="shared" si="8"/>
        <v>0</v>
      </c>
      <c r="AF50" s="61">
        <f t="shared" si="8"/>
        <v>0</v>
      </c>
      <c r="AG50" s="61">
        <f t="shared" si="9"/>
        <v>1748370</v>
      </c>
      <c r="AH50" s="61">
        <f t="shared" si="9"/>
        <v>0</v>
      </c>
      <c r="AI50" s="61">
        <f t="shared" si="9"/>
        <v>0</v>
      </c>
      <c r="AJ50" s="61">
        <f t="shared" si="9"/>
        <v>0</v>
      </c>
      <c r="AK50" s="61">
        <f t="shared" si="9"/>
        <v>0</v>
      </c>
      <c r="AL50" s="61">
        <f t="shared" si="9"/>
        <v>0</v>
      </c>
      <c r="AM50" s="61">
        <f t="shared" si="9"/>
        <v>0</v>
      </c>
      <c r="AN50" s="61">
        <f t="shared" si="9"/>
        <v>0</v>
      </c>
      <c r="AO50" s="61">
        <f t="shared" si="9"/>
        <v>0</v>
      </c>
      <c r="AP50" s="61">
        <f t="shared" si="9"/>
        <v>0</v>
      </c>
      <c r="AQ50" s="61">
        <f t="shared" si="9"/>
        <v>0</v>
      </c>
      <c r="AR50" s="61">
        <f t="shared" si="9"/>
        <v>0</v>
      </c>
      <c r="AS50" s="61">
        <f t="shared" si="9"/>
        <v>0</v>
      </c>
      <c r="AT50" s="61">
        <f t="shared" si="9"/>
        <v>0</v>
      </c>
      <c r="AU50" s="61">
        <f t="shared" si="9"/>
        <v>0</v>
      </c>
      <c r="AV50" s="103">
        <f t="shared" si="10"/>
        <v>1748370</v>
      </c>
      <c r="AW50" s="36">
        <f t="shared" si="11"/>
        <v>0</v>
      </c>
    </row>
    <row r="51" spans="1:53" x14ac:dyDescent="0.25">
      <c r="A51" s="13" t="s">
        <v>266</v>
      </c>
      <c r="B51" s="85" t="s">
        <v>277</v>
      </c>
      <c r="C51" s="13"/>
      <c r="D51" s="60">
        <v>9945</v>
      </c>
      <c r="E51" s="86">
        <v>195</v>
      </c>
      <c r="F51" s="61">
        <f t="shared" si="13"/>
        <v>1939275</v>
      </c>
      <c r="G51" s="23">
        <f t="shared" si="2"/>
        <v>1939275</v>
      </c>
      <c r="H51" s="2" t="s">
        <v>268</v>
      </c>
      <c r="I51" s="50">
        <f t="shared" si="12"/>
        <v>1</v>
      </c>
      <c r="J51" s="87">
        <f t="shared" si="3"/>
        <v>1</v>
      </c>
      <c r="K51" s="88">
        <v>0</v>
      </c>
      <c r="L51" s="3">
        <f t="shared" si="4"/>
        <v>6</v>
      </c>
      <c r="M51" s="61">
        <f t="shared" si="5"/>
        <v>1939275</v>
      </c>
      <c r="N51" s="89">
        <v>44408</v>
      </c>
      <c r="O51" s="90">
        <f t="shared" si="6"/>
        <v>44408</v>
      </c>
      <c r="P51" s="3">
        <f t="shared" si="7"/>
        <v>1</v>
      </c>
      <c r="Q51" s="61">
        <f t="shared" si="8"/>
        <v>0</v>
      </c>
      <c r="R51" s="61">
        <f t="shared" si="8"/>
        <v>0</v>
      </c>
      <c r="S51" s="207">
        <f t="shared" si="8"/>
        <v>0</v>
      </c>
      <c r="T51" s="61">
        <f t="shared" si="8"/>
        <v>0</v>
      </c>
      <c r="U51" s="61">
        <f t="shared" si="8"/>
        <v>0</v>
      </c>
      <c r="V51" s="61">
        <f t="shared" si="8"/>
        <v>0</v>
      </c>
      <c r="W51" s="61">
        <f t="shared" si="8"/>
        <v>0</v>
      </c>
      <c r="X51" s="61">
        <f t="shared" si="8"/>
        <v>0</v>
      </c>
      <c r="Y51" s="61">
        <f t="shared" si="8"/>
        <v>0</v>
      </c>
      <c r="Z51" s="61">
        <f t="shared" si="8"/>
        <v>0</v>
      </c>
      <c r="AA51" s="61">
        <f t="shared" si="8"/>
        <v>0</v>
      </c>
      <c r="AB51" s="61">
        <f t="shared" si="8"/>
        <v>0</v>
      </c>
      <c r="AC51" s="207">
        <f t="shared" si="8"/>
        <v>0</v>
      </c>
      <c r="AD51" s="61">
        <f t="shared" si="8"/>
        <v>0</v>
      </c>
      <c r="AE51" s="61">
        <f t="shared" si="8"/>
        <v>0</v>
      </c>
      <c r="AF51" s="61">
        <f t="shared" si="8"/>
        <v>0</v>
      </c>
      <c r="AG51" s="61">
        <f t="shared" si="9"/>
        <v>0</v>
      </c>
      <c r="AH51" s="61">
        <f t="shared" si="9"/>
        <v>0</v>
      </c>
      <c r="AI51" s="61">
        <f t="shared" si="9"/>
        <v>1939275</v>
      </c>
      <c r="AJ51" s="61">
        <f t="shared" si="9"/>
        <v>0</v>
      </c>
      <c r="AK51" s="61">
        <f t="shared" si="9"/>
        <v>0</v>
      </c>
      <c r="AL51" s="61">
        <f t="shared" si="9"/>
        <v>0</v>
      </c>
      <c r="AM51" s="61">
        <f t="shared" si="9"/>
        <v>0</v>
      </c>
      <c r="AN51" s="61">
        <f t="shared" si="9"/>
        <v>0</v>
      </c>
      <c r="AO51" s="61">
        <f t="shared" si="9"/>
        <v>0</v>
      </c>
      <c r="AP51" s="61">
        <f t="shared" si="9"/>
        <v>0</v>
      </c>
      <c r="AQ51" s="61">
        <f t="shared" si="9"/>
        <v>0</v>
      </c>
      <c r="AR51" s="61">
        <f t="shared" si="9"/>
        <v>0</v>
      </c>
      <c r="AS51" s="61">
        <f t="shared" si="9"/>
        <v>0</v>
      </c>
      <c r="AT51" s="61">
        <f t="shared" si="9"/>
        <v>0</v>
      </c>
      <c r="AU51" s="61">
        <f t="shared" si="9"/>
        <v>0</v>
      </c>
      <c r="AV51" s="103">
        <f t="shared" si="10"/>
        <v>1939275</v>
      </c>
      <c r="AW51" s="36">
        <f t="shared" si="11"/>
        <v>0</v>
      </c>
    </row>
    <row r="52" spans="1:53" x14ac:dyDescent="0.25">
      <c r="A52" s="13" t="s">
        <v>266</v>
      </c>
      <c r="B52" s="85" t="s">
        <v>278</v>
      </c>
      <c r="C52" s="13"/>
      <c r="D52" s="60">
        <v>22873</v>
      </c>
      <c r="E52" s="86">
        <v>182.5</v>
      </c>
      <c r="F52" s="61">
        <f t="shared" si="13"/>
        <v>4174322.5</v>
      </c>
      <c r="G52" s="23">
        <f t="shared" si="2"/>
        <v>4174322.5</v>
      </c>
      <c r="H52" s="2" t="s">
        <v>268</v>
      </c>
      <c r="I52" s="50">
        <f t="shared" si="12"/>
        <v>1</v>
      </c>
      <c r="J52" s="87">
        <f t="shared" si="3"/>
        <v>1</v>
      </c>
      <c r="K52" s="88">
        <v>0</v>
      </c>
      <c r="L52" s="3">
        <f t="shared" si="4"/>
        <v>10</v>
      </c>
      <c r="M52" s="61">
        <f t="shared" si="5"/>
        <v>4174322.5</v>
      </c>
      <c r="N52" s="89">
        <v>44530</v>
      </c>
      <c r="O52" s="90">
        <f t="shared" si="6"/>
        <v>44530</v>
      </c>
      <c r="P52" s="3">
        <f t="shared" si="7"/>
        <v>1</v>
      </c>
      <c r="Q52" s="61">
        <f t="shared" si="8"/>
        <v>0</v>
      </c>
      <c r="R52" s="61">
        <f t="shared" si="8"/>
        <v>0</v>
      </c>
      <c r="S52" s="207">
        <f t="shared" si="8"/>
        <v>0</v>
      </c>
      <c r="T52" s="61">
        <f t="shared" si="8"/>
        <v>0</v>
      </c>
      <c r="U52" s="61">
        <f t="shared" si="8"/>
        <v>0</v>
      </c>
      <c r="V52" s="61">
        <f t="shared" si="8"/>
        <v>0</v>
      </c>
      <c r="W52" s="61">
        <f t="shared" si="8"/>
        <v>0</v>
      </c>
      <c r="X52" s="61">
        <f t="shared" si="8"/>
        <v>0</v>
      </c>
      <c r="Y52" s="61">
        <f t="shared" si="8"/>
        <v>0</v>
      </c>
      <c r="Z52" s="61">
        <f t="shared" si="8"/>
        <v>0</v>
      </c>
      <c r="AA52" s="61">
        <f t="shared" si="8"/>
        <v>0</v>
      </c>
      <c r="AB52" s="61">
        <f t="shared" si="8"/>
        <v>0</v>
      </c>
      <c r="AC52" s="207">
        <f t="shared" si="8"/>
        <v>0</v>
      </c>
      <c r="AD52" s="61">
        <f t="shared" si="8"/>
        <v>0</v>
      </c>
      <c r="AE52" s="61">
        <f t="shared" si="8"/>
        <v>0</v>
      </c>
      <c r="AF52" s="61">
        <f t="shared" si="8"/>
        <v>0</v>
      </c>
      <c r="AG52" s="61">
        <f t="shared" si="9"/>
        <v>0</v>
      </c>
      <c r="AH52" s="61">
        <f t="shared" si="9"/>
        <v>0</v>
      </c>
      <c r="AI52" s="61">
        <f t="shared" si="9"/>
        <v>0</v>
      </c>
      <c r="AJ52" s="61">
        <f t="shared" si="9"/>
        <v>0</v>
      </c>
      <c r="AK52" s="61">
        <f t="shared" si="9"/>
        <v>0</v>
      </c>
      <c r="AL52" s="61">
        <f t="shared" si="9"/>
        <v>0</v>
      </c>
      <c r="AM52" s="61">
        <f t="shared" si="9"/>
        <v>4174322.5</v>
      </c>
      <c r="AN52" s="61">
        <f t="shared" si="9"/>
        <v>0</v>
      </c>
      <c r="AO52" s="61">
        <f t="shared" si="9"/>
        <v>0</v>
      </c>
      <c r="AP52" s="61">
        <f t="shared" si="9"/>
        <v>0</v>
      </c>
      <c r="AQ52" s="61">
        <f t="shared" si="9"/>
        <v>0</v>
      </c>
      <c r="AR52" s="61">
        <f t="shared" si="9"/>
        <v>0</v>
      </c>
      <c r="AS52" s="61">
        <f t="shared" si="9"/>
        <v>0</v>
      </c>
      <c r="AT52" s="61">
        <f t="shared" si="9"/>
        <v>0</v>
      </c>
      <c r="AU52" s="61">
        <f t="shared" si="9"/>
        <v>0</v>
      </c>
      <c r="AV52" s="103">
        <f t="shared" si="10"/>
        <v>4174322.5</v>
      </c>
      <c r="AW52" s="36">
        <f t="shared" si="11"/>
        <v>0</v>
      </c>
    </row>
    <row r="53" spans="1:53" x14ac:dyDescent="0.25">
      <c r="A53" s="13" t="s">
        <v>266</v>
      </c>
      <c r="B53" s="85" t="s">
        <v>279</v>
      </c>
      <c r="C53" s="13"/>
      <c r="D53" s="60">
        <v>20484</v>
      </c>
      <c r="E53" s="86">
        <v>182.5</v>
      </c>
      <c r="F53" s="61">
        <f>E53*D53</f>
        <v>3738330</v>
      </c>
      <c r="G53" s="23">
        <f>F53*$F$38</f>
        <v>3738330</v>
      </c>
      <c r="H53" s="2" t="s">
        <v>268</v>
      </c>
      <c r="I53" s="50">
        <f t="shared" si="12"/>
        <v>1</v>
      </c>
      <c r="J53" s="87">
        <f>1/I53</f>
        <v>1</v>
      </c>
      <c r="K53" s="88">
        <v>0</v>
      </c>
      <c r="L53" s="3">
        <f t="shared" si="4"/>
        <v>11</v>
      </c>
      <c r="M53" s="61">
        <f t="shared" si="5"/>
        <v>3738330</v>
      </c>
      <c r="N53" s="89">
        <v>44561</v>
      </c>
      <c r="O53" s="90">
        <f>N53</f>
        <v>44561</v>
      </c>
      <c r="P53" s="3">
        <f>ROUND((O53-N53)/365*12,0)+1</f>
        <v>1</v>
      </c>
      <c r="Q53" s="61">
        <f t="shared" si="8"/>
        <v>0</v>
      </c>
      <c r="R53" s="61">
        <f t="shared" si="8"/>
        <v>0</v>
      </c>
      <c r="S53" s="207">
        <f t="shared" si="8"/>
        <v>0</v>
      </c>
      <c r="T53" s="61">
        <f t="shared" si="8"/>
        <v>0</v>
      </c>
      <c r="U53" s="61">
        <f t="shared" si="8"/>
        <v>0</v>
      </c>
      <c r="V53" s="61">
        <f t="shared" si="8"/>
        <v>0</v>
      </c>
      <c r="W53" s="61">
        <f t="shared" si="8"/>
        <v>0</v>
      </c>
      <c r="X53" s="61">
        <f t="shared" si="8"/>
        <v>0</v>
      </c>
      <c r="Y53" s="61">
        <f t="shared" si="8"/>
        <v>0</v>
      </c>
      <c r="Z53" s="61">
        <f t="shared" si="8"/>
        <v>0</v>
      </c>
      <c r="AA53" s="61">
        <f t="shared" si="8"/>
        <v>0</v>
      </c>
      <c r="AB53" s="61">
        <f t="shared" si="8"/>
        <v>0</v>
      </c>
      <c r="AC53" s="207">
        <f t="shared" si="8"/>
        <v>0</v>
      </c>
      <c r="AD53" s="61">
        <f t="shared" si="8"/>
        <v>0</v>
      </c>
      <c r="AE53" s="61">
        <f t="shared" si="8"/>
        <v>0</v>
      </c>
      <c r="AF53" s="61">
        <f t="shared" si="8"/>
        <v>0</v>
      </c>
      <c r="AG53" s="61">
        <f t="shared" si="9"/>
        <v>0</v>
      </c>
      <c r="AH53" s="61">
        <f t="shared" si="9"/>
        <v>0</v>
      </c>
      <c r="AI53" s="61">
        <f t="shared" si="9"/>
        <v>0</v>
      </c>
      <c r="AJ53" s="61">
        <f t="shared" si="9"/>
        <v>0</v>
      </c>
      <c r="AK53" s="61">
        <f t="shared" si="9"/>
        <v>0</v>
      </c>
      <c r="AL53" s="61">
        <f t="shared" si="9"/>
        <v>0</v>
      </c>
      <c r="AM53" s="61">
        <f t="shared" si="9"/>
        <v>0</v>
      </c>
      <c r="AN53" s="61">
        <f t="shared" si="9"/>
        <v>3738330</v>
      </c>
      <c r="AO53" s="61">
        <f t="shared" si="9"/>
        <v>0</v>
      </c>
      <c r="AP53" s="61">
        <f t="shared" si="9"/>
        <v>0</v>
      </c>
      <c r="AQ53" s="61">
        <f t="shared" si="9"/>
        <v>0</v>
      </c>
      <c r="AR53" s="61">
        <f t="shared" si="9"/>
        <v>0</v>
      </c>
      <c r="AS53" s="61">
        <f t="shared" si="9"/>
        <v>0</v>
      </c>
      <c r="AT53" s="61">
        <f t="shared" si="9"/>
        <v>0</v>
      </c>
      <c r="AU53" s="61">
        <f t="shared" si="9"/>
        <v>0</v>
      </c>
      <c r="AV53" s="103">
        <f t="shared" si="10"/>
        <v>3738330</v>
      </c>
      <c r="AW53" s="36">
        <f t="shared" si="11"/>
        <v>0</v>
      </c>
    </row>
    <row r="54" spans="1:53" x14ac:dyDescent="0.25">
      <c r="A54" s="13"/>
      <c r="C54" s="13"/>
      <c r="D54" s="61"/>
      <c r="E54" s="92"/>
      <c r="F54" s="61"/>
      <c r="G54" s="23"/>
      <c r="I54" s="57"/>
      <c r="J54" s="87"/>
      <c r="K54" s="93"/>
      <c r="L54" s="93"/>
      <c r="M54" s="61"/>
      <c r="N54" s="90"/>
      <c r="O54" s="90"/>
      <c r="Q54" s="61"/>
      <c r="R54" s="61"/>
      <c r="S54" s="207"/>
      <c r="T54" s="61"/>
      <c r="U54" s="61"/>
      <c r="V54" s="61"/>
      <c r="W54" s="61"/>
      <c r="X54" s="61"/>
      <c r="Y54" s="61"/>
      <c r="Z54" s="61"/>
      <c r="AA54" s="61"/>
      <c r="AB54" s="61"/>
      <c r="AC54" s="207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103"/>
      <c r="AW54" s="36"/>
      <c r="AY54" s="154"/>
    </row>
    <row r="55" spans="1:53" ht="14.25" thickBot="1" x14ac:dyDescent="0.3">
      <c r="A55" s="13"/>
      <c r="B55" s="63"/>
      <c r="C55" s="13"/>
      <c r="D55" s="94">
        <f>SUM(D42:D54)</f>
        <v>113167</v>
      </c>
      <c r="E55" s="95"/>
      <c r="F55" s="94">
        <f>SUM(F42:F54)</f>
        <v>21685542.5</v>
      </c>
      <c r="G55" s="96">
        <f>M55/D55</f>
        <v>191.62425883870739</v>
      </c>
      <c r="I55" s="61"/>
      <c r="K55" s="36"/>
      <c r="M55" s="97">
        <f>SUM(M42:M54)</f>
        <v>21685542.5</v>
      </c>
      <c r="N55" s="98"/>
      <c r="O55" s="98"/>
      <c r="Q55" s="61"/>
      <c r="R55" s="61"/>
      <c r="S55" s="207"/>
      <c r="T55" s="61"/>
      <c r="U55" s="61"/>
      <c r="V55" s="61"/>
      <c r="W55" s="61"/>
      <c r="X55" s="61"/>
      <c r="Y55" s="61"/>
      <c r="Z55" s="61"/>
      <c r="AA55" s="61"/>
      <c r="AB55" s="61"/>
      <c r="AC55" s="207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103"/>
      <c r="AW55" s="36"/>
    </row>
    <row r="56" spans="1:53" ht="14.25" thickTop="1" x14ac:dyDescent="0.25">
      <c r="A56" s="13"/>
      <c r="B56" s="63"/>
      <c r="C56" s="13"/>
      <c r="D56" s="61"/>
      <c r="E56" s="95"/>
      <c r="F56" s="61"/>
      <c r="G56" s="96"/>
      <c r="I56" s="61"/>
      <c r="K56" s="36"/>
      <c r="M56" s="36"/>
      <c r="N56" s="99"/>
      <c r="O56" s="99"/>
      <c r="Q56" s="61"/>
      <c r="R56" s="61"/>
      <c r="S56" s="207"/>
      <c r="T56" s="61"/>
      <c r="U56" s="61"/>
      <c r="V56" s="61"/>
      <c r="W56" s="61"/>
      <c r="X56" s="61"/>
      <c r="Y56" s="61"/>
      <c r="Z56" s="61"/>
      <c r="AA56" s="61"/>
      <c r="AB56" s="61"/>
      <c r="AC56" s="207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S56" s="61"/>
      <c r="AT56" s="61"/>
      <c r="AU56" s="61"/>
      <c r="AV56" s="103"/>
      <c r="AW56" s="36"/>
      <c r="BA56" s="154"/>
    </row>
    <row r="57" spans="1:53" x14ac:dyDescent="0.25">
      <c r="A57" s="13"/>
      <c r="B57" s="63"/>
      <c r="C57" s="13"/>
      <c r="D57" s="61"/>
      <c r="E57" s="100"/>
      <c r="F57" s="100"/>
      <c r="I57" s="2"/>
      <c r="M57" s="61"/>
      <c r="N57" s="90"/>
      <c r="O57" s="90"/>
      <c r="Q57" s="61"/>
      <c r="R57" s="61"/>
      <c r="S57" s="207"/>
      <c r="T57" s="61"/>
      <c r="U57" s="61"/>
      <c r="V57" s="61"/>
      <c r="W57" s="61"/>
      <c r="X57" s="61"/>
      <c r="Y57" s="61"/>
      <c r="Z57" s="61"/>
      <c r="AA57" s="61"/>
      <c r="AB57" s="61"/>
      <c r="AC57" s="207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103">
        <f>SUM(Q57:AU57)</f>
        <v>0</v>
      </c>
      <c r="AW57" s="36">
        <f>SUM(Q57:AU57)-M57</f>
        <v>0</v>
      </c>
    </row>
    <row r="58" spans="1:53" ht="14.25" thickBot="1" x14ac:dyDescent="0.3">
      <c r="A58" s="13"/>
      <c r="B58" s="63" t="s">
        <v>280</v>
      </c>
      <c r="C58" s="13"/>
      <c r="H58" s="101"/>
      <c r="I58" s="2"/>
      <c r="L58" s="36"/>
      <c r="M58" s="102">
        <f>M55+M56</f>
        <v>21685542.5</v>
      </c>
      <c r="N58" s="90"/>
      <c r="O58" s="90"/>
      <c r="Q58" s="61"/>
      <c r="R58" s="61"/>
      <c r="S58" s="207"/>
      <c r="T58" s="61"/>
      <c r="U58" s="61"/>
      <c r="V58" s="61"/>
      <c r="W58" s="61"/>
      <c r="X58" s="61"/>
      <c r="Y58" s="61"/>
      <c r="Z58" s="61"/>
      <c r="AA58" s="61"/>
      <c r="AB58" s="61"/>
      <c r="AC58" s="207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103">
        <f>SUM(Q58:AU58)</f>
        <v>0</v>
      </c>
      <c r="AW58" s="36"/>
    </row>
    <row r="59" spans="1:53" ht="14.25" thickTop="1" x14ac:dyDescent="0.25">
      <c r="A59" s="13"/>
      <c r="B59" s="63"/>
      <c r="C59" s="63" t="str">
        <f>B1</f>
        <v>Aerial House, Chesham</v>
      </c>
      <c r="H59" s="104"/>
      <c r="I59" s="104"/>
      <c r="J59" s="104"/>
      <c r="N59" s="99"/>
      <c r="O59" s="99"/>
      <c r="Q59" s="61"/>
      <c r="R59" s="61"/>
      <c r="S59" s="207"/>
      <c r="T59" s="61"/>
      <c r="U59" s="61"/>
      <c r="V59" s="61"/>
      <c r="W59" s="61"/>
      <c r="X59" s="61"/>
      <c r="Y59" s="61"/>
      <c r="Z59" s="61"/>
      <c r="AA59" s="61"/>
      <c r="AB59" s="61"/>
      <c r="AC59" s="207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103">
        <f>SUM(Q59:AU59)</f>
        <v>0</v>
      </c>
      <c r="AW59" s="36">
        <f>SUM(Q59:AU59)-M59</f>
        <v>0</v>
      </c>
    </row>
    <row r="60" spans="1:53" x14ac:dyDescent="0.25">
      <c r="A60" s="13"/>
      <c r="B60" s="63"/>
      <c r="C60" s="13" t="s">
        <v>281</v>
      </c>
      <c r="E60" s="53">
        <v>6.8000000000000005E-2</v>
      </c>
      <c r="I60" s="2"/>
      <c r="M60" s="61"/>
      <c r="N60" s="90"/>
      <c r="O60" s="90"/>
      <c r="Q60" s="61"/>
      <c r="R60" s="61"/>
      <c r="S60" s="207"/>
      <c r="T60" s="61"/>
      <c r="U60" s="61"/>
      <c r="V60" s="61"/>
      <c r="W60" s="61"/>
      <c r="X60" s="61"/>
      <c r="Y60" s="61"/>
      <c r="Z60" s="61"/>
      <c r="AA60" s="61"/>
      <c r="AB60" s="61"/>
      <c r="AC60" s="207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103">
        <f>SUM(Q60:AU60)</f>
        <v>0</v>
      </c>
      <c r="AW60" s="36">
        <f>SUM(Q60:AU60)-M60</f>
        <v>0</v>
      </c>
    </row>
    <row r="61" spans="1:53" x14ac:dyDescent="0.25">
      <c r="A61" s="13"/>
      <c r="C61" s="105"/>
      <c r="F61" s="106"/>
      <c r="G61" s="107"/>
      <c r="I61" s="2"/>
      <c r="N61" s="90"/>
      <c r="O61" s="90"/>
      <c r="Q61" s="61"/>
      <c r="R61" s="61"/>
      <c r="S61" s="207"/>
      <c r="T61" s="61"/>
      <c r="U61" s="61"/>
      <c r="V61" s="61"/>
      <c r="W61" s="61"/>
      <c r="X61" s="61"/>
      <c r="Y61" s="61"/>
      <c r="Z61" s="61"/>
      <c r="AA61" s="61"/>
      <c r="AB61" s="61"/>
      <c r="AC61" s="207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103"/>
      <c r="AW61" s="36"/>
    </row>
    <row r="62" spans="1:53" ht="14.25" thickBot="1" x14ac:dyDescent="0.3">
      <c r="A62" s="13"/>
      <c r="B62" s="63"/>
      <c r="C62" s="13" t="s">
        <v>282</v>
      </c>
      <c r="D62" s="96">
        <v>4</v>
      </c>
      <c r="E62" s="108">
        <f>F62/D62</f>
        <v>2037500</v>
      </c>
      <c r="F62" s="60">
        <v>8150000</v>
      </c>
      <c r="G62" s="88">
        <v>1</v>
      </c>
      <c r="H62" s="109"/>
      <c r="I62" s="57"/>
      <c r="K62" s="192"/>
      <c r="L62" s="36"/>
      <c r="M62" s="36">
        <f>-F62-M63</f>
        <v>-8150000</v>
      </c>
      <c r="N62" s="89">
        <v>43861</v>
      </c>
      <c r="O62" s="90">
        <f t="shared" ref="O62:O71" si="14">EOMONTH(N62,G62-1)</f>
        <v>43861</v>
      </c>
      <c r="P62" s="3">
        <f t="shared" ref="P62:P71" si="15">ROUND((O62-N62)/365*12,0)+1</f>
        <v>1</v>
      </c>
      <c r="Q62" s="61">
        <f t="shared" ref="Q62:AS71" si="16">IF(OR(Q$41&lt;$N62,Q$41&gt;$O62),0,$M62/$P62)</f>
        <v>-8150000</v>
      </c>
      <c r="R62" s="61">
        <f t="shared" si="16"/>
        <v>0</v>
      </c>
      <c r="S62" s="207">
        <f t="shared" si="16"/>
        <v>0</v>
      </c>
      <c r="T62" s="61">
        <f t="shared" si="16"/>
        <v>0</v>
      </c>
      <c r="U62" s="61">
        <f t="shared" si="16"/>
        <v>0</v>
      </c>
      <c r="V62" s="61">
        <f t="shared" si="16"/>
        <v>0</v>
      </c>
      <c r="W62" s="61">
        <f t="shared" si="16"/>
        <v>0</v>
      </c>
      <c r="X62" s="61">
        <f t="shared" si="16"/>
        <v>0</v>
      </c>
      <c r="Y62" s="61">
        <f t="shared" si="16"/>
        <v>0</v>
      </c>
      <c r="Z62" s="61">
        <f t="shared" si="16"/>
        <v>0</v>
      </c>
      <c r="AA62" s="61">
        <f t="shared" si="16"/>
        <v>0</v>
      </c>
      <c r="AB62" s="61">
        <f t="shared" si="16"/>
        <v>0</v>
      </c>
      <c r="AC62" s="207">
        <f t="shared" si="16"/>
        <v>0</v>
      </c>
      <c r="AD62" s="61">
        <f t="shared" si="16"/>
        <v>0</v>
      </c>
      <c r="AE62" s="61">
        <f t="shared" si="16"/>
        <v>0</v>
      </c>
      <c r="AF62" s="61">
        <f t="shared" si="16"/>
        <v>0</v>
      </c>
      <c r="AG62" s="61">
        <f t="shared" si="16"/>
        <v>0</v>
      </c>
      <c r="AH62" s="61">
        <f t="shared" si="16"/>
        <v>0</v>
      </c>
      <c r="AI62" s="61">
        <f t="shared" si="16"/>
        <v>0</v>
      </c>
      <c r="AJ62" s="61">
        <f t="shared" si="16"/>
        <v>0</v>
      </c>
      <c r="AK62" s="61">
        <f t="shared" si="16"/>
        <v>0</v>
      </c>
      <c r="AL62" s="61">
        <f t="shared" si="16"/>
        <v>0</v>
      </c>
      <c r="AM62" s="61">
        <f t="shared" si="16"/>
        <v>0</v>
      </c>
      <c r="AN62" s="61">
        <f t="shared" si="16"/>
        <v>0</v>
      </c>
      <c r="AO62" s="61">
        <f t="shared" si="16"/>
        <v>0</v>
      </c>
      <c r="AP62" s="61">
        <f t="shared" si="16"/>
        <v>0</v>
      </c>
      <c r="AQ62" s="61">
        <f t="shared" si="16"/>
        <v>0</v>
      </c>
      <c r="AR62" s="61">
        <f t="shared" si="16"/>
        <v>0</v>
      </c>
      <c r="AS62" s="61">
        <f t="shared" si="16"/>
        <v>0</v>
      </c>
      <c r="AT62" s="61">
        <f t="shared" ref="AT62:AU72" si="17">IF(OR(AT$41&lt;$N62,AT$41&gt;$O62),0,$M62/$P62)</f>
        <v>0</v>
      </c>
      <c r="AU62" s="61">
        <f t="shared" si="17"/>
        <v>0</v>
      </c>
      <c r="AV62" s="103">
        <f>SUM(Q62:AU62)</f>
        <v>-8150000</v>
      </c>
      <c r="AW62" s="36">
        <f>SUM(Q62:AU62)-M62</f>
        <v>0</v>
      </c>
    </row>
    <row r="63" spans="1:53" ht="14.25" thickBot="1" x14ac:dyDescent="0.3">
      <c r="A63" s="13"/>
      <c r="B63" s="63"/>
      <c r="C63" s="44" t="s">
        <v>283</v>
      </c>
      <c r="D63" s="110" t="s">
        <v>8</v>
      </c>
      <c r="F63" s="61"/>
      <c r="G63" s="88">
        <v>1</v>
      </c>
      <c r="H63" s="111"/>
      <c r="I63" s="61"/>
      <c r="K63" s="192"/>
      <c r="L63" s="36"/>
      <c r="M63" s="36">
        <v>0</v>
      </c>
      <c r="N63" s="89">
        <v>43404</v>
      </c>
      <c r="O63" s="90">
        <f t="shared" si="14"/>
        <v>43404</v>
      </c>
      <c r="P63" s="3">
        <f t="shared" si="15"/>
        <v>1</v>
      </c>
      <c r="Q63" s="61">
        <f t="shared" si="16"/>
        <v>0</v>
      </c>
      <c r="R63" s="61">
        <f t="shared" si="16"/>
        <v>0</v>
      </c>
      <c r="S63" s="207">
        <f t="shared" si="16"/>
        <v>0</v>
      </c>
      <c r="T63" s="61">
        <f t="shared" si="16"/>
        <v>0</v>
      </c>
      <c r="U63" s="61">
        <f t="shared" si="16"/>
        <v>0</v>
      </c>
      <c r="V63" s="61">
        <f t="shared" si="16"/>
        <v>0</v>
      </c>
      <c r="W63" s="61">
        <f t="shared" si="16"/>
        <v>0</v>
      </c>
      <c r="X63" s="61">
        <f t="shared" si="16"/>
        <v>0</v>
      </c>
      <c r="Y63" s="61">
        <f t="shared" si="16"/>
        <v>0</v>
      </c>
      <c r="Z63" s="61">
        <f t="shared" si="16"/>
        <v>0</v>
      </c>
      <c r="AA63" s="61">
        <f t="shared" si="16"/>
        <v>0</v>
      </c>
      <c r="AB63" s="61">
        <f t="shared" si="16"/>
        <v>0</v>
      </c>
      <c r="AC63" s="207">
        <f t="shared" si="16"/>
        <v>0</v>
      </c>
      <c r="AD63" s="61">
        <f t="shared" si="16"/>
        <v>0</v>
      </c>
      <c r="AE63" s="61">
        <f t="shared" si="16"/>
        <v>0</v>
      </c>
      <c r="AF63" s="61">
        <f t="shared" si="16"/>
        <v>0</v>
      </c>
      <c r="AG63" s="61">
        <f t="shared" si="16"/>
        <v>0</v>
      </c>
      <c r="AH63" s="61">
        <f t="shared" si="16"/>
        <v>0</v>
      </c>
      <c r="AI63" s="61">
        <f t="shared" si="16"/>
        <v>0</v>
      </c>
      <c r="AJ63" s="61">
        <f t="shared" si="16"/>
        <v>0</v>
      </c>
      <c r="AK63" s="61">
        <f t="shared" si="16"/>
        <v>0</v>
      </c>
      <c r="AL63" s="61">
        <f t="shared" si="16"/>
        <v>0</v>
      </c>
      <c r="AM63" s="61">
        <f t="shared" si="16"/>
        <v>0</v>
      </c>
      <c r="AN63" s="61">
        <f t="shared" si="16"/>
        <v>0</v>
      </c>
      <c r="AO63" s="61">
        <f t="shared" si="16"/>
        <v>0</v>
      </c>
      <c r="AP63" s="61">
        <f t="shared" si="16"/>
        <v>0</v>
      </c>
      <c r="AQ63" s="61">
        <f t="shared" si="16"/>
        <v>0</v>
      </c>
      <c r="AR63" s="61">
        <f t="shared" si="16"/>
        <v>0</v>
      </c>
      <c r="AS63" s="61">
        <f t="shared" si="16"/>
        <v>0</v>
      </c>
      <c r="AT63" s="61">
        <f t="shared" si="17"/>
        <v>0</v>
      </c>
      <c r="AU63" s="61">
        <f t="shared" si="17"/>
        <v>0</v>
      </c>
      <c r="AV63" s="103">
        <f>SUM(Q63:AU63)</f>
        <v>0</v>
      </c>
      <c r="AW63" s="36">
        <f>SUM(Q63:AU63)-M63</f>
        <v>0</v>
      </c>
    </row>
    <row r="64" spans="1:53" x14ac:dyDescent="0.25">
      <c r="A64" s="13"/>
      <c r="B64" s="63"/>
      <c r="C64" s="13" t="s">
        <v>284</v>
      </c>
      <c r="E64" s="57">
        <f>F64/F62</f>
        <v>4.8711656441717793E-2</v>
      </c>
      <c r="F64" s="61">
        <f>IF(D63="yes",((F62*1.2)-250000)*0.05+100000*0.02,(F62-250000)*0.05+100000*0.02)</f>
        <v>397000</v>
      </c>
      <c r="G64" s="88">
        <v>1</v>
      </c>
      <c r="H64" s="61"/>
      <c r="I64" s="61"/>
      <c r="K64" s="192"/>
      <c r="L64" s="36"/>
      <c r="M64" s="36">
        <f t="shared" ref="M64:M71" si="18">-F64</f>
        <v>-397000</v>
      </c>
      <c r="N64" s="90">
        <f>N62</f>
        <v>43861</v>
      </c>
      <c r="O64" s="90">
        <f t="shared" si="14"/>
        <v>43861</v>
      </c>
      <c r="P64" s="3">
        <f t="shared" si="15"/>
        <v>1</v>
      </c>
      <c r="Q64" s="61">
        <f t="shared" si="16"/>
        <v>-397000</v>
      </c>
      <c r="R64" s="61">
        <f t="shared" si="16"/>
        <v>0</v>
      </c>
      <c r="S64" s="207">
        <f t="shared" si="16"/>
        <v>0</v>
      </c>
      <c r="T64" s="61">
        <f t="shared" si="16"/>
        <v>0</v>
      </c>
      <c r="U64" s="61">
        <f t="shared" si="16"/>
        <v>0</v>
      </c>
      <c r="V64" s="61">
        <f t="shared" si="16"/>
        <v>0</v>
      </c>
      <c r="W64" s="61">
        <f t="shared" si="16"/>
        <v>0</v>
      </c>
      <c r="X64" s="61">
        <f t="shared" si="16"/>
        <v>0</v>
      </c>
      <c r="Y64" s="61">
        <f t="shared" si="16"/>
        <v>0</v>
      </c>
      <c r="Z64" s="61">
        <f t="shared" si="16"/>
        <v>0</v>
      </c>
      <c r="AA64" s="61">
        <f t="shared" si="16"/>
        <v>0</v>
      </c>
      <c r="AB64" s="61">
        <f t="shared" si="16"/>
        <v>0</v>
      </c>
      <c r="AC64" s="207">
        <f t="shared" si="16"/>
        <v>0</v>
      </c>
      <c r="AD64" s="61">
        <f t="shared" si="16"/>
        <v>0</v>
      </c>
      <c r="AE64" s="61">
        <f t="shared" si="16"/>
        <v>0</v>
      </c>
      <c r="AF64" s="61">
        <f t="shared" si="16"/>
        <v>0</v>
      </c>
      <c r="AG64" s="61">
        <f t="shared" si="16"/>
        <v>0</v>
      </c>
      <c r="AH64" s="61">
        <f t="shared" si="16"/>
        <v>0</v>
      </c>
      <c r="AI64" s="61">
        <f t="shared" si="16"/>
        <v>0</v>
      </c>
      <c r="AJ64" s="61">
        <f t="shared" si="16"/>
        <v>0</v>
      </c>
      <c r="AK64" s="61">
        <f t="shared" si="16"/>
        <v>0</v>
      </c>
      <c r="AL64" s="61">
        <f t="shared" si="16"/>
        <v>0</v>
      </c>
      <c r="AM64" s="61">
        <f t="shared" si="16"/>
        <v>0</v>
      </c>
      <c r="AN64" s="61">
        <f t="shared" si="16"/>
        <v>0</v>
      </c>
      <c r="AO64" s="61">
        <f t="shared" si="16"/>
        <v>0</v>
      </c>
      <c r="AP64" s="61">
        <f t="shared" si="16"/>
        <v>0</v>
      </c>
      <c r="AQ64" s="61">
        <f t="shared" si="16"/>
        <v>0</v>
      </c>
      <c r="AR64" s="61">
        <f t="shared" si="16"/>
        <v>0</v>
      </c>
      <c r="AS64" s="61">
        <f t="shared" si="16"/>
        <v>0</v>
      </c>
      <c r="AT64" s="61">
        <f t="shared" si="17"/>
        <v>0</v>
      </c>
      <c r="AU64" s="61">
        <f t="shared" si="17"/>
        <v>0</v>
      </c>
      <c r="AV64" s="103">
        <f>SUM(Q64:AU64)</f>
        <v>-397000</v>
      </c>
      <c r="AW64" s="36">
        <f>SUM(Q64:AU64)-M64</f>
        <v>0</v>
      </c>
    </row>
    <row r="65" spans="1:49" x14ac:dyDescent="0.25">
      <c r="A65" s="13"/>
      <c r="B65" s="63"/>
      <c r="C65" s="13" t="s">
        <v>285</v>
      </c>
      <c r="E65" s="53">
        <v>0.01</v>
      </c>
      <c r="F65" s="61">
        <f>(E65*F62)</f>
        <v>81500</v>
      </c>
      <c r="G65" s="88">
        <v>1</v>
      </c>
      <c r="H65" s="61"/>
      <c r="I65" s="61"/>
      <c r="K65" s="192"/>
      <c r="L65" s="36"/>
      <c r="M65" s="36">
        <f t="shared" si="18"/>
        <v>-81500</v>
      </c>
      <c r="N65" s="90">
        <f>N64</f>
        <v>43861</v>
      </c>
      <c r="O65" s="90">
        <f t="shared" si="14"/>
        <v>43861</v>
      </c>
      <c r="P65" s="3">
        <f t="shared" si="15"/>
        <v>1</v>
      </c>
      <c r="Q65" s="61">
        <f t="shared" si="16"/>
        <v>-81500</v>
      </c>
      <c r="R65" s="61">
        <f t="shared" si="16"/>
        <v>0</v>
      </c>
      <c r="S65" s="207">
        <f t="shared" si="16"/>
        <v>0</v>
      </c>
      <c r="T65" s="61">
        <f t="shared" si="16"/>
        <v>0</v>
      </c>
      <c r="U65" s="61">
        <f t="shared" si="16"/>
        <v>0</v>
      </c>
      <c r="V65" s="61">
        <f t="shared" si="16"/>
        <v>0</v>
      </c>
      <c r="W65" s="61">
        <f t="shared" si="16"/>
        <v>0</v>
      </c>
      <c r="X65" s="61">
        <f t="shared" si="16"/>
        <v>0</v>
      </c>
      <c r="Y65" s="61">
        <f t="shared" si="16"/>
        <v>0</v>
      </c>
      <c r="Z65" s="61">
        <f t="shared" si="16"/>
        <v>0</v>
      </c>
      <c r="AA65" s="61">
        <f t="shared" si="16"/>
        <v>0</v>
      </c>
      <c r="AB65" s="61">
        <f t="shared" si="16"/>
        <v>0</v>
      </c>
      <c r="AC65" s="207">
        <f t="shared" si="16"/>
        <v>0</v>
      </c>
      <c r="AD65" s="61">
        <f t="shared" si="16"/>
        <v>0</v>
      </c>
      <c r="AE65" s="61">
        <f t="shared" si="16"/>
        <v>0</v>
      </c>
      <c r="AF65" s="61">
        <f t="shared" si="16"/>
        <v>0</v>
      </c>
      <c r="AG65" s="61">
        <f t="shared" si="16"/>
        <v>0</v>
      </c>
      <c r="AH65" s="61">
        <f t="shared" si="16"/>
        <v>0</v>
      </c>
      <c r="AI65" s="61">
        <f t="shared" si="16"/>
        <v>0</v>
      </c>
      <c r="AJ65" s="61">
        <f t="shared" si="16"/>
        <v>0</v>
      </c>
      <c r="AK65" s="61">
        <f t="shared" si="16"/>
        <v>0</v>
      </c>
      <c r="AL65" s="61">
        <f t="shared" si="16"/>
        <v>0</v>
      </c>
      <c r="AM65" s="61">
        <f t="shared" si="16"/>
        <v>0</v>
      </c>
      <c r="AN65" s="61">
        <f t="shared" si="16"/>
        <v>0</v>
      </c>
      <c r="AO65" s="61">
        <f t="shared" si="16"/>
        <v>0</v>
      </c>
      <c r="AP65" s="61">
        <f t="shared" si="16"/>
        <v>0</v>
      </c>
      <c r="AQ65" s="61">
        <f t="shared" si="16"/>
        <v>0</v>
      </c>
      <c r="AR65" s="61">
        <f t="shared" si="16"/>
        <v>0</v>
      </c>
      <c r="AS65" s="61">
        <f t="shared" si="16"/>
        <v>0</v>
      </c>
      <c r="AT65" s="61">
        <f t="shared" si="17"/>
        <v>0</v>
      </c>
      <c r="AU65" s="61">
        <f t="shared" si="17"/>
        <v>0</v>
      </c>
      <c r="AV65" s="103">
        <f>SUM(Q65:AU65)</f>
        <v>-81500</v>
      </c>
      <c r="AW65" s="36">
        <f>SUM(Q65:AU65)-M65</f>
        <v>0</v>
      </c>
    </row>
    <row r="66" spans="1:49" x14ac:dyDescent="0.25">
      <c r="A66" s="13"/>
      <c r="B66" s="63"/>
      <c r="C66" s="13" t="s">
        <v>286</v>
      </c>
      <c r="E66" s="53">
        <v>3.5000000000000001E-3</v>
      </c>
      <c r="F66" s="61">
        <f>(E66*F62)+1000+622</f>
        <v>30147</v>
      </c>
      <c r="G66" s="88">
        <v>1</v>
      </c>
      <c r="H66" s="61"/>
      <c r="I66" s="61"/>
      <c r="K66" s="192"/>
      <c r="L66" s="36"/>
      <c r="M66" s="36">
        <f>-F66</f>
        <v>-30147</v>
      </c>
      <c r="N66" s="90">
        <f>N65</f>
        <v>43861</v>
      </c>
      <c r="O66" s="90">
        <f>EOMONTH(N66,G66-1)</f>
        <v>43861</v>
      </c>
      <c r="P66" s="3">
        <f>ROUND((O66-N66)/365*12,0)+1</f>
        <v>1</v>
      </c>
      <c r="Q66" s="61">
        <f t="shared" si="16"/>
        <v>-30147</v>
      </c>
      <c r="R66" s="61">
        <f t="shared" si="16"/>
        <v>0</v>
      </c>
      <c r="S66" s="207">
        <f t="shared" si="16"/>
        <v>0</v>
      </c>
      <c r="T66" s="61">
        <f t="shared" si="16"/>
        <v>0</v>
      </c>
      <c r="U66" s="61">
        <f t="shared" si="16"/>
        <v>0</v>
      </c>
      <c r="V66" s="61">
        <f t="shared" si="16"/>
        <v>0</v>
      </c>
      <c r="W66" s="61">
        <f t="shared" si="16"/>
        <v>0</v>
      </c>
      <c r="X66" s="61">
        <f t="shared" si="16"/>
        <v>0</v>
      </c>
      <c r="Y66" s="61">
        <f t="shared" si="16"/>
        <v>0</v>
      </c>
      <c r="Z66" s="61">
        <f t="shared" si="16"/>
        <v>0</v>
      </c>
      <c r="AA66" s="61">
        <f t="shared" si="16"/>
        <v>0</v>
      </c>
      <c r="AB66" s="61">
        <f t="shared" si="16"/>
        <v>0</v>
      </c>
      <c r="AC66" s="207">
        <f t="shared" si="16"/>
        <v>0</v>
      </c>
      <c r="AD66" s="61">
        <f t="shared" si="16"/>
        <v>0</v>
      </c>
      <c r="AE66" s="61">
        <f t="shared" si="16"/>
        <v>0</v>
      </c>
      <c r="AF66" s="61">
        <f t="shared" si="16"/>
        <v>0</v>
      </c>
      <c r="AG66" s="61">
        <f t="shared" si="16"/>
        <v>0</v>
      </c>
      <c r="AH66" s="61">
        <f t="shared" si="16"/>
        <v>0</v>
      </c>
      <c r="AI66" s="61">
        <f t="shared" si="16"/>
        <v>0</v>
      </c>
      <c r="AJ66" s="61">
        <f t="shared" si="16"/>
        <v>0</v>
      </c>
      <c r="AK66" s="61">
        <f t="shared" si="16"/>
        <v>0</v>
      </c>
      <c r="AL66" s="61">
        <f t="shared" si="16"/>
        <v>0</v>
      </c>
      <c r="AM66" s="61">
        <f t="shared" si="16"/>
        <v>0</v>
      </c>
      <c r="AN66" s="61">
        <f t="shared" si="16"/>
        <v>0</v>
      </c>
      <c r="AO66" s="61">
        <f t="shared" si="16"/>
        <v>0</v>
      </c>
      <c r="AP66" s="61">
        <f t="shared" si="16"/>
        <v>0</v>
      </c>
      <c r="AQ66" s="61">
        <f t="shared" si="16"/>
        <v>0</v>
      </c>
      <c r="AR66" s="61">
        <f t="shared" si="16"/>
        <v>0</v>
      </c>
      <c r="AS66" s="61">
        <f t="shared" si="16"/>
        <v>0</v>
      </c>
      <c r="AT66" s="61">
        <f t="shared" si="17"/>
        <v>0</v>
      </c>
      <c r="AU66" s="61">
        <f t="shared" si="17"/>
        <v>0</v>
      </c>
      <c r="AV66" s="103">
        <f>SUM(Q66:AU66)</f>
        <v>-30147</v>
      </c>
      <c r="AW66" s="36">
        <f>SUM(Q66:AU66)-M66</f>
        <v>0</v>
      </c>
    </row>
    <row r="67" spans="1:49" ht="13.5" hidden="1" customHeight="1" x14ac:dyDescent="0.25">
      <c r="A67" s="13"/>
      <c r="B67" s="63"/>
      <c r="C67" s="13"/>
      <c r="F67" s="112"/>
      <c r="G67" s="88"/>
      <c r="H67" s="61"/>
      <c r="I67" s="61"/>
      <c r="K67" s="192"/>
      <c r="L67" s="36"/>
      <c r="M67" s="36"/>
      <c r="N67" s="90">
        <f>N66</f>
        <v>43861</v>
      </c>
      <c r="O67" s="90"/>
      <c r="Q67" s="61"/>
      <c r="R67" s="61"/>
      <c r="S67" s="207"/>
      <c r="T67" s="61"/>
      <c r="U67" s="61"/>
      <c r="V67" s="61"/>
      <c r="W67" s="61"/>
      <c r="X67" s="61"/>
      <c r="Y67" s="61"/>
      <c r="Z67" s="61"/>
      <c r="AA67" s="61"/>
      <c r="AB67" s="61"/>
      <c r="AC67" s="207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103"/>
      <c r="AW67" s="36"/>
    </row>
    <row r="68" spans="1:49" x14ac:dyDescent="0.25">
      <c r="A68" s="13"/>
      <c r="B68" s="63"/>
      <c r="C68" s="13" t="s">
        <v>287</v>
      </c>
      <c r="F68" s="60">
        <v>35550.5</v>
      </c>
      <c r="G68" s="88">
        <v>1</v>
      </c>
      <c r="H68" s="61"/>
      <c r="I68" s="61"/>
      <c r="J68" s="36"/>
      <c r="K68" s="192"/>
      <c r="L68" s="36"/>
      <c r="M68" s="36">
        <f t="shared" si="18"/>
        <v>-35550.5</v>
      </c>
      <c r="N68" s="89">
        <v>43861</v>
      </c>
      <c r="O68" s="90">
        <f t="shared" si="14"/>
        <v>43861</v>
      </c>
      <c r="P68" s="3">
        <f t="shared" si="15"/>
        <v>1</v>
      </c>
      <c r="Q68" s="61">
        <f t="shared" si="16"/>
        <v>-35550.5</v>
      </c>
      <c r="R68" s="61">
        <f t="shared" si="16"/>
        <v>0</v>
      </c>
      <c r="S68" s="207">
        <f t="shared" si="16"/>
        <v>0</v>
      </c>
      <c r="T68" s="61">
        <f t="shared" si="16"/>
        <v>0</v>
      </c>
      <c r="U68" s="61">
        <f t="shared" si="16"/>
        <v>0</v>
      </c>
      <c r="V68" s="61">
        <f t="shared" si="16"/>
        <v>0</v>
      </c>
      <c r="W68" s="61">
        <f t="shared" si="16"/>
        <v>0</v>
      </c>
      <c r="X68" s="61">
        <f t="shared" si="16"/>
        <v>0</v>
      </c>
      <c r="Y68" s="61">
        <f t="shared" si="16"/>
        <v>0</v>
      </c>
      <c r="Z68" s="61">
        <f t="shared" si="16"/>
        <v>0</v>
      </c>
      <c r="AA68" s="61">
        <f t="shared" si="16"/>
        <v>0</v>
      </c>
      <c r="AB68" s="61">
        <f t="shared" si="16"/>
        <v>0</v>
      </c>
      <c r="AC68" s="207">
        <f t="shared" si="16"/>
        <v>0</v>
      </c>
      <c r="AD68" s="61">
        <f t="shared" si="16"/>
        <v>0</v>
      </c>
      <c r="AE68" s="61">
        <f t="shared" si="16"/>
        <v>0</v>
      </c>
      <c r="AF68" s="61">
        <f t="shared" si="16"/>
        <v>0</v>
      </c>
      <c r="AG68" s="61">
        <f t="shared" si="16"/>
        <v>0</v>
      </c>
      <c r="AH68" s="61">
        <f t="shared" si="16"/>
        <v>0</v>
      </c>
      <c r="AI68" s="61">
        <f t="shared" si="16"/>
        <v>0</v>
      </c>
      <c r="AJ68" s="61">
        <f t="shared" si="16"/>
        <v>0</v>
      </c>
      <c r="AK68" s="61">
        <f t="shared" si="16"/>
        <v>0</v>
      </c>
      <c r="AL68" s="61">
        <f t="shared" si="16"/>
        <v>0</v>
      </c>
      <c r="AM68" s="61">
        <f t="shared" si="16"/>
        <v>0</v>
      </c>
      <c r="AN68" s="61">
        <f t="shared" si="16"/>
        <v>0</v>
      </c>
      <c r="AO68" s="61">
        <f t="shared" si="16"/>
        <v>0</v>
      </c>
      <c r="AP68" s="61">
        <f t="shared" si="16"/>
        <v>0</v>
      </c>
      <c r="AQ68" s="61">
        <f t="shared" si="16"/>
        <v>0</v>
      </c>
      <c r="AR68" s="61">
        <f t="shared" si="16"/>
        <v>0</v>
      </c>
      <c r="AS68" s="61">
        <f t="shared" si="16"/>
        <v>0</v>
      </c>
      <c r="AT68" s="61">
        <f t="shared" si="17"/>
        <v>0</v>
      </c>
      <c r="AU68" s="61">
        <f t="shared" si="17"/>
        <v>0</v>
      </c>
      <c r="AV68" s="103">
        <f>SUM(Q68:AU68)</f>
        <v>-35550.5</v>
      </c>
      <c r="AW68" s="36">
        <f>SUM(Q68:AU68)-M68</f>
        <v>0</v>
      </c>
    </row>
    <row r="69" spans="1:49" x14ac:dyDescent="0.25">
      <c r="A69" s="13"/>
      <c r="B69" s="63"/>
      <c r="C69" s="13" t="s">
        <v>288</v>
      </c>
      <c r="F69" s="60">
        <v>4000</v>
      </c>
      <c r="G69" s="88">
        <v>1</v>
      </c>
      <c r="H69" s="61"/>
      <c r="I69" s="61"/>
      <c r="K69" s="192"/>
      <c r="L69" s="36"/>
      <c r="M69" s="36">
        <f>-F69</f>
        <v>-4000</v>
      </c>
      <c r="N69" s="90">
        <f>$N$68</f>
        <v>43861</v>
      </c>
      <c r="O69" s="90">
        <f>EOMONTH(N69,G69-1)</f>
        <v>43861</v>
      </c>
      <c r="P69" s="3">
        <f>ROUND((O69-N69)/365*12,0)+1</f>
        <v>1</v>
      </c>
      <c r="Q69" s="61">
        <f t="shared" si="16"/>
        <v>-4000</v>
      </c>
      <c r="R69" s="61">
        <f t="shared" si="16"/>
        <v>0</v>
      </c>
      <c r="S69" s="207">
        <f t="shared" si="16"/>
        <v>0</v>
      </c>
      <c r="T69" s="61">
        <f t="shared" si="16"/>
        <v>0</v>
      </c>
      <c r="U69" s="61">
        <f t="shared" si="16"/>
        <v>0</v>
      </c>
      <c r="V69" s="61">
        <f t="shared" si="16"/>
        <v>0</v>
      </c>
      <c r="W69" s="61">
        <f t="shared" si="16"/>
        <v>0</v>
      </c>
      <c r="X69" s="61">
        <f t="shared" si="16"/>
        <v>0</v>
      </c>
      <c r="Y69" s="61">
        <f t="shared" si="16"/>
        <v>0</v>
      </c>
      <c r="Z69" s="61">
        <f t="shared" si="16"/>
        <v>0</v>
      </c>
      <c r="AA69" s="61">
        <f t="shared" si="16"/>
        <v>0</v>
      </c>
      <c r="AB69" s="61">
        <f t="shared" si="16"/>
        <v>0</v>
      </c>
      <c r="AC69" s="207">
        <f t="shared" si="16"/>
        <v>0</v>
      </c>
      <c r="AD69" s="61">
        <f t="shared" si="16"/>
        <v>0</v>
      </c>
      <c r="AE69" s="61">
        <f t="shared" si="16"/>
        <v>0</v>
      </c>
      <c r="AF69" s="61">
        <f t="shared" si="16"/>
        <v>0</v>
      </c>
      <c r="AG69" s="61">
        <f t="shared" si="16"/>
        <v>0</v>
      </c>
      <c r="AH69" s="61">
        <f t="shared" si="16"/>
        <v>0</v>
      </c>
      <c r="AI69" s="61">
        <f t="shared" si="16"/>
        <v>0</v>
      </c>
      <c r="AJ69" s="61">
        <f t="shared" si="16"/>
        <v>0</v>
      </c>
      <c r="AK69" s="61">
        <f t="shared" si="16"/>
        <v>0</v>
      </c>
      <c r="AL69" s="61">
        <f t="shared" si="16"/>
        <v>0</v>
      </c>
      <c r="AM69" s="61">
        <f t="shared" si="16"/>
        <v>0</v>
      </c>
      <c r="AN69" s="61">
        <f t="shared" si="16"/>
        <v>0</v>
      </c>
      <c r="AO69" s="61">
        <f t="shared" si="16"/>
        <v>0</v>
      </c>
      <c r="AP69" s="61">
        <f t="shared" si="16"/>
        <v>0</v>
      </c>
      <c r="AQ69" s="61">
        <f t="shared" si="16"/>
        <v>0</v>
      </c>
      <c r="AR69" s="61">
        <f t="shared" si="16"/>
        <v>0</v>
      </c>
      <c r="AS69" s="61">
        <f t="shared" si="16"/>
        <v>0</v>
      </c>
      <c r="AT69" s="61">
        <f t="shared" si="17"/>
        <v>0</v>
      </c>
      <c r="AU69" s="61">
        <f t="shared" si="17"/>
        <v>0</v>
      </c>
      <c r="AV69" s="103">
        <f>SUM(Q69:AU69)</f>
        <v>-4000</v>
      </c>
      <c r="AW69" s="36">
        <f>SUM(Q69:AU69)-M69</f>
        <v>0</v>
      </c>
    </row>
    <row r="70" spans="1:49" x14ac:dyDescent="0.25">
      <c r="A70" s="13"/>
      <c r="B70" s="63"/>
      <c r="C70" s="13" t="s">
        <v>289</v>
      </c>
      <c r="F70" s="60">
        <v>1000</v>
      </c>
      <c r="G70" s="88">
        <v>1</v>
      </c>
      <c r="H70" s="61"/>
      <c r="I70" s="61"/>
      <c r="K70" s="192"/>
      <c r="L70" s="36"/>
      <c r="M70" s="36">
        <f>-F70</f>
        <v>-1000</v>
      </c>
      <c r="N70" s="90">
        <f>$N$68</f>
        <v>43861</v>
      </c>
      <c r="O70" s="90">
        <f>EOMONTH(N70,G70-1)</f>
        <v>43861</v>
      </c>
      <c r="P70" s="3">
        <f>ROUND((O70-N70)/365*12,0)+1</f>
        <v>1</v>
      </c>
      <c r="Q70" s="61">
        <f t="shared" si="16"/>
        <v>-1000</v>
      </c>
      <c r="R70" s="61">
        <f t="shared" si="16"/>
        <v>0</v>
      </c>
      <c r="S70" s="207">
        <f t="shared" si="16"/>
        <v>0</v>
      </c>
      <c r="T70" s="61">
        <f t="shared" si="16"/>
        <v>0</v>
      </c>
      <c r="U70" s="61">
        <f t="shared" si="16"/>
        <v>0</v>
      </c>
      <c r="V70" s="61">
        <f t="shared" si="16"/>
        <v>0</v>
      </c>
      <c r="W70" s="61">
        <f t="shared" si="16"/>
        <v>0</v>
      </c>
      <c r="X70" s="61">
        <f t="shared" si="16"/>
        <v>0</v>
      </c>
      <c r="Y70" s="61">
        <f t="shared" si="16"/>
        <v>0</v>
      </c>
      <c r="Z70" s="61">
        <f t="shared" si="16"/>
        <v>0</v>
      </c>
      <c r="AA70" s="61">
        <f t="shared" si="16"/>
        <v>0</v>
      </c>
      <c r="AB70" s="61">
        <f t="shared" si="16"/>
        <v>0</v>
      </c>
      <c r="AC70" s="207">
        <f t="shared" si="16"/>
        <v>0</v>
      </c>
      <c r="AD70" s="61">
        <f t="shared" si="16"/>
        <v>0</v>
      </c>
      <c r="AE70" s="61">
        <f t="shared" si="16"/>
        <v>0</v>
      </c>
      <c r="AF70" s="61">
        <f t="shared" si="16"/>
        <v>0</v>
      </c>
      <c r="AG70" s="61">
        <f t="shared" si="16"/>
        <v>0</v>
      </c>
      <c r="AH70" s="61">
        <f t="shared" si="16"/>
        <v>0</v>
      </c>
      <c r="AI70" s="61">
        <f t="shared" si="16"/>
        <v>0</v>
      </c>
      <c r="AJ70" s="61">
        <f t="shared" si="16"/>
        <v>0</v>
      </c>
      <c r="AK70" s="61">
        <f t="shared" si="16"/>
        <v>0</v>
      </c>
      <c r="AL70" s="61">
        <f t="shared" si="16"/>
        <v>0</v>
      </c>
      <c r="AM70" s="61">
        <f t="shared" si="16"/>
        <v>0</v>
      </c>
      <c r="AN70" s="61">
        <f t="shared" si="16"/>
        <v>0</v>
      </c>
      <c r="AO70" s="61">
        <f t="shared" si="16"/>
        <v>0</v>
      </c>
      <c r="AP70" s="61">
        <f t="shared" si="16"/>
        <v>0</v>
      </c>
      <c r="AQ70" s="61">
        <f t="shared" si="16"/>
        <v>0</v>
      </c>
      <c r="AR70" s="61">
        <f t="shared" si="16"/>
        <v>0</v>
      </c>
      <c r="AS70" s="61">
        <f t="shared" si="16"/>
        <v>0</v>
      </c>
      <c r="AT70" s="61">
        <f t="shared" si="17"/>
        <v>0</v>
      </c>
      <c r="AU70" s="61">
        <f t="shared" si="17"/>
        <v>0</v>
      </c>
      <c r="AV70" s="103">
        <f>SUM(Q70:AU70)</f>
        <v>-1000</v>
      </c>
      <c r="AW70" s="36">
        <f>SUM(Q70:AU70)-M70</f>
        <v>0</v>
      </c>
    </row>
    <row r="71" spans="1:49" x14ac:dyDescent="0.25">
      <c r="A71" s="13"/>
      <c r="B71" s="63"/>
      <c r="C71" s="13" t="s">
        <v>290</v>
      </c>
      <c r="F71" s="60">
        <f>10000+8500+4000+2500+1000+500+1500+2500+7000+957</f>
        <v>38457</v>
      </c>
      <c r="G71" s="88">
        <v>1</v>
      </c>
      <c r="H71" s="61"/>
      <c r="I71" s="61"/>
      <c r="K71" s="192"/>
      <c r="L71" s="36"/>
      <c r="M71" s="36">
        <f t="shared" si="18"/>
        <v>-38457</v>
      </c>
      <c r="N71" s="90">
        <f>$N$68</f>
        <v>43861</v>
      </c>
      <c r="O71" s="90">
        <f t="shared" si="14"/>
        <v>43861</v>
      </c>
      <c r="P71" s="3">
        <f t="shared" si="15"/>
        <v>1</v>
      </c>
      <c r="Q71" s="61">
        <f>IF(OR(Q$41&lt;$N71,Q$41&gt;$O71),0,$M71/$P71)</f>
        <v>-38457</v>
      </c>
      <c r="R71" s="61">
        <f t="shared" si="16"/>
        <v>0</v>
      </c>
      <c r="S71" s="207">
        <f t="shared" si="16"/>
        <v>0</v>
      </c>
      <c r="T71" s="61">
        <f t="shared" si="16"/>
        <v>0</v>
      </c>
      <c r="U71" s="61">
        <f t="shared" si="16"/>
        <v>0</v>
      </c>
      <c r="V71" s="61">
        <f t="shared" si="16"/>
        <v>0</v>
      </c>
      <c r="W71" s="61">
        <f t="shared" si="16"/>
        <v>0</v>
      </c>
      <c r="X71" s="61">
        <f t="shared" si="16"/>
        <v>0</v>
      </c>
      <c r="Y71" s="61">
        <f t="shared" si="16"/>
        <v>0</v>
      </c>
      <c r="Z71" s="61">
        <f t="shared" si="16"/>
        <v>0</v>
      </c>
      <c r="AA71" s="61">
        <f t="shared" si="16"/>
        <v>0</v>
      </c>
      <c r="AB71" s="61">
        <f t="shared" si="16"/>
        <v>0</v>
      </c>
      <c r="AC71" s="207">
        <f t="shared" si="16"/>
        <v>0</v>
      </c>
      <c r="AD71" s="61">
        <f t="shared" si="16"/>
        <v>0</v>
      </c>
      <c r="AE71" s="61">
        <f t="shared" si="16"/>
        <v>0</v>
      </c>
      <c r="AF71" s="61">
        <f t="shared" si="16"/>
        <v>0</v>
      </c>
      <c r="AG71" s="61">
        <f t="shared" si="16"/>
        <v>0</v>
      </c>
      <c r="AH71" s="61">
        <f t="shared" si="16"/>
        <v>0</v>
      </c>
      <c r="AI71" s="61">
        <f t="shared" si="16"/>
        <v>0</v>
      </c>
      <c r="AJ71" s="61">
        <f t="shared" si="16"/>
        <v>0</v>
      </c>
      <c r="AK71" s="61">
        <f t="shared" si="16"/>
        <v>0</v>
      </c>
      <c r="AL71" s="61">
        <f t="shared" si="16"/>
        <v>0</v>
      </c>
      <c r="AM71" s="61">
        <f t="shared" si="16"/>
        <v>0</v>
      </c>
      <c r="AN71" s="61">
        <f t="shared" si="16"/>
        <v>0</v>
      </c>
      <c r="AO71" s="61">
        <f t="shared" ref="AO71:AS72" si="19">IF(OR(AO$41&lt;$N71,AO$41&gt;$O71),0,$M71/$P71)</f>
        <v>0</v>
      </c>
      <c r="AP71" s="61">
        <f t="shared" si="19"/>
        <v>0</v>
      </c>
      <c r="AQ71" s="61">
        <f t="shared" si="19"/>
        <v>0</v>
      </c>
      <c r="AR71" s="61">
        <f t="shared" si="19"/>
        <v>0</v>
      </c>
      <c r="AS71" s="61">
        <f t="shared" si="19"/>
        <v>0</v>
      </c>
      <c r="AT71" s="61">
        <f t="shared" si="17"/>
        <v>0</v>
      </c>
      <c r="AU71" s="61">
        <f t="shared" si="17"/>
        <v>0</v>
      </c>
      <c r="AV71" s="103">
        <f>SUM(Q71:AU71)</f>
        <v>-38457</v>
      </c>
      <c r="AW71" s="36">
        <f>SUM(Q71:AU71)-M71</f>
        <v>0</v>
      </c>
    </row>
    <row r="72" spans="1:49" x14ac:dyDescent="0.25">
      <c r="A72" s="13"/>
      <c r="B72" s="63"/>
      <c r="C72" s="13" t="s">
        <v>291</v>
      </c>
      <c r="F72" s="60">
        <v>410</v>
      </c>
      <c r="G72" s="88">
        <v>1</v>
      </c>
      <c r="H72" s="61"/>
      <c r="I72" s="61"/>
      <c r="K72" s="192"/>
      <c r="L72" s="36"/>
      <c r="M72" s="36">
        <f t="shared" ref="M72" si="20">-F72</f>
        <v>-410</v>
      </c>
      <c r="N72" s="90">
        <f>$N$68</f>
        <v>43861</v>
      </c>
      <c r="O72" s="90">
        <f t="shared" ref="O72" si="21">EOMONTH(N72,G72-1)</f>
        <v>43861</v>
      </c>
      <c r="P72" s="3">
        <f t="shared" ref="P72" si="22">ROUND((O72-N72)/365*12,0)+1</f>
        <v>1</v>
      </c>
      <c r="Q72" s="61">
        <f>IF(OR(Q$41&lt;$N72,Q$41&gt;$O72),0,$M72/$P72)</f>
        <v>-410</v>
      </c>
      <c r="R72" s="61">
        <f t="shared" ref="R72:AN72" si="23">IF(OR(R$41&lt;$N72,R$41&gt;$O72),0,$M72/$P72)</f>
        <v>0</v>
      </c>
      <c r="S72" s="207">
        <f t="shared" si="23"/>
        <v>0</v>
      </c>
      <c r="T72" s="61">
        <f t="shared" si="23"/>
        <v>0</v>
      </c>
      <c r="U72" s="61">
        <f t="shared" si="23"/>
        <v>0</v>
      </c>
      <c r="V72" s="61">
        <f t="shared" si="23"/>
        <v>0</v>
      </c>
      <c r="W72" s="61">
        <f t="shared" si="23"/>
        <v>0</v>
      </c>
      <c r="X72" s="61">
        <f t="shared" si="23"/>
        <v>0</v>
      </c>
      <c r="Y72" s="61">
        <f t="shared" si="23"/>
        <v>0</v>
      </c>
      <c r="Z72" s="61">
        <f t="shared" si="23"/>
        <v>0</v>
      </c>
      <c r="AA72" s="61">
        <f t="shared" si="23"/>
        <v>0</v>
      </c>
      <c r="AB72" s="61">
        <f t="shared" si="23"/>
        <v>0</v>
      </c>
      <c r="AC72" s="207">
        <f t="shared" si="23"/>
        <v>0</v>
      </c>
      <c r="AD72" s="61">
        <f t="shared" si="23"/>
        <v>0</v>
      </c>
      <c r="AE72" s="61">
        <f t="shared" si="23"/>
        <v>0</v>
      </c>
      <c r="AF72" s="61">
        <f t="shared" si="23"/>
        <v>0</v>
      </c>
      <c r="AG72" s="61">
        <f t="shared" si="23"/>
        <v>0</v>
      </c>
      <c r="AH72" s="61">
        <f t="shared" si="23"/>
        <v>0</v>
      </c>
      <c r="AI72" s="61">
        <f t="shared" si="23"/>
        <v>0</v>
      </c>
      <c r="AJ72" s="61">
        <f t="shared" si="23"/>
        <v>0</v>
      </c>
      <c r="AK72" s="61">
        <f t="shared" si="23"/>
        <v>0</v>
      </c>
      <c r="AL72" s="61">
        <f t="shared" si="23"/>
        <v>0</v>
      </c>
      <c r="AM72" s="61">
        <f t="shared" si="23"/>
        <v>0</v>
      </c>
      <c r="AN72" s="61">
        <f t="shared" si="23"/>
        <v>0</v>
      </c>
      <c r="AO72" s="61">
        <f t="shared" si="19"/>
        <v>0</v>
      </c>
      <c r="AP72" s="61">
        <f t="shared" si="19"/>
        <v>0</v>
      </c>
      <c r="AQ72" s="61">
        <f t="shared" si="19"/>
        <v>0</v>
      </c>
      <c r="AR72" s="61">
        <f t="shared" si="19"/>
        <v>0</v>
      </c>
      <c r="AS72" s="61">
        <f t="shared" si="19"/>
        <v>0</v>
      </c>
      <c r="AT72" s="61">
        <f t="shared" si="17"/>
        <v>0</v>
      </c>
      <c r="AU72" s="61">
        <f t="shared" si="17"/>
        <v>0</v>
      </c>
      <c r="AV72" s="103">
        <f>SUM(Q72:AU72)</f>
        <v>-410</v>
      </c>
      <c r="AW72" s="36">
        <f>SUM(Q72:AU72)-M72</f>
        <v>0</v>
      </c>
    </row>
    <row r="73" spans="1:49" ht="14.25" thickBot="1" x14ac:dyDescent="0.3">
      <c r="A73" s="13"/>
      <c r="B73" s="63"/>
      <c r="C73" s="13"/>
      <c r="F73" s="114">
        <f>SUM(F62:F72)</f>
        <v>8738064.5</v>
      </c>
      <c r="H73" s="23"/>
      <c r="I73" s="23"/>
      <c r="K73" s="192"/>
      <c r="M73" s="36"/>
      <c r="N73" s="90"/>
      <c r="O73" s="98"/>
      <c r="Q73" s="61"/>
      <c r="R73" s="61"/>
      <c r="S73" s="207"/>
      <c r="T73" s="61"/>
      <c r="U73" s="61"/>
      <c r="V73" s="61"/>
      <c r="W73" s="61"/>
      <c r="X73" s="61"/>
      <c r="Y73" s="61"/>
      <c r="Z73" s="61"/>
      <c r="AA73" s="61"/>
      <c r="AB73" s="61"/>
      <c r="AC73" s="207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103">
        <f t="shared" ref="AV73:AV104" si="24">SUM(Q73:AU73)</f>
        <v>0</v>
      </c>
      <c r="AW73" s="36">
        <f t="shared" ref="AW73:AW104" si="25">SUM(Q73:AU73)-M73</f>
        <v>0</v>
      </c>
    </row>
    <row r="74" spans="1:49" ht="15" thickTop="1" thickBot="1" x14ac:dyDescent="0.3">
      <c r="A74" s="13"/>
      <c r="B74" s="63"/>
      <c r="C74" s="13"/>
      <c r="F74" s="61"/>
      <c r="G74" s="107"/>
      <c r="H74" s="61"/>
      <c r="I74" s="61"/>
      <c r="M74" s="36"/>
      <c r="N74" s="90"/>
      <c r="O74" s="98"/>
      <c r="Q74" s="61"/>
      <c r="R74" s="61"/>
      <c r="S74" s="207"/>
      <c r="T74" s="61"/>
      <c r="U74" s="61"/>
      <c r="V74" s="61"/>
      <c r="W74" s="61"/>
      <c r="X74" s="61"/>
      <c r="Y74" s="61"/>
      <c r="Z74" s="61"/>
      <c r="AA74" s="61"/>
      <c r="AB74" s="61"/>
      <c r="AC74" s="207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103">
        <f t="shared" si="24"/>
        <v>0</v>
      </c>
      <c r="AW74" s="36">
        <f t="shared" si="25"/>
        <v>0</v>
      </c>
    </row>
    <row r="75" spans="1:49" x14ac:dyDescent="0.25">
      <c r="A75" s="13"/>
      <c r="B75" s="63"/>
      <c r="C75" s="13"/>
      <c r="D75" s="2" t="s">
        <v>255</v>
      </c>
      <c r="E75" s="2" t="s">
        <v>256</v>
      </c>
      <c r="F75" s="2" t="s">
        <v>292</v>
      </c>
      <c r="G75" s="107"/>
      <c r="I75" s="115">
        <v>1</v>
      </c>
      <c r="M75" s="36"/>
      <c r="N75" s="90"/>
      <c r="O75" s="90"/>
      <c r="Q75" s="61"/>
      <c r="R75" s="61"/>
      <c r="S75" s="207"/>
      <c r="T75" s="61"/>
      <c r="U75" s="61"/>
      <c r="V75" s="61"/>
      <c r="W75" s="61"/>
      <c r="X75" s="61"/>
      <c r="Y75" s="61"/>
      <c r="Z75" s="61"/>
      <c r="AA75" s="61"/>
      <c r="AB75" s="61"/>
      <c r="AC75" s="207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103">
        <f t="shared" si="24"/>
        <v>0</v>
      </c>
      <c r="AW75" s="36">
        <f t="shared" si="25"/>
        <v>0</v>
      </c>
    </row>
    <row r="76" spans="1:49" x14ac:dyDescent="0.25">
      <c r="A76" s="13"/>
      <c r="B76" s="63"/>
      <c r="C76" s="116" t="str">
        <f t="shared" ref="C76:C87" si="26">B42</f>
        <v>Sale - Unit 1</v>
      </c>
      <c r="D76" s="23">
        <f t="shared" ref="D76:D87" si="27">D42</f>
        <v>6070</v>
      </c>
      <c r="E76" s="109">
        <f t="shared" ref="E76:E86" si="28">I76*$I$75</f>
        <v>47.2</v>
      </c>
      <c r="F76" s="107">
        <f t="shared" ref="F76:F86" si="29">E76*D76</f>
        <v>286504</v>
      </c>
      <c r="G76" s="88">
        <v>9</v>
      </c>
      <c r="H76" s="107"/>
      <c r="I76" s="117">
        <v>47.2</v>
      </c>
      <c r="M76" s="36">
        <f t="shared" ref="M76:M86" si="30">-F76</f>
        <v>-286504</v>
      </c>
      <c r="N76" s="89">
        <v>43982</v>
      </c>
      <c r="O76" s="90">
        <f t="shared" ref="O76:O86" si="31">EOMONTH(N76,G76-1)</f>
        <v>44227</v>
      </c>
      <c r="P76" s="3">
        <f t="shared" ref="P76:P86" si="32">ROUND((O76-N76)/365*12,0)+1</f>
        <v>9</v>
      </c>
      <c r="Q76" s="61">
        <f t="shared" ref="Q76:AF87" si="33">IF(OR(Q$41&lt;$N76,Q$41&gt;$O76),0,$M76/$P76)</f>
        <v>0</v>
      </c>
      <c r="R76" s="61">
        <f t="shared" si="33"/>
        <v>0</v>
      </c>
      <c r="S76" s="207">
        <f t="shared" si="33"/>
        <v>0</v>
      </c>
      <c r="T76" s="61">
        <f t="shared" si="33"/>
        <v>0</v>
      </c>
      <c r="U76" s="61">
        <f t="shared" si="33"/>
        <v>-31833.777777777777</v>
      </c>
      <c r="V76" s="61">
        <f t="shared" si="33"/>
        <v>-31833.777777777777</v>
      </c>
      <c r="W76" s="61">
        <f t="shared" si="33"/>
        <v>-31833.777777777777</v>
      </c>
      <c r="X76" s="61">
        <f t="shared" si="33"/>
        <v>-31833.777777777777</v>
      </c>
      <c r="Y76" s="61">
        <f t="shared" si="33"/>
        <v>-31833.777777777777</v>
      </c>
      <c r="Z76" s="61">
        <f t="shared" si="33"/>
        <v>-31833.777777777777</v>
      </c>
      <c r="AA76" s="61">
        <f t="shared" si="33"/>
        <v>-31833.777777777777</v>
      </c>
      <c r="AB76" s="61">
        <f t="shared" si="33"/>
        <v>-31833.777777777777</v>
      </c>
      <c r="AC76" s="207">
        <f t="shared" si="33"/>
        <v>-31833.777777777777</v>
      </c>
      <c r="AD76" s="61">
        <f t="shared" si="33"/>
        <v>0</v>
      </c>
      <c r="AE76" s="61">
        <f t="shared" si="33"/>
        <v>0</v>
      </c>
      <c r="AF76" s="61">
        <f t="shared" si="33"/>
        <v>0</v>
      </c>
      <c r="AG76" s="61">
        <f t="shared" ref="AG76:AU87" si="34">IF(OR(AG$41&lt;$N76,AG$41&gt;$O76),0,$M76/$P76)</f>
        <v>0</v>
      </c>
      <c r="AH76" s="61">
        <f t="shared" si="34"/>
        <v>0</v>
      </c>
      <c r="AI76" s="61">
        <f t="shared" si="34"/>
        <v>0</v>
      </c>
      <c r="AJ76" s="61">
        <f t="shared" si="34"/>
        <v>0</v>
      </c>
      <c r="AK76" s="61">
        <f t="shared" si="34"/>
        <v>0</v>
      </c>
      <c r="AL76" s="61">
        <f t="shared" si="34"/>
        <v>0</v>
      </c>
      <c r="AM76" s="61">
        <f t="shared" si="34"/>
        <v>0</v>
      </c>
      <c r="AN76" s="61">
        <f t="shared" si="34"/>
        <v>0</v>
      </c>
      <c r="AO76" s="61">
        <f t="shared" si="34"/>
        <v>0</v>
      </c>
      <c r="AP76" s="61">
        <f t="shared" si="34"/>
        <v>0</v>
      </c>
      <c r="AQ76" s="61">
        <f t="shared" si="34"/>
        <v>0</v>
      </c>
      <c r="AR76" s="61">
        <f t="shared" si="34"/>
        <v>0</v>
      </c>
      <c r="AS76" s="61">
        <f t="shared" si="34"/>
        <v>0</v>
      </c>
      <c r="AT76" s="61">
        <f t="shared" si="34"/>
        <v>0</v>
      </c>
      <c r="AU76" s="61">
        <f t="shared" si="34"/>
        <v>0</v>
      </c>
      <c r="AV76" s="103">
        <f t="shared" si="24"/>
        <v>-286504</v>
      </c>
      <c r="AW76" s="36">
        <f t="shared" si="25"/>
        <v>0</v>
      </c>
    </row>
    <row r="77" spans="1:49" x14ac:dyDescent="0.25">
      <c r="A77" s="13"/>
      <c r="B77" s="63"/>
      <c r="C77" s="116" t="str">
        <f t="shared" si="26"/>
        <v>Sale - Unit 2</v>
      </c>
      <c r="D77" s="23">
        <f t="shared" si="27"/>
        <v>5231</v>
      </c>
      <c r="E77" s="109">
        <f t="shared" si="28"/>
        <v>47.2</v>
      </c>
      <c r="F77" s="107">
        <f t="shared" si="29"/>
        <v>246903.2</v>
      </c>
      <c r="G77" s="88">
        <f>$G$76</f>
        <v>9</v>
      </c>
      <c r="H77" s="107"/>
      <c r="I77" s="117">
        <v>47.2</v>
      </c>
      <c r="M77" s="36">
        <f t="shared" si="30"/>
        <v>-246903.2</v>
      </c>
      <c r="N77" s="90">
        <f>$N$76</f>
        <v>43982</v>
      </c>
      <c r="O77" s="90">
        <f t="shared" si="31"/>
        <v>44227</v>
      </c>
      <c r="P77" s="3">
        <f t="shared" si="32"/>
        <v>9</v>
      </c>
      <c r="Q77" s="61">
        <f t="shared" si="33"/>
        <v>0</v>
      </c>
      <c r="R77" s="61">
        <f t="shared" si="33"/>
        <v>0</v>
      </c>
      <c r="S77" s="207">
        <f t="shared" si="33"/>
        <v>0</v>
      </c>
      <c r="T77" s="61">
        <f t="shared" si="33"/>
        <v>0</v>
      </c>
      <c r="U77" s="61">
        <f t="shared" si="33"/>
        <v>-27433.68888888889</v>
      </c>
      <c r="V77" s="61">
        <f t="shared" si="33"/>
        <v>-27433.68888888889</v>
      </c>
      <c r="W77" s="61">
        <f t="shared" si="33"/>
        <v>-27433.68888888889</v>
      </c>
      <c r="X77" s="61">
        <f t="shared" si="33"/>
        <v>-27433.68888888889</v>
      </c>
      <c r="Y77" s="61">
        <f t="shared" si="33"/>
        <v>-27433.68888888889</v>
      </c>
      <c r="Z77" s="61">
        <f t="shared" si="33"/>
        <v>-27433.68888888889</v>
      </c>
      <c r="AA77" s="61">
        <f t="shared" si="33"/>
        <v>-27433.68888888889</v>
      </c>
      <c r="AB77" s="61">
        <f t="shared" si="33"/>
        <v>-27433.68888888889</v>
      </c>
      <c r="AC77" s="207">
        <f t="shared" si="33"/>
        <v>-27433.68888888889</v>
      </c>
      <c r="AD77" s="61">
        <f t="shared" si="33"/>
        <v>0</v>
      </c>
      <c r="AE77" s="61">
        <f t="shared" si="33"/>
        <v>0</v>
      </c>
      <c r="AF77" s="61">
        <f t="shared" si="33"/>
        <v>0</v>
      </c>
      <c r="AG77" s="61">
        <f t="shared" si="34"/>
        <v>0</v>
      </c>
      <c r="AH77" s="61">
        <f t="shared" si="34"/>
        <v>0</v>
      </c>
      <c r="AI77" s="61">
        <f t="shared" si="34"/>
        <v>0</v>
      </c>
      <c r="AJ77" s="61">
        <f t="shared" si="34"/>
        <v>0</v>
      </c>
      <c r="AK77" s="61">
        <f t="shared" si="34"/>
        <v>0</v>
      </c>
      <c r="AL77" s="61">
        <f t="shared" si="34"/>
        <v>0</v>
      </c>
      <c r="AM77" s="61">
        <f t="shared" si="34"/>
        <v>0</v>
      </c>
      <c r="AN77" s="61">
        <f t="shared" si="34"/>
        <v>0</v>
      </c>
      <c r="AO77" s="61">
        <f t="shared" si="34"/>
        <v>0</v>
      </c>
      <c r="AP77" s="61">
        <f t="shared" si="34"/>
        <v>0</v>
      </c>
      <c r="AQ77" s="61">
        <f t="shared" si="34"/>
        <v>0</v>
      </c>
      <c r="AR77" s="61">
        <f t="shared" si="34"/>
        <v>0</v>
      </c>
      <c r="AS77" s="61">
        <f t="shared" si="34"/>
        <v>0</v>
      </c>
      <c r="AT77" s="61">
        <f t="shared" si="34"/>
        <v>0</v>
      </c>
      <c r="AU77" s="61">
        <f t="shared" si="34"/>
        <v>0</v>
      </c>
      <c r="AV77" s="103">
        <f t="shared" si="24"/>
        <v>-246903.2</v>
      </c>
      <c r="AW77" s="36">
        <f t="shared" si="25"/>
        <v>0</v>
      </c>
    </row>
    <row r="78" spans="1:49" x14ac:dyDescent="0.25">
      <c r="A78" s="13"/>
      <c r="B78" s="63"/>
      <c r="C78" s="116" t="str">
        <f t="shared" si="26"/>
        <v>Sale - Unit 3</v>
      </c>
      <c r="D78" s="23">
        <f t="shared" si="27"/>
        <v>4876</v>
      </c>
      <c r="E78" s="109">
        <f t="shared" si="28"/>
        <v>47.2</v>
      </c>
      <c r="F78" s="107">
        <f t="shared" si="29"/>
        <v>230147.20000000001</v>
      </c>
      <c r="G78" s="88">
        <f t="shared" ref="G78:G87" si="35">$G$76</f>
        <v>9</v>
      </c>
      <c r="H78" s="107"/>
      <c r="I78" s="117">
        <v>47.2</v>
      </c>
      <c r="M78" s="36">
        <f t="shared" si="30"/>
        <v>-230147.20000000001</v>
      </c>
      <c r="N78" s="90">
        <f t="shared" ref="N78:N87" si="36">$N$76</f>
        <v>43982</v>
      </c>
      <c r="O78" s="90">
        <f t="shared" si="31"/>
        <v>44227</v>
      </c>
      <c r="P78" s="3">
        <f t="shared" si="32"/>
        <v>9</v>
      </c>
      <c r="Q78" s="61">
        <f t="shared" si="33"/>
        <v>0</v>
      </c>
      <c r="R78" s="61">
        <f t="shared" si="33"/>
        <v>0</v>
      </c>
      <c r="S78" s="207">
        <f t="shared" si="33"/>
        <v>0</v>
      </c>
      <c r="T78" s="61">
        <f t="shared" si="33"/>
        <v>0</v>
      </c>
      <c r="U78" s="61">
        <f t="shared" si="33"/>
        <v>-25571.911111111112</v>
      </c>
      <c r="V78" s="61">
        <f t="shared" si="33"/>
        <v>-25571.911111111112</v>
      </c>
      <c r="W78" s="61">
        <f t="shared" si="33"/>
        <v>-25571.911111111112</v>
      </c>
      <c r="X78" s="61">
        <f t="shared" si="33"/>
        <v>-25571.911111111112</v>
      </c>
      <c r="Y78" s="61">
        <f t="shared" si="33"/>
        <v>-25571.911111111112</v>
      </c>
      <c r="Z78" s="61">
        <f t="shared" si="33"/>
        <v>-25571.911111111112</v>
      </c>
      <c r="AA78" s="61">
        <f t="shared" si="33"/>
        <v>-25571.911111111112</v>
      </c>
      <c r="AB78" s="61">
        <f t="shared" si="33"/>
        <v>-25571.911111111112</v>
      </c>
      <c r="AC78" s="207">
        <f t="shared" si="33"/>
        <v>-25571.911111111112</v>
      </c>
      <c r="AD78" s="61">
        <f t="shared" si="33"/>
        <v>0</v>
      </c>
      <c r="AE78" s="61">
        <f t="shared" si="33"/>
        <v>0</v>
      </c>
      <c r="AF78" s="61">
        <f t="shared" si="33"/>
        <v>0</v>
      </c>
      <c r="AG78" s="61">
        <f t="shared" si="34"/>
        <v>0</v>
      </c>
      <c r="AH78" s="61">
        <f t="shared" si="34"/>
        <v>0</v>
      </c>
      <c r="AI78" s="61">
        <f t="shared" si="34"/>
        <v>0</v>
      </c>
      <c r="AJ78" s="61">
        <f t="shared" si="34"/>
        <v>0</v>
      </c>
      <c r="AK78" s="61">
        <f t="shared" si="34"/>
        <v>0</v>
      </c>
      <c r="AL78" s="61">
        <f t="shared" si="34"/>
        <v>0</v>
      </c>
      <c r="AM78" s="61">
        <f t="shared" si="34"/>
        <v>0</v>
      </c>
      <c r="AN78" s="61">
        <f t="shared" si="34"/>
        <v>0</v>
      </c>
      <c r="AO78" s="61">
        <f t="shared" si="34"/>
        <v>0</v>
      </c>
      <c r="AP78" s="61">
        <f t="shared" si="34"/>
        <v>0</v>
      </c>
      <c r="AQ78" s="61">
        <f t="shared" si="34"/>
        <v>0</v>
      </c>
      <c r="AR78" s="61">
        <f t="shared" si="34"/>
        <v>0</v>
      </c>
      <c r="AS78" s="61">
        <f t="shared" si="34"/>
        <v>0</v>
      </c>
      <c r="AT78" s="61">
        <f t="shared" si="34"/>
        <v>0</v>
      </c>
      <c r="AU78" s="61">
        <f t="shared" si="34"/>
        <v>0</v>
      </c>
      <c r="AV78" s="103">
        <f t="shared" si="24"/>
        <v>-230147.20000000001</v>
      </c>
      <c r="AW78" s="36">
        <f t="shared" si="25"/>
        <v>0</v>
      </c>
    </row>
    <row r="79" spans="1:49" x14ac:dyDescent="0.25">
      <c r="A79" s="13"/>
      <c r="B79" s="63"/>
      <c r="C79" s="116" t="str">
        <f t="shared" si="26"/>
        <v>Sale - Unit 4</v>
      </c>
      <c r="D79" s="23">
        <f t="shared" si="27"/>
        <v>4176</v>
      </c>
      <c r="E79" s="109">
        <f t="shared" si="28"/>
        <v>47.2</v>
      </c>
      <c r="F79" s="107">
        <f t="shared" si="29"/>
        <v>197107.20000000001</v>
      </c>
      <c r="G79" s="88">
        <f t="shared" si="35"/>
        <v>9</v>
      </c>
      <c r="H79" s="107"/>
      <c r="I79" s="117">
        <v>47.2</v>
      </c>
      <c r="M79" s="36">
        <f t="shared" si="30"/>
        <v>-197107.20000000001</v>
      </c>
      <c r="N79" s="90">
        <f t="shared" si="36"/>
        <v>43982</v>
      </c>
      <c r="O79" s="90">
        <f t="shared" si="31"/>
        <v>44227</v>
      </c>
      <c r="P79" s="3">
        <f t="shared" si="32"/>
        <v>9</v>
      </c>
      <c r="Q79" s="61">
        <f t="shared" si="33"/>
        <v>0</v>
      </c>
      <c r="R79" s="61">
        <f t="shared" si="33"/>
        <v>0</v>
      </c>
      <c r="S79" s="207">
        <f t="shared" si="33"/>
        <v>0</v>
      </c>
      <c r="T79" s="61">
        <f t="shared" si="33"/>
        <v>0</v>
      </c>
      <c r="U79" s="61">
        <f t="shared" si="33"/>
        <v>-21900.800000000003</v>
      </c>
      <c r="V79" s="61">
        <f t="shared" si="33"/>
        <v>-21900.800000000003</v>
      </c>
      <c r="W79" s="61">
        <f t="shared" si="33"/>
        <v>-21900.800000000003</v>
      </c>
      <c r="X79" s="61">
        <f t="shared" si="33"/>
        <v>-21900.800000000003</v>
      </c>
      <c r="Y79" s="61">
        <f t="shared" si="33"/>
        <v>-21900.800000000003</v>
      </c>
      <c r="Z79" s="61">
        <f t="shared" si="33"/>
        <v>-21900.800000000003</v>
      </c>
      <c r="AA79" s="61">
        <f t="shared" si="33"/>
        <v>-21900.800000000003</v>
      </c>
      <c r="AB79" s="61">
        <f t="shared" si="33"/>
        <v>-21900.800000000003</v>
      </c>
      <c r="AC79" s="207">
        <f t="shared" si="33"/>
        <v>-21900.800000000003</v>
      </c>
      <c r="AD79" s="61">
        <f t="shared" si="33"/>
        <v>0</v>
      </c>
      <c r="AE79" s="61">
        <f t="shared" si="33"/>
        <v>0</v>
      </c>
      <c r="AF79" s="61">
        <f t="shared" si="33"/>
        <v>0</v>
      </c>
      <c r="AG79" s="61">
        <f t="shared" si="34"/>
        <v>0</v>
      </c>
      <c r="AH79" s="61">
        <f t="shared" si="34"/>
        <v>0</v>
      </c>
      <c r="AI79" s="61">
        <f t="shared" si="34"/>
        <v>0</v>
      </c>
      <c r="AJ79" s="61">
        <f t="shared" si="34"/>
        <v>0</v>
      </c>
      <c r="AK79" s="61">
        <f t="shared" si="34"/>
        <v>0</v>
      </c>
      <c r="AL79" s="61">
        <f t="shared" si="34"/>
        <v>0</v>
      </c>
      <c r="AM79" s="61">
        <f t="shared" si="34"/>
        <v>0</v>
      </c>
      <c r="AN79" s="61">
        <f t="shared" si="34"/>
        <v>0</v>
      </c>
      <c r="AO79" s="61">
        <f t="shared" si="34"/>
        <v>0</v>
      </c>
      <c r="AP79" s="61">
        <f t="shared" si="34"/>
        <v>0</v>
      </c>
      <c r="AQ79" s="61">
        <f t="shared" si="34"/>
        <v>0</v>
      </c>
      <c r="AR79" s="61">
        <f t="shared" si="34"/>
        <v>0</v>
      </c>
      <c r="AS79" s="61">
        <f t="shared" si="34"/>
        <v>0</v>
      </c>
      <c r="AT79" s="61">
        <f t="shared" si="34"/>
        <v>0</v>
      </c>
      <c r="AU79" s="61">
        <f t="shared" si="34"/>
        <v>0</v>
      </c>
      <c r="AV79" s="103">
        <f t="shared" si="24"/>
        <v>-197107.20000000001</v>
      </c>
      <c r="AW79" s="36">
        <f t="shared" si="25"/>
        <v>0</v>
      </c>
    </row>
    <row r="80" spans="1:49" x14ac:dyDescent="0.25">
      <c r="A80" s="13"/>
      <c r="B80" s="63"/>
      <c r="C80" s="116" t="str">
        <f t="shared" si="26"/>
        <v>Sale - Unit 5</v>
      </c>
      <c r="D80" s="23">
        <f t="shared" si="27"/>
        <v>5565</v>
      </c>
      <c r="E80" s="109">
        <f t="shared" si="28"/>
        <v>47.2</v>
      </c>
      <c r="F80" s="107">
        <f t="shared" si="29"/>
        <v>262668</v>
      </c>
      <c r="G80" s="88">
        <f t="shared" si="35"/>
        <v>9</v>
      </c>
      <c r="H80" s="107"/>
      <c r="I80" s="117">
        <v>47.2</v>
      </c>
      <c r="M80" s="36">
        <f t="shared" si="30"/>
        <v>-262668</v>
      </c>
      <c r="N80" s="90">
        <f t="shared" si="36"/>
        <v>43982</v>
      </c>
      <c r="O80" s="90">
        <f t="shared" si="31"/>
        <v>44227</v>
      </c>
      <c r="P80" s="3">
        <f t="shared" si="32"/>
        <v>9</v>
      </c>
      <c r="Q80" s="61">
        <f t="shared" si="33"/>
        <v>0</v>
      </c>
      <c r="R80" s="61">
        <f t="shared" si="33"/>
        <v>0</v>
      </c>
      <c r="S80" s="207">
        <f t="shared" si="33"/>
        <v>0</v>
      </c>
      <c r="T80" s="61">
        <f t="shared" si="33"/>
        <v>0</v>
      </c>
      <c r="U80" s="61">
        <f t="shared" si="33"/>
        <v>-29185.333333333332</v>
      </c>
      <c r="V80" s="61">
        <f t="shared" si="33"/>
        <v>-29185.333333333332</v>
      </c>
      <c r="W80" s="61">
        <f t="shared" si="33"/>
        <v>-29185.333333333332</v>
      </c>
      <c r="X80" s="61">
        <f t="shared" si="33"/>
        <v>-29185.333333333332</v>
      </c>
      <c r="Y80" s="61">
        <f t="shared" si="33"/>
        <v>-29185.333333333332</v>
      </c>
      <c r="Z80" s="61">
        <f t="shared" si="33"/>
        <v>-29185.333333333332</v>
      </c>
      <c r="AA80" s="61">
        <f t="shared" si="33"/>
        <v>-29185.333333333332</v>
      </c>
      <c r="AB80" s="61">
        <f t="shared" si="33"/>
        <v>-29185.333333333332</v>
      </c>
      <c r="AC80" s="207">
        <f t="shared" si="33"/>
        <v>-29185.333333333332</v>
      </c>
      <c r="AD80" s="61">
        <f t="shared" si="33"/>
        <v>0</v>
      </c>
      <c r="AE80" s="61">
        <f t="shared" si="33"/>
        <v>0</v>
      </c>
      <c r="AF80" s="61">
        <f t="shared" si="33"/>
        <v>0</v>
      </c>
      <c r="AG80" s="61">
        <f t="shared" si="34"/>
        <v>0</v>
      </c>
      <c r="AH80" s="61">
        <f t="shared" si="34"/>
        <v>0</v>
      </c>
      <c r="AI80" s="61">
        <f t="shared" si="34"/>
        <v>0</v>
      </c>
      <c r="AJ80" s="61">
        <f t="shared" si="34"/>
        <v>0</v>
      </c>
      <c r="AK80" s="61">
        <f t="shared" si="34"/>
        <v>0</v>
      </c>
      <c r="AL80" s="61">
        <f t="shared" si="34"/>
        <v>0</v>
      </c>
      <c r="AM80" s="61">
        <f t="shared" si="34"/>
        <v>0</v>
      </c>
      <c r="AN80" s="61">
        <f t="shared" si="34"/>
        <v>0</v>
      </c>
      <c r="AO80" s="61">
        <f t="shared" si="34"/>
        <v>0</v>
      </c>
      <c r="AP80" s="61">
        <f t="shared" si="34"/>
        <v>0</v>
      </c>
      <c r="AQ80" s="61">
        <f t="shared" si="34"/>
        <v>0</v>
      </c>
      <c r="AR80" s="61">
        <f t="shared" si="34"/>
        <v>0</v>
      </c>
      <c r="AS80" s="61">
        <f t="shared" si="34"/>
        <v>0</v>
      </c>
      <c r="AT80" s="61">
        <f t="shared" si="34"/>
        <v>0</v>
      </c>
      <c r="AU80" s="61">
        <f t="shared" si="34"/>
        <v>0</v>
      </c>
      <c r="AV80" s="103">
        <f t="shared" si="24"/>
        <v>-262668</v>
      </c>
      <c r="AW80" s="36">
        <f t="shared" si="25"/>
        <v>0</v>
      </c>
    </row>
    <row r="81" spans="1:49" x14ac:dyDescent="0.25">
      <c r="A81" s="13"/>
      <c r="B81" s="63"/>
      <c r="C81" s="116" t="str">
        <f t="shared" si="26"/>
        <v>Sale - Unit 6</v>
      </c>
      <c r="D81" s="23">
        <f t="shared" si="27"/>
        <v>6070</v>
      </c>
      <c r="E81" s="109">
        <f t="shared" si="28"/>
        <v>47.2</v>
      </c>
      <c r="F81" s="107">
        <f t="shared" si="29"/>
        <v>286504</v>
      </c>
      <c r="G81" s="88">
        <f t="shared" si="35"/>
        <v>9</v>
      </c>
      <c r="H81" s="107"/>
      <c r="I81" s="117">
        <v>47.2</v>
      </c>
      <c r="M81" s="36">
        <f t="shared" si="30"/>
        <v>-286504</v>
      </c>
      <c r="N81" s="90">
        <f t="shared" si="36"/>
        <v>43982</v>
      </c>
      <c r="O81" s="90">
        <f t="shared" si="31"/>
        <v>44227</v>
      </c>
      <c r="P81" s="3">
        <f t="shared" si="32"/>
        <v>9</v>
      </c>
      <c r="Q81" s="61">
        <f t="shared" si="33"/>
        <v>0</v>
      </c>
      <c r="R81" s="61">
        <f t="shared" si="33"/>
        <v>0</v>
      </c>
      <c r="S81" s="207">
        <f t="shared" si="33"/>
        <v>0</v>
      </c>
      <c r="T81" s="61">
        <f t="shared" si="33"/>
        <v>0</v>
      </c>
      <c r="U81" s="61">
        <f t="shared" si="33"/>
        <v>-31833.777777777777</v>
      </c>
      <c r="V81" s="61">
        <f t="shared" si="33"/>
        <v>-31833.777777777777</v>
      </c>
      <c r="W81" s="61">
        <f t="shared" si="33"/>
        <v>-31833.777777777777</v>
      </c>
      <c r="X81" s="61">
        <f t="shared" si="33"/>
        <v>-31833.777777777777</v>
      </c>
      <c r="Y81" s="61">
        <f t="shared" si="33"/>
        <v>-31833.777777777777</v>
      </c>
      <c r="Z81" s="61">
        <f t="shared" si="33"/>
        <v>-31833.777777777777</v>
      </c>
      <c r="AA81" s="61">
        <f t="shared" si="33"/>
        <v>-31833.777777777777</v>
      </c>
      <c r="AB81" s="61">
        <f t="shared" si="33"/>
        <v>-31833.777777777777</v>
      </c>
      <c r="AC81" s="207">
        <f t="shared" si="33"/>
        <v>-31833.777777777777</v>
      </c>
      <c r="AD81" s="61">
        <f t="shared" si="33"/>
        <v>0</v>
      </c>
      <c r="AE81" s="61">
        <f t="shared" si="33"/>
        <v>0</v>
      </c>
      <c r="AF81" s="61">
        <f t="shared" si="33"/>
        <v>0</v>
      </c>
      <c r="AG81" s="61">
        <f t="shared" si="34"/>
        <v>0</v>
      </c>
      <c r="AH81" s="61">
        <f t="shared" si="34"/>
        <v>0</v>
      </c>
      <c r="AI81" s="61">
        <f t="shared" si="34"/>
        <v>0</v>
      </c>
      <c r="AJ81" s="61">
        <f t="shared" si="34"/>
        <v>0</v>
      </c>
      <c r="AK81" s="61">
        <f t="shared" si="34"/>
        <v>0</v>
      </c>
      <c r="AL81" s="61">
        <f t="shared" si="34"/>
        <v>0</v>
      </c>
      <c r="AM81" s="61">
        <f t="shared" si="34"/>
        <v>0</v>
      </c>
      <c r="AN81" s="61">
        <f t="shared" si="34"/>
        <v>0</v>
      </c>
      <c r="AO81" s="61">
        <f t="shared" si="34"/>
        <v>0</v>
      </c>
      <c r="AP81" s="61">
        <f t="shared" si="34"/>
        <v>0</v>
      </c>
      <c r="AQ81" s="61">
        <f t="shared" si="34"/>
        <v>0</v>
      </c>
      <c r="AR81" s="61">
        <f t="shared" si="34"/>
        <v>0</v>
      </c>
      <c r="AS81" s="61">
        <f t="shared" si="34"/>
        <v>0</v>
      </c>
      <c r="AT81" s="61">
        <f t="shared" si="34"/>
        <v>0</v>
      </c>
      <c r="AU81" s="61">
        <f t="shared" si="34"/>
        <v>0</v>
      </c>
      <c r="AV81" s="103">
        <f t="shared" si="24"/>
        <v>-286504</v>
      </c>
      <c r="AW81" s="36">
        <f t="shared" si="25"/>
        <v>0</v>
      </c>
    </row>
    <row r="82" spans="1:49" x14ac:dyDescent="0.25">
      <c r="A82" s="13"/>
      <c r="B82" s="63"/>
      <c r="C82" s="116" t="str">
        <f t="shared" si="26"/>
        <v>Sale - Unit 7</v>
      </c>
      <c r="D82" s="23">
        <f t="shared" si="27"/>
        <v>9945</v>
      </c>
      <c r="E82" s="109">
        <f t="shared" si="28"/>
        <v>47.2</v>
      </c>
      <c r="F82" s="107">
        <f t="shared" si="29"/>
        <v>469404</v>
      </c>
      <c r="G82" s="88">
        <f t="shared" si="35"/>
        <v>9</v>
      </c>
      <c r="H82" s="107"/>
      <c r="I82" s="117">
        <v>47.2</v>
      </c>
      <c r="M82" s="36">
        <f t="shared" si="30"/>
        <v>-469404</v>
      </c>
      <c r="N82" s="90">
        <f t="shared" si="36"/>
        <v>43982</v>
      </c>
      <c r="O82" s="90">
        <f t="shared" si="31"/>
        <v>44227</v>
      </c>
      <c r="P82" s="3">
        <f t="shared" si="32"/>
        <v>9</v>
      </c>
      <c r="Q82" s="61">
        <f t="shared" si="33"/>
        <v>0</v>
      </c>
      <c r="R82" s="61">
        <f t="shared" si="33"/>
        <v>0</v>
      </c>
      <c r="S82" s="207">
        <f t="shared" si="33"/>
        <v>0</v>
      </c>
      <c r="T82" s="61">
        <f t="shared" si="33"/>
        <v>0</v>
      </c>
      <c r="U82" s="61">
        <f t="shared" si="33"/>
        <v>-52156</v>
      </c>
      <c r="V82" s="61">
        <f t="shared" si="33"/>
        <v>-52156</v>
      </c>
      <c r="W82" s="61">
        <f t="shared" si="33"/>
        <v>-52156</v>
      </c>
      <c r="X82" s="61">
        <f t="shared" si="33"/>
        <v>-52156</v>
      </c>
      <c r="Y82" s="61">
        <f t="shared" si="33"/>
        <v>-52156</v>
      </c>
      <c r="Z82" s="61">
        <f t="shared" si="33"/>
        <v>-52156</v>
      </c>
      <c r="AA82" s="61">
        <f t="shared" si="33"/>
        <v>-52156</v>
      </c>
      <c r="AB82" s="61">
        <f t="shared" si="33"/>
        <v>-52156</v>
      </c>
      <c r="AC82" s="207">
        <f t="shared" si="33"/>
        <v>-52156</v>
      </c>
      <c r="AD82" s="61">
        <f t="shared" si="33"/>
        <v>0</v>
      </c>
      <c r="AE82" s="61">
        <f t="shared" si="33"/>
        <v>0</v>
      </c>
      <c r="AF82" s="61">
        <f t="shared" si="33"/>
        <v>0</v>
      </c>
      <c r="AG82" s="61">
        <f t="shared" si="34"/>
        <v>0</v>
      </c>
      <c r="AH82" s="61">
        <f t="shared" si="34"/>
        <v>0</v>
      </c>
      <c r="AI82" s="61">
        <f t="shared" si="34"/>
        <v>0</v>
      </c>
      <c r="AJ82" s="61">
        <f t="shared" si="34"/>
        <v>0</v>
      </c>
      <c r="AK82" s="61">
        <f t="shared" si="34"/>
        <v>0</v>
      </c>
      <c r="AL82" s="61">
        <f t="shared" si="34"/>
        <v>0</v>
      </c>
      <c r="AM82" s="61">
        <f t="shared" si="34"/>
        <v>0</v>
      </c>
      <c r="AN82" s="61">
        <f t="shared" si="34"/>
        <v>0</v>
      </c>
      <c r="AO82" s="61">
        <f t="shared" si="34"/>
        <v>0</v>
      </c>
      <c r="AP82" s="61">
        <f t="shared" si="34"/>
        <v>0</v>
      </c>
      <c r="AQ82" s="61">
        <f t="shared" si="34"/>
        <v>0</v>
      </c>
      <c r="AR82" s="61">
        <f t="shared" si="34"/>
        <v>0</v>
      </c>
      <c r="AS82" s="61">
        <f t="shared" si="34"/>
        <v>0</v>
      </c>
      <c r="AT82" s="61">
        <f t="shared" si="34"/>
        <v>0</v>
      </c>
      <c r="AU82" s="61">
        <f t="shared" si="34"/>
        <v>0</v>
      </c>
      <c r="AV82" s="103">
        <f t="shared" si="24"/>
        <v>-469404</v>
      </c>
      <c r="AW82" s="36">
        <f t="shared" si="25"/>
        <v>0</v>
      </c>
    </row>
    <row r="83" spans="1:49" x14ac:dyDescent="0.25">
      <c r="A83" s="13"/>
      <c r="B83" s="63"/>
      <c r="C83" s="116" t="str">
        <f t="shared" si="26"/>
        <v>Sale - Unit 8</v>
      </c>
      <c r="D83" s="23">
        <f t="shared" si="27"/>
        <v>8966</v>
      </c>
      <c r="E83" s="109">
        <f t="shared" si="28"/>
        <v>47.2</v>
      </c>
      <c r="F83" s="107">
        <f t="shared" si="29"/>
        <v>423195.2</v>
      </c>
      <c r="G83" s="88">
        <f t="shared" si="35"/>
        <v>9</v>
      </c>
      <c r="H83" s="107"/>
      <c r="I83" s="117">
        <v>47.2</v>
      </c>
      <c r="M83" s="36">
        <f t="shared" si="30"/>
        <v>-423195.2</v>
      </c>
      <c r="N83" s="90">
        <f t="shared" si="36"/>
        <v>43982</v>
      </c>
      <c r="O83" s="90">
        <f t="shared" si="31"/>
        <v>44227</v>
      </c>
      <c r="P83" s="3">
        <f t="shared" si="32"/>
        <v>9</v>
      </c>
      <c r="Q83" s="61">
        <f t="shared" si="33"/>
        <v>0</v>
      </c>
      <c r="R83" s="61">
        <f t="shared" si="33"/>
        <v>0</v>
      </c>
      <c r="S83" s="207">
        <f t="shared" si="33"/>
        <v>0</v>
      </c>
      <c r="T83" s="61">
        <f t="shared" si="33"/>
        <v>0</v>
      </c>
      <c r="U83" s="61">
        <f t="shared" si="33"/>
        <v>-47021.688888888893</v>
      </c>
      <c r="V83" s="61">
        <f t="shared" si="33"/>
        <v>-47021.688888888893</v>
      </c>
      <c r="W83" s="61">
        <f t="shared" si="33"/>
        <v>-47021.688888888893</v>
      </c>
      <c r="X83" s="61">
        <f t="shared" si="33"/>
        <v>-47021.688888888893</v>
      </c>
      <c r="Y83" s="61">
        <f t="shared" si="33"/>
        <v>-47021.688888888893</v>
      </c>
      <c r="Z83" s="61">
        <f t="shared" si="33"/>
        <v>-47021.688888888893</v>
      </c>
      <c r="AA83" s="61">
        <f t="shared" si="33"/>
        <v>-47021.688888888893</v>
      </c>
      <c r="AB83" s="61">
        <f t="shared" si="33"/>
        <v>-47021.688888888893</v>
      </c>
      <c r="AC83" s="207">
        <f t="shared" si="33"/>
        <v>-47021.688888888893</v>
      </c>
      <c r="AD83" s="61">
        <f t="shared" si="33"/>
        <v>0</v>
      </c>
      <c r="AE83" s="61">
        <f t="shared" si="33"/>
        <v>0</v>
      </c>
      <c r="AF83" s="61">
        <f t="shared" si="33"/>
        <v>0</v>
      </c>
      <c r="AG83" s="61">
        <f t="shared" si="34"/>
        <v>0</v>
      </c>
      <c r="AH83" s="61">
        <f t="shared" si="34"/>
        <v>0</v>
      </c>
      <c r="AI83" s="61">
        <f t="shared" si="34"/>
        <v>0</v>
      </c>
      <c r="AJ83" s="61">
        <f t="shared" si="34"/>
        <v>0</v>
      </c>
      <c r="AK83" s="61">
        <f t="shared" si="34"/>
        <v>0</v>
      </c>
      <c r="AL83" s="61">
        <f t="shared" si="34"/>
        <v>0</v>
      </c>
      <c r="AM83" s="61">
        <f t="shared" si="34"/>
        <v>0</v>
      </c>
      <c r="AN83" s="61">
        <f t="shared" si="34"/>
        <v>0</v>
      </c>
      <c r="AO83" s="61">
        <f t="shared" si="34"/>
        <v>0</v>
      </c>
      <c r="AP83" s="61">
        <f t="shared" si="34"/>
        <v>0</v>
      </c>
      <c r="AQ83" s="61">
        <f t="shared" si="34"/>
        <v>0</v>
      </c>
      <c r="AR83" s="61">
        <f t="shared" si="34"/>
        <v>0</v>
      </c>
      <c r="AS83" s="61">
        <f t="shared" si="34"/>
        <v>0</v>
      </c>
      <c r="AT83" s="61">
        <f t="shared" si="34"/>
        <v>0</v>
      </c>
      <c r="AU83" s="61">
        <f t="shared" si="34"/>
        <v>0</v>
      </c>
      <c r="AV83" s="103">
        <f t="shared" si="24"/>
        <v>-423195.20000000007</v>
      </c>
      <c r="AW83" s="36">
        <f t="shared" si="25"/>
        <v>0</v>
      </c>
    </row>
    <row r="84" spans="1:49" x14ac:dyDescent="0.25">
      <c r="A84" s="13"/>
      <c r="B84" s="63"/>
      <c r="C84" s="116" t="str">
        <f t="shared" si="26"/>
        <v>Sale - Unit 9</v>
      </c>
      <c r="D84" s="23">
        <f t="shared" si="27"/>
        <v>8966</v>
      </c>
      <c r="E84" s="109">
        <f t="shared" si="28"/>
        <v>47.2</v>
      </c>
      <c r="F84" s="107">
        <f t="shared" si="29"/>
        <v>423195.2</v>
      </c>
      <c r="G84" s="88">
        <f t="shared" si="35"/>
        <v>9</v>
      </c>
      <c r="H84" s="107"/>
      <c r="I84" s="117">
        <v>47.2</v>
      </c>
      <c r="J84" s="54"/>
      <c r="M84" s="36">
        <f t="shared" si="30"/>
        <v>-423195.2</v>
      </c>
      <c r="N84" s="90">
        <f t="shared" si="36"/>
        <v>43982</v>
      </c>
      <c r="O84" s="90">
        <f t="shared" si="31"/>
        <v>44227</v>
      </c>
      <c r="P84" s="3">
        <f t="shared" si="32"/>
        <v>9</v>
      </c>
      <c r="Q84" s="61">
        <f t="shared" si="33"/>
        <v>0</v>
      </c>
      <c r="R84" s="61">
        <f t="shared" si="33"/>
        <v>0</v>
      </c>
      <c r="S84" s="207">
        <f t="shared" si="33"/>
        <v>0</v>
      </c>
      <c r="T84" s="61">
        <f t="shared" si="33"/>
        <v>0</v>
      </c>
      <c r="U84" s="61">
        <f t="shared" si="33"/>
        <v>-47021.688888888893</v>
      </c>
      <c r="V84" s="61">
        <f t="shared" si="33"/>
        <v>-47021.688888888893</v>
      </c>
      <c r="W84" s="61">
        <f t="shared" si="33"/>
        <v>-47021.688888888893</v>
      </c>
      <c r="X84" s="61">
        <f t="shared" si="33"/>
        <v>-47021.688888888893</v>
      </c>
      <c r="Y84" s="61">
        <f t="shared" si="33"/>
        <v>-47021.688888888893</v>
      </c>
      <c r="Z84" s="61">
        <f t="shared" si="33"/>
        <v>-47021.688888888893</v>
      </c>
      <c r="AA84" s="61">
        <f t="shared" si="33"/>
        <v>-47021.688888888893</v>
      </c>
      <c r="AB84" s="61">
        <f t="shared" si="33"/>
        <v>-47021.688888888893</v>
      </c>
      <c r="AC84" s="207">
        <f t="shared" si="33"/>
        <v>-47021.688888888893</v>
      </c>
      <c r="AD84" s="61">
        <f t="shared" si="33"/>
        <v>0</v>
      </c>
      <c r="AE84" s="61">
        <f t="shared" si="33"/>
        <v>0</v>
      </c>
      <c r="AF84" s="61">
        <f t="shared" si="33"/>
        <v>0</v>
      </c>
      <c r="AG84" s="61">
        <f t="shared" si="34"/>
        <v>0</v>
      </c>
      <c r="AH84" s="61">
        <f t="shared" si="34"/>
        <v>0</v>
      </c>
      <c r="AI84" s="61">
        <f t="shared" si="34"/>
        <v>0</v>
      </c>
      <c r="AJ84" s="61">
        <f t="shared" si="34"/>
        <v>0</v>
      </c>
      <c r="AK84" s="61">
        <f t="shared" si="34"/>
        <v>0</v>
      </c>
      <c r="AL84" s="61">
        <f t="shared" si="34"/>
        <v>0</v>
      </c>
      <c r="AM84" s="61">
        <f t="shared" si="34"/>
        <v>0</v>
      </c>
      <c r="AN84" s="61">
        <f t="shared" si="34"/>
        <v>0</v>
      </c>
      <c r="AO84" s="61">
        <f t="shared" si="34"/>
        <v>0</v>
      </c>
      <c r="AP84" s="61">
        <f t="shared" si="34"/>
        <v>0</v>
      </c>
      <c r="AQ84" s="61">
        <f t="shared" si="34"/>
        <v>0</v>
      </c>
      <c r="AR84" s="61">
        <f t="shared" si="34"/>
        <v>0</v>
      </c>
      <c r="AS84" s="61">
        <f t="shared" si="34"/>
        <v>0</v>
      </c>
      <c r="AT84" s="61">
        <f t="shared" si="34"/>
        <v>0</v>
      </c>
      <c r="AU84" s="61">
        <f t="shared" si="34"/>
        <v>0</v>
      </c>
      <c r="AV84" s="103">
        <f t="shared" si="24"/>
        <v>-423195.20000000007</v>
      </c>
      <c r="AW84" s="36">
        <f t="shared" si="25"/>
        <v>0</v>
      </c>
    </row>
    <row r="85" spans="1:49" x14ac:dyDescent="0.25">
      <c r="A85" s="13"/>
      <c r="B85" s="63"/>
      <c r="C85" s="116" t="str">
        <f t="shared" si="26"/>
        <v>Sale - Unit 10</v>
      </c>
      <c r="D85" s="23">
        <f t="shared" si="27"/>
        <v>9945</v>
      </c>
      <c r="E85" s="109">
        <f t="shared" si="28"/>
        <v>47.2</v>
      </c>
      <c r="F85" s="107">
        <f t="shared" si="29"/>
        <v>469404</v>
      </c>
      <c r="G85" s="88">
        <f t="shared" si="35"/>
        <v>9</v>
      </c>
      <c r="H85" s="107"/>
      <c r="I85" s="117">
        <v>47.2</v>
      </c>
      <c r="M85" s="36">
        <f t="shared" si="30"/>
        <v>-469404</v>
      </c>
      <c r="N85" s="90">
        <f t="shared" si="36"/>
        <v>43982</v>
      </c>
      <c r="O85" s="90">
        <f t="shared" si="31"/>
        <v>44227</v>
      </c>
      <c r="P85" s="3">
        <f t="shared" si="32"/>
        <v>9</v>
      </c>
      <c r="Q85" s="61">
        <f t="shared" si="33"/>
        <v>0</v>
      </c>
      <c r="R85" s="61">
        <f t="shared" si="33"/>
        <v>0</v>
      </c>
      <c r="S85" s="207">
        <f t="shared" si="33"/>
        <v>0</v>
      </c>
      <c r="T85" s="61">
        <f t="shared" si="33"/>
        <v>0</v>
      </c>
      <c r="U85" s="61">
        <f t="shared" si="33"/>
        <v>-52156</v>
      </c>
      <c r="V85" s="61">
        <f t="shared" si="33"/>
        <v>-52156</v>
      </c>
      <c r="W85" s="61">
        <f t="shared" si="33"/>
        <v>-52156</v>
      </c>
      <c r="X85" s="61">
        <f t="shared" si="33"/>
        <v>-52156</v>
      </c>
      <c r="Y85" s="61">
        <f t="shared" si="33"/>
        <v>-52156</v>
      </c>
      <c r="Z85" s="61">
        <f t="shared" si="33"/>
        <v>-52156</v>
      </c>
      <c r="AA85" s="61">
        <f t="shared" si="33"/>
        <v>-52156</v>
      </c>
      <c r="AB85" s="61">
        <f t="shared" si="33"/>
        <v>-52156</v>
      </c>
      <c r="AC85" s="207">
        <f t="shared" si="33"/>
        <v>-52156</v>
      </c>
      <c r="AD85" s="61">
        <f t="shared" si="33"/>
        <v>0</v>
      </c>
      <c r="AE85" s="61">
        <f t="shared" si="33"/>
        <v>0</v>
      </c>
      <c r="AF85" s="61">
        <f t="shared" si="33"/>
        <v>0</v>
      </c>
      <c r="AG85" s="61">
        <f t="shared" si="34"/>
        <v>0</v>
      </c>
      <c r="AH85" s="61">
        <f t="shared" si="34"/>
        <v>0</v>
      </c>
      <c r="AI85" s="61">
        <f t="shared" si="34"/>
        <v>0</v>
      </c>
      <c r="AJ85" s="61">
        <f t="shared" si="34"/>
        <v>0</v>
      </c>
      <c r="AK85" s="61">
        <f t="shared" si="34"/>
        <v>0</v>
      </c>
      <c r="AL85" s="61">
        <f t="shared" si="34"/>
        <v>0</v>
      </c>
      <c r="AM85" s="61">
        <f t="shared" si="34"/>
        <v>0</v>
      </c>
      <c r="AN85" s="61">
        <f t="shared" si="34"/>
        <v>0</v>
      </c>
      <c r="AO85" s="61">
        <f t="shared" si="34"/>
        <v>0</v>
      </c>
      <c r="AP85" s="61">
        <f t="shared" si="34"/>
        <v>0</v>
      </c>
      <c r="AQ85" s="61">
        <f t="shared" si="34"/>
        <v>0</v>
      </c>
      <c r="AR85" s="61">
        <f t="shared" si="34"/>
        <v>0</v>
      </c>
      <c r="AS85" s="61">
        <f t="shared" si="34"/>
        <v>0</v>
      </c>
      <c r="AT85" s="61">
        <f t="shared" si="34"/>
        <v>0</v>
      </c>
      <c r="AU85" s="61">
        <f t="shared" si="34"/>
        <v>0</v>
      </c>
      <c r="AV85" s="103">
        <f t="shared" si="24"/>
        <v>-469404</v>
      </c>
      <c r="AW85" s="36">
        <f t="shared" si="25"/>
        <v>0</v>
      </c>
    </row>
    <row r="86" spans="1:49" x14ac:dyDescent="0.25">
      <c r="A86" s="13"/>
      <c r="B86" s="63"/>
      <c r="C86" s="116" t="str">
        <f t="shared" si="26"/>
        <v>Sale - Unit 11</v>
      </c>
      <c r="D86" s="23">
        <f t="shared" si="27"/>
        <v>22873</v>
      </c>
      <c r="E86" s="109">
        <f t="shared" si="28"/>
        <v>47.2</v>
      </c>
      <c r="F86" s="107">
        <f t="shared" si="29"/>
        <v>1079605.6000000001</v>
      </c>
      <c r="G86" s="88">
        <f t="shared" si="35"/>
        <v>9</v>
      </c>
      <c r="H86" s="107"/>
      <c r="I86" s="117">
        <v>47.2</v>
      </c>
      <c r="M86" s="36">
        <f t="shared" si="30"/>
        <v>-1079605.6000000001</v>
      </c>
      <c r="N86" s="90">
        <f t="shared" si="36"/>
        <v>43982</v>
      </c>
      <c r="O86" s="90">
        <f t="shared" si="31"/>
        <v>44227</v>
      </c>
      <c r="P86" s="3">
        <f t="shared" si="32"/>
        <v>9</v>
      </c>
      <c r="Q86" s="61">
        <f t="shared" si="33"/>
        <v>0</v>
      </c>
      <c r="R86" s="61">
        <f t="shared" si="33"/>
        <v>0</v>
      </c>
      <c r="S86" s="207">
        <f t="shared" si="33"/>
        <v>0</v>
      </c>
      <c r="T86" s="61">
        <f t="shared" si="33"/>
        <v>0</v>
      </c>
      <c r="U86" s="61">
        <f t="shared" si="33"/>
        <v>-119956.17777777779</v>
      </c>
      <c r="V86" s="61">
        <f t="shared" si="33"/>
        <v>-119956.17777777779</v>
      </c>
      <c r="W86" s="61">
        <f t="shared" si="33"/>
        <v>-119956.17777777779</v>
      </c>
      <c r="X86" s="61">
        <f t="shared" si="33"/>
        <v>-119956.17777777779</v>
      </c>
      <c r="Y86" s="61">
        <f t="shared" si="33"/>
        <v>-119956.17777777779</v>
      </c>
      <c r="Z86" s="61">
        <f t="shared" si="33"/>
        <v>-119956.17777777779</v>
      </c>
      <c r="AA86" s="61">
        <f t="shared" si="33"/>
        <v>-119956.17777777779</v>
      </c>
      <c r="AB86" s="61">
        <f t="shared" si="33"/>
        <v>-119956.17777777779</v>
      </c>
      <c r="AC86" s="207">
        <f t="shared" si="33"/>
        <v>-119956.17777777779</v>
      </c>
      <c r="AD86" s="61">
        <f t="shared" si="33"/>
        <v>0</v>
      </c>
      <c r="AE86" s="61">
        <f t="shared" si="33"/>
        <v>0</v>
      </c>
      <c r="AF86" s="61">
        <f t="shared" si="33"/>
        <v>0</v>
      </c>
      <c r="AG86" s="61">
        <f t="shared" si="34"/>
        <v>0</v>
      </c>
      <c r="AH86" s="61">
        <f t="shared" si="34"/>
        <v>0</v>
      </c>
      <c r="AI86" s="61">
        <f t="shared" si="34"/>
        <v>0</v>
      </c>
      <c r="AJ86" s="61">
        <f t="shared" si="34"/>
        <v>0</v>
      </c>
      <c r="AK86" s="61">
        <f t="shared" si="34"/>
        <v>0</v>
      </c>
      <c r="AL86" s="61">
        <f t="shared" si="34"/>
        <v>0</v>
      </c>
      <c r="AM86" s="61">
        <f t="shared" si="34"/>
        <v>0</v>
      </c>
      <c r="AN86" s="61">
        <f t="shared" si="34"/>
        <v>0</v>
      </c>
      <c r="AO86" s="61">
        <f t="shared" si="34"/>
        <v>0</v>
      </c>
      <c r="AP86" s="61">
        <f t="shared" si="34"/>
        <v>0</v>
      </c>
      <c r="AQ86" s="61">
        <f t="shared" si="34"/>
        <v>0</v>
      </c>
      <c r="AR86" s="61">
        <f t="shared" si="34"/>
        <v>0</v>
      </c>
      <c r="AS86" s="61">
        <f t="shared" si="34"/>
        <v>0</v>
      </c>
      <c r="AT86" s="61">
        <f t="shared" si="34"/>
        <v>0</v>
      </c>
      <c r="AU86" s="61">
        <f t="shared" si="34"/>
        <v>0</v>
      </c>
      <c r="AV86" s="103">
        <f t="shared" si="24"/>
        <v>-1079605.6000000001</v>
      </c>
      <c r="AW86" s="36">
        <f t="shared" si="25"/>
        <v>0</v>
      </c>
    </row>
    <row r="87" spans="1:49" ht="14.25" thickBot="1" x14ac:dyDescent="0.3">
      <c r="A87" s="13"/>
      <c r="B87" s="63"/>
      <c r="C87" s="116" t="str">
        <f t="shared" si="26"/>
        <v>Sale - Unit 12</v>
      </c>
      <c r="D87" s="23">
        <f t="shared" si="27"/>
        <v>20484</v>
      </c>
      <c r="E87" s="109">
        <f>I87*$I$75</f>
        <v>47.2</v>
      </c>
      <c r="F87" s="107">
        <f>E87*D87</f>
        <v>966844.8</v>
      </c>
      <c r="G87" s="88">
        <f t="shared" si="35"/>
        <v>9</v>
      </c>
      <c r="H87" s="107"/>
      <c r="I87" s="118">
        <v>47.2</v>
      </c>
      <c r="M87" s="36">
        <f>-F87</f>
        <v>-966844.8</v>
      </c>
      <c r="N87" s="90">
        <f t="shared" si="36"/>
        <v>43982</v>
      </c>
      <c r="O87" s="90">
        <f>EOMONTH(N87,G87-1)</f>
        <v>44227</v>
      </c>
      <c r="P87" s="3">
        <f>ROUND((O87-N87)/365*12,0)+1</f>
        <v>9</v>
      </c>
      <c r="Q87" s="61">
        <f t="shared" si="33"/>
        <v>0</v>
      </c>
      <c r="R87" s="61">
        <f t="shared" si="33"/>
        <v>0</v>
      </c>
      <c r="S87" s="207">
        <f t="shared" si="33"/>
        <v>0</v>
      </c>
      <c r="T87" s="61">
        <f t="shared" si="33"/>
        <v>0</v>
      </c>
      <c r="U87" s="61">
        <f t="shared" si="33"/>
        <v>-107427.20000000001</v>
      </c>
      <c r="V87" s="61">
        <f t="shared" si="33"/>
        <v>-107427.20000000001</v>
      </c>
      <c r="W87" s="61">
        <f t="shared" si="33"/>
        <v>-107427.20000000001</v>
      </c>
      <c r="X87" s="61">
        <f t="shared" si="33"/>
        <v>-107427.20000000001</v>
      </c>
      <c r="Y87" s="61">
        <f t="shared" si="33"/>
        <v>-107427.20000000001</v>
      </c>
      <c r="Z87" s="61">
        <f t="shared" si="33"/>
        <v>-107427.20000000001</v>
      </c>
      <c r="AA87" s="61">
        <f t="shared" si="33"/>
        <v>-107427.20000000001</v>
      </c>
      <c r="AB87" s="61">
        <f t="shared" si="33"/>
        <v>-107427.20000000001</v>
      </c>
      <c r="AC87" s="207">
        <f t="shared" si="33"/>
        <v>-107427.20000000001</v>
      </c>
      <c r="AD87" s="61">
        <f t="shared" si="33"/>
        <v>0</v>
      </c>
      <c r="AE87" s="61">
        <f t="shared" si="33"/>
        <v>0</v>
      </c>
      <c r="AF87" s="61">
        <f t="shared" si="33"/>
        <v>0</v>
      </c>
      <c r="AG87" s="61">
        <f t="shared" si="34"/>
        <v>0</v>
      </c>
      <c r="AH87" s="61">
        <f t="shared" si="34"/>
        <v>0</v>
      </c>
      <c r="AI87" s="61">
        <f t="shared" si="34"/>
        <v>0</v>
      </c>
      <c r="AJ87" s="61">
        <f t="shared" si="34"/>
        <v>0</v>
      </c>
      <c r="AK87" s="61">
        <f t="shared" si="34"/>
        <v>0</v>
      </c>
      <c r="AL87" s="61">
        <f t="shared" si="34"/>
        <v>0</v>
      </c>
      <c r="AM87" s="61">
        <f t="shared" si="34"/>
        <v>0</v>
      </c>
      <c r="AN87" s="61">
        <f t="shared" si="34"/>
        <v>0</v>
      </c>
      <c r="AO87" s="61">
        <f t="shared" si="34"/>
        <v>0</v>
      </c>
      <c r="AP87" s="61">
        <f t="shared" si="34"/>
        <v>0</v>
      </c>
      <c r="AQ87" s="61">
        <f t="shared" si="34"/>
        <v>0</v>
      </c>
      <c r="AR87" s="61">
        <f t="shared" si="34"/>
        <v>0</v>
      </c>
      <c r="AS87" s="61">
        <f t="shared" si="34"/>
        <v>0</v>
      </c>
      <c r="AT87" s="61">
        <f t="shared" si="34"/>
        <v>0</v>
      </c>
      <c r="AU87" s="61">
        <f t="shared" si="34"/>
        <v>0</v>
      </c>
      <c r="AV87" s="103">
        <f t="shared" si="24"/>
        <v>-966844.79999999981</v>
      </c>
      <c r="AW87" s="36">
        <f t="shared" si="25"/>
        <v>0</v>
      </c>
    </row>
    <row r="88" spans="1:49" ht="14.25" thickBot="1" x14ac:dyDescent="0.3">
      <c r="A88" s="13"/>
      <c r="B88" s="63"/>
      <c r="C88" s="116"/>
      <c r="E88" s="119"/>
      <c r="F88" s="107"/>
      <c r="G88" s="93"/>
      <c r="H88" s="107"/>
      <c r="I88" s="107"/>
      <c r="M88" s="36">
        <f>-F88</f>
        <v>0</v>
      </c>
      <c r="N88" s="90"/>
      <c r="O88" s="90"/>
      <c r="Q88" s="61"/>
      <c r="R88" s="61"/>
      <c r="S88" s="207"/>
      <c r="T88" s="61"/>
      <c r="U88" s="61">
        <v>400000</v>
      </c>
      <c r="V88" s="61">
        <v>300000</v>
      </c>
      <c r="W88" s="61">
        <v>-200000</v>
      </c>
      <c r="X88" s="61">
        <v>-200000</v>
      </c>
      <c r="Y88" s="61">
        <v>-100000</v>
      </c>
      <c r="Z88" s="61">
        <v>-100000</v>
      </c>
      <c r="AA88" s="61">
        <v>-100000</v>
      </c>
      <c r="AB88" s="61"/>
      <c r="AC88" s="207">
        <v>91338.89</v>
      </c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>
        <f>-AC88</f>
        <v>-91338.89</v>
      </c>
      <c r="AQ88" s="61"/>
      <c r="AR88" s="61"/>
      <c r="AS88" s="61"/>
      <c r="AT88" s="61"/>
      <c r="AU88" s="61"/>
      <c r="AV88" s="103">
        <f t="shared" si="24"/>
        <v>0</v>
      </c>
      <c r="AW88" s="36">
        <f t="shared" si="25"/>
        <v>0</v>
      </c>
    </row>
    <row r="89" spans="1:49" ht="14.25" thickBot="1" x14ac:dyDescent="0.3">
      <c r="A89" s="13"/>
      <c r="B89" s="63"/>
      <c r="C89" s="13" t="s">
        <v>293</v>
      </c>
      <c r="D89" s="94">
        <f>SUM(D76:D88)</f>
        <v>113167</v>
      </c>
      <c r="E89" s="73">
        <f>F89/D89</f>
        <v>47.199999999999996</v>
      </c>
      <c r="F89" s="120">
        <f>SUM(F76:F88)</f>
        <v>5341482.3999999994</v>
      </c>
      <c r="G89" s="93"/>
      <c r="H89" s="107"/>
      <c r="I89" s="121" t="s">
        <v>294</v>
      </c>
      <c r="J89" s="122">
        <f>F89+F100+F102+F103+F104+F106+F107+(F114/2)+(F116/2)</f>
        <v>6112430.1706249993</v>
      </c>
      <c r="M89" s="36"/>
      <c r="N89" s="90"/>
      <c r="O89" s="90"/>
      <c r="Q89" s="61"/>
      <c r="R89" s="61"/>
      <c r="S89" s="207"/>
      <c r="T89" s="61"/>
      <c r="U89" s="61"/>
      <c r="V89" s="61"/>
      <c r="W89" s="61"/>
      <c r="X89" s="61"/>
      <c r="Y89" s="61"/>
      <c r="Z89" s="61"/>
      <c r="AA89" s="61"/>
      <c r="AB89" s="61"/>
      <c r="AC89" s="207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103">
        <f t="shared" si="24"/>
        <v>0</v>
      </c>
      <c r="AW89" s="36">
        <f t="shared" si="25"/>
        <v>0</v>
      </c>
    </row>
    <row r="90" spans="1:49" ht="14.25" thickTop="1" x14ac:dyDescent="0.25">
      <c r="A90" s="13"/>
      <c r="B90" s="63"/>
      <c r="C90" s="13"/>
      <c r="F90" s="107"/>
      <c r="G90" s="93"/>
      <c r="H90" s="107"/>
      <c r="I90" s="107"/>
      <c r="M90" s="36"/>
      <c r="N90" s="90"/>
      <c r="O90" s="90"/>
      <c r="Q90" s="61"/>
      <c r="R90" s="61"/>
      <c r="S90" s="207"/>
      <c r="T90" s="61"/>
      <c r="U90" s="61"/>
      <c r="V90" s="61"/>
      <c r="W90" s="61"/>
      <c r="X90" s="61"/>
      <c r="Y90" s="61"/>
      <c r="Z90" s="61"/>
      <c r="AA90" s="61"/>
      <c r="AB90" s="61"/>
      <c r="AC90" s="207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103">
        <f t="shared" si="24"/>
        <v>0</v>
      </c>
      <c r="AW90" s="36">
        <f t="shared" si="25"/>
        <v>0</v>
      </c>
    </row>
    <row r="91" spans="1:49" x14ac:dyDescent="0.25">
      <c r="A91" s="13"/>
      <c r="B91" s="63"/>
      <c r="C91" s="13" t="s">
        <v>12</v>
      </c>
      <c r="E91" s="123">
        <v>0.03</v>
      </c>
      <c r="F91" s="23">
        <f>SUM(F76:F87)*E91</f>
        <v>160244.47199999998</v>
      </c>
      <c r="G91" s="88">
        <f>G79</f>
        <v>9</v>
      </c>
      <c r="H91" s="107"/>
      <c r="I91" s="107"/>
      <c r="J91" s="124"/>
      <c r="K91" s="192"/>
      <c r="L91" s="36"/>
      <c r="M91" s="36">
        <f t="shared" ref="M91:M96" si="37">-F91</f>
        <v>-160244.47199999998</v>
      </c>
      <c r="N91" s="90">
        <v>43982</v>
      </c>
      <c r="O91" s="90">
        <f t="shared" ref="O91:O96" si="38">EOMONTH(N91,G91-1)</f>
        <v>44227</v>
      </c>
      <c r="P91" s="3">
        <f t="shared" ref="P91:P96" si="39">ROUND((O91-N91)/365*12,0)+1</f>
        <v>9</v>
      </c>
      <c r="Q91" s="61">
        <f t="shared" ref="Q91:AF97" si="40">IF(OR(Q$41&lt;$N91,Q$41&gt;$O91),0,$M91/$P91)</f>
        <v>0</v>
      </c>
      <c r="R91" s="61">
        <f t="shared" si="40"/>
        <v>0</v>
      </c>
      <c r="S91" s="207">
        <f t="shared" si="40"/>
        <v>0</v>
      </c>
      <c r="T91" s="61">
        <f t="shared" si="40"/>
        <v>0</v>
      </c>
      <c r="U91" s="61">
        <f>IF(OR(U$41&lt;$N91,U$41&gt;$O91),0,($M91-SUM($Q91:$T91))/$P91)</f>
        <v>-17804.941333333332</v>
      </c>
      <c r="V91" s="61">
        <f t="shared" ref="V91:AC106" si="41">IF(OR(V$41&lt;$N91,V$41&gt;$O91),0,($M91-SUM($Q91:$T91))/$P91)</f>
        <v>-17804.941333333332</v>
      </c>
      <c r="W91" s="61">
        <f t="shared" si="41"/>
        <v>-17804.941333333332</v>
      </c>
      <c r="X91" s="61">
        <f t="shared" si="41"/>
        <v>-17804.941333333332</v>
      </c>
      <c r="Y91" s="61">
        <f t="shared" si="41"/>
        <v>-17804.941333333332</v>
      </c>
      <c r="Z91" s="61">
        <f t="shared" si="41"/>
        <v>-17804.941333333332</v>
      </c>
      <c r="AA91" s="61">
        <f t="shared" si="41"/>
        <v>-17804.941333333332</v>
      </c>
      <c r="AB91" s="61">
        <f t="shared" si="41"/>
        <v>-17804.941333333332</v>
      </c>
      <c r="AC91" s="207">
        <f t="shared" si="41"/>
        <v>-17804.941333333332</v>
      </c>
      <c r="AD91" s="61">
        <f t="shared" si="40"/>
        <v>0</v>
      </c>
      <c r="AE91" s="61">
        <f t="shared" si="40"/>
        <v>0</v>
      </c>
      <c r="AF91" s="61">
        <f t="shared" si="40"/>
        <v>0</v>
      </c>
      <c r="AG91" s="61">
        <f t="shared" ref="AG91:AU97" si="42">IF(OR(AG$41&lt;$N91,AG$41&gt;$O91),0,$M91/$P91)</f>
        <v>0</v>
      </c>
      <c r="AH91" s="61">
        <f t="shared" si="42"/>
        <v>0</v>
      </c>
      <c r="AI91" s="61">
        <f t="shared" si="42"/>
        <v>0</v>
      </c>
      <c r="AJ91" s="61">
        <f t="shared" si="42"/>
        <v>0</v>
      </c>
      <c r="AK91" s="61">
        <f t="shared" si="42"/>
        <v>0</v>
      </c>
      <c r="AL91" s="61">
        <f t="shared" si="42"/>
        <v>0</v>
      </c>
      <c r="AM91" s="61">
        <f t="shared" si="42"/>
        <v>0</v>
      </c>
      <c r="AN91" s="61">
        <f t="shared" si="42"/>
        <v>0</v>
      </c>
      <c r="AO91" s="61">
        <f t="shared" si="42"/>
        <v>0</v>
      </c>
      <c r="AP91" s="61">
        <f t="shared" si="42"/>
        <v>0</v>
      </c>
      <c r="AQ91" s="61">
        <f t="shared" si="42"/>
        <v>0</v>
      </c>
      <c r="AR91" s="61">
        <f t="shared" si="42"/>
        <v>0</v>
      </c>
      <c r="AS91" s="61">
        <f t="shared" si="42"/>
        <v>0</v>
      </c>
      <c r="AT91" s="61">
        <f t="shared" si="42"/>
        <v>0</v>
      </c>
      <c r="AU91" s="61">
        <f t="shared" si="42"/>
        <v>0</v>
      </c>
      <c r="AV91" s="103">
        <f t="shared" si="24"/>
        <v>-160244.47199999998</v>
      </c>
      <c r="AW91" s="36">
        <f t="shared" si="25"/>
        <v>0</v>
      </c>
    </row>
    <row r="92" spans="1:49" s="14" customFormat="1" ht="14.25" customHeight="1" x14ac:dyDescent="0.25">
      <c r="A92" s="129"/>
      <c r="B92" s="63"/>
      <c r="C92" s="129" t="s">
        <v>295</v>
      </c>
      <c r="D92" s="175"/>
      <c r="E92" s="176"/>
      <c r="F92" s="128">
        <v>242300</v>
      </c>
      <c r="G92" s="127">
        <v>3</v>
      </c>
      <c r="H92" s="182" t="s">
        <v>296</v>
      </c>
      <c r="I92" s="126"/>
      <c r="J92" s="177"/>
      <c r="K92" s="192"/>
      <c r="L92" s="36"/>
      <c r="M92" s="178">
        <f t="shared" si="37"/>
        <v>-242300</v>
      </c>
      <c r="N92" s="179">
        <v>43890</v>
      </c>
      <c r="O92" s="180">
        <f t="shared" si="38"/>
        <v>43951</v>
      </c>
      <c r="P92" s="14">
        <f t="shared" si="39"/>
        <v>3</v>
      </c>
      <c r="Q92" s="126">
        <f t="shared" si="40"/>
        <v>0</v>
      </c>
      <c r="R92" s="126">
        <f t="shared" si="40"/>
        <v>-80766.666666666672</v>
      </c>
      <c r="S92" s="208">
        <f t="shared" si="40"/>
        <v>-80766.666666666672</v>
      </c>
      <c r="T92" s="126">
        <f t="shared" si="40"/>
        <v>-80766.666666666672</v>
      </c>
      <c r="U92" s="61">
        <f t="shared" ref="U92:AC133" si="43">IF(OR(U$41&lt;$N92,U$41&gt;$O92),0,($M92-SUM($Q92:$T92))/$P92)</f>
        <v>0</v>
      </c>
      <c r="V92" s="61">
        <f t="shared" si="41"/>
        <v>0</v>
      </c>
      <c r="W92" s="61">
        <f t="shared" si="41"/>
        <v>0</v>
      </c>
      <c r="X92" s="61">
        <f t="shared" si="41"/>
        <v>0</v>
      </c>
      <c r="Y92" s="61">
        <f t="shared" si="41"/>
        <v>0</v>
      </c>
      <c r="Z92" s="61">
        <f t="shared" si="41"/>
        <v>0</v>
      </c>
      <c r="AA92" s="61">
        <f t="shared" si="41"/>
        <v>0</v>
      </c>
      <c r="AB92" s="61">
        <f t="shared" si="41"/>
        <v>0</v>
      </c>
      <c r="AC92" s="207">
        <f t="shared" si="41"/>
        <v>0</v>
      </c>
      <c r="AD92" s="126">
        <f t="shared" si="40"/>
        <v>0</v>
      </c>
      <c r="AE92" s="126">
        <f t="shared" si="40"/>
        <v>0</v>
      </c>
      <c r="AF92" s="126">
        <f t="shared" si="40"/>
        <v>0</v>
      </c>
      <c r="AG92" s="126">
        <f t="shared" si="42"/>
        <v>0</v>
      </c>
      <c r="AH92" s="126">
        <f t="shared" si="42"/>
        <v>0</v>
      </c>
      <c r="AI92" s="126">
        <f t="shared" si="42"/>
        <v>0</v>
      </c>
      <c r="AJ92" s="126">
        <f t="shared" si="42"/>
        <v>0</v>
      </c>
      <c r="AK92" s="126">
        <f t="shared" si="42"/>
        <v>0</v>
      </c>
      <c r="AL92" s="126">
        <f t="shared" si="42"/>
        <v>0</v>
      </c>
      <c r="AM92" s="126">
        <f t="shared" si="42"/>
        <v>0</v>
      </c>
      <c r="AN92" s="126">
        <f t="shared" si="42"/>
        <v>0</v>
      </c>
      <c r="AO92" s="126">
        <f t="shared" si="42"/>
        <v>0</v>
      </c>
      <c r="AP92" s="126">
        <f t="shared" si="42"/>
        <v>0</v>
      </c>
      <c r="AQ92" s="126">
        <f t="shared" si="42"/>
        <v>0</v>
      </c>
      <c r="AR92" s="126">
        <f t="shared" si="42"/>
        <v>0</v>
      </c>
      <c r="AS92" s="126">
        <f t="shared" si="42"/>
        <v>0</v>
      </c>
      <c r="AT92" s="126">
        <f t="shared" si="42"/>
        <v>0</v>
      </c>
      <c r="AU92" s="126">
        <f t="shared" si="42"/>
        <v>0</v>
      </c>
      <c r="AV92" s="181">
        <f t="shared" si="24"/>
        <v>-242300</v>
      </c>
      <c r="AW92" s="178">
        <f t="shared" si="25"/>
        <v>0</v>
      </c>
    </row>
    <row r="93" spans="1:49" x14ac:dyDescent="0.25">
      <c r="A93" s="13"/>
      <c r="B93" s="63"/>
      <c r="C93" s="13" t="s">
        <v>297</v>
      </c>
      <c r="F93" s="60">
        <v>0</v>
      </c>
      <c r="G93" s="88">
        <v>9</v>
      </c>
      <c r="H93" s="61"/>
      <c r="I93" s="61"/>
      <c r="J93" s="124"/>
      <c r="K93" s="192"/>
      <c r="L93" s="36"/>
      <c r="M93" s="36">
        <f t="shared" si="37"/>
        <v>0</v>
      </c>
      <c r="N93" s="90">
        <f>N92</f>
        <v>43890</v>
      </c>
      <c r="O93" s="90">
        <f t="shared" si="38"/>
        <v>44135</v>
      </c>
      <c r="P93" s="3">
        <f>ROUND((O93-N93)/365*12,0)+1</f>
        <v>9</v>
      </c>
      <c r="Q93" s="61">
        <f t="shared" si="40"/>
        <v>0</v>
      </c>
      <c r="R93" s="61">
        <f t="shared" si="40"/>
        <v>0</v>
      </c>
      <c r="S93" s="207">
        <f t="shared" si="40"/>
        <v>0</v>
      </c>
      <c r="T93" s="61">
        <f t="shared" si="40"/>
        <v>0</v>
      </c>
      <c r="U93" s="61">
        <f t="shared" si="43"/>
        <v>0</v>
      </c>
      <c r="V93" s="61">
        <f t="shared" si="41"/>
        <v>0</v>
      </c>
      <c r="W93" s="61">
        <f t="shared" si="41"/>
        <v>0</v>
      </c>
      <c r="X93" s="61">
        <f t="shared" si="41"/>
        <v>0</v>
      </c>
      <c r="Y93" s="61">
        <f t="shared" si="41"/>
        <v>0</v>
      </c>
      <c r="Z93" s="61">
        <f t="shared" si="41"/>
        <v>0</v>
      </c>
      <c r="AA93" s="61">
        <f t="shared" si="41"/>
        <v>0</v>
      </c>
      <c r="AB93" s="61">
        <f t="shared" si="41"/>
        <v>0</v>
      </c>
      <c r="AC93" s="207">
        <f t="shared" si="41"/>
        <v>0</v>
      </c>
      <c r="AD93" s="61">
        <f t="shared" si="40"/>
        <v>0</v>
      </c>
      <c r="AE93" s="61">
        <f t="shared" si="40"/>
        <v>0</v>
      </c>
      <c r="AF93" s="61">
        <f t="shared" si="40"/>
        <v>0</v>
      </c>
      <c r="AG93" s="61">
        <f t="shared" si="42"/>
        <v>0</v>
      </c>
      <c r="AH93" s="61">
        <f t="shared" si="42"/>
        <v>0</v>
      </c>
      <c r="AI93" s="61">
        <f t="shared" si="42"/>
        <v>0</v>
      </c>
      <c r="AJ93" s="61">
        <f t="shared" si="42"/>
        <v>0</v>
      </c>
      <c r="AK93" s="61">
        <f t="shared" si="42"/>
        <v>0</v>
      </c>
      <c r="AL93" s="61">
        <f t="shared" si="42"/>
        <v>0</v>
      </c>
      <c r="AM93" s="61">
        <f t="shared" si="42"/>
        <v>0</v>
      </c>
      <c r="AN93" s="61">
        <f t="shared" si="42"/>
        <v>0</v>
      </c>
      <c r="AO93" s="61">
        <f t="shared" si="42"/>
        <v>0</v>
      </c>
      <c r="AP93" s="61">
        <f t="shared" si="42"/>
        <v>0</v>
      </c>
      <c r="AQ93" s="61">
        <f t="shared" si="42"/>
        <v>0</v>
      </c>
      <c r="AR93" s="61">
        <f t="shared" si="42"/>
        <v>0</v>
      </c>
      <c r="AS93" s="61">
        <f t="shared" si="42"/>
        <v>0</v>
      </c>
      <c r="AT93" s="61">
        <f t="shared" si="42"/>
        <v>0</v>
      </c>
      <c r="AU93" s="61">
        <f t="shared" si="42"/>
        <v>0</v>
      </c>
      <c r="AV93" s="103">
        <f t="shared" si="24"/>
        <v>0</v>
      </c>
      <c r="AW93" s="36">
        <f t="shared" si="25"/>
        <v>0</v>
      </c>
    </row>
    <row r="94" spans="1:49" x14ac:dyDescent="0.25">
      <c r="A94" s="13"/>
      <c r="B94" s="63"/>
      <c r="C94" s="13" t="s">
        <v>298</v>
      </c>
      <c r="F94" s="60">
        <v>20000</v>
      </c>
      <c r="G94" s="88">
        <v>9</v>
      </c>
      <c r="H94" s="61"/>
      <c r="I94" s="61"/>
      <c r="J94" s="124"/>
      <c r="K94" s="192"/>
      <c r="L94" s="36"/>
      <c r="M94" s="36">
        <f t="shared" si="37"/>
        <v>-20000</v>
      </c>
      <c r="N94" s="90">
        <f>N91</f>
        <v>43982</v>
      </c>
      <c r="O94" s="90">
        <f t="shared" si="38"/>
        <v>44227</v>
      </c>
      <c r="P94" s="3">
        <f>ROUND((O94-N94)/365*12,0)+1</f>
        <v>9</v>
      </c>
      <c r="Q94" s="61">
        <f t="shared" si="40"/>
        <v>0</v>
      </c>
      <c r="R94" s="61">
        <f t="shared" si="40"/>
        <v>0</v>
      </c>
      <c r="S94" s="207">
        <f t="shared" si="40"/>
        <v>0</v>
      </c>
      <c r="T94" s="61">
        <f t="shared" si="40"/>
        <v>0</v>
      </c>
      <c r="U94" s="61">
        <f t="shared" si="43"/>
        <v>-2222.2222222222222</v>
      </c>
      <c r="V94" s="61">
        <f t="shared" si="41"/>
        <v>-2222.2222222222222</v>
      </c>
      <c r="W94" s="61">
        <f t="shared" si="41"/>
        <v>-2222.2222222222222</v>
      </c>
      <c r="X94" s="61">
        <f t="shared" si="41"/>
        <v>-2222.2222222222222</v>
      </c>
      <c r="Y94" s="61">
        <f t="shared" si="41"/>
        <v>-2222.2222222222222</v>
      </c>
      <c r="Z94" s="61">
        <f t="shared" si="41"/>
        <v>-2222.2222222222222</v>
      </c>
      <c r="AA94" s="61">
        <f t="shared" si="41"/>
        <v>-2222.2222222222222</v>
      </c>
      <c r="AB94" s="61">
        <f t="shared" si="41"/>
        <v>-2222.2222222222222</v>
      </c>
      <c r="AC94" s="207">
        <f t="shared" si="41"/>
        <v>-2222.2222222222222</v>
      </c>
      <c r="AD94" s="61">
        <f t="shared" si="40"/>
        <v>0</v>
      </c>
      <c r="AE94" s="61">
        <f t="shared" si="40"/>
        <v>0</v>
      </c>
      <c r="AF94" s="61">
        <f t="shared" si="40"/>
        <v>0</v>
      </c>
      <c r="AG94" s="61">
        <f t="shared" si="42"/>
        <v>0</v>
      </c>
      <c r="AH94" s="61">
        <f t="shared" si="42"/>
        <v>0</v>
      </c>
      <c r="AI94" s="61">
        <f t="shared" si="42"/>
        <v>0</v>
      </c>
      <c r="AJ94" s="61">
        <f t="shared" si="42"/>
        <v>0</v>
      </c>
      <c r="AK94" s="61">
        <f t="shared" si="42"/>
        <v>0</v>
      </c>
      <c r="AL94" s="61">
        <f t="shared" si="42"/>
        <v>0</v>
      </c>
      <c r="AM94" s="61">
        <f t="shared" si="42"/>
        <v>0</v>
      </c>
      <c r="AN94" s="61">
        <f t="shared" si="42"/>
        <v>0</v>
      </c>
      <c r="AO94" s="61">
        <f t="shared" si="42"/>
        <v>0</v>
      </c>
      <c r="AP94" s="61">
        <f t="shared" si="42"/>
        <v>0</v>
      </c>
      <c r="AQ94" s="61">
        <f t="shared" si="42"/>
        <v>0</v>
      </c>
      <c r="AR94" s="61">
        <f t="shared" si="42"/>
        <v>0</v>
      </c>
      <c r="AS94" s="61">
        <f t="shared" si="42"/>
        <v>0</v>
      </c>
      <c r="AT94" s="61">
        <f t="shared" si="42"/>
        <v>0</v>
      </c>
      <c r="AU94" s="61">
        <f t="shared" si="42"/>
        <v>0</v>
      </c>
      <c r="AV94" s="103">
        <f t="shared" si="24"/>
        <v>-20000</v>
      </c>
      <c r="AW94" s="36">
        <f t="shared" si="25"/>
        <v>0</v>
      </c>
    </row>
    <row r="95" spans="1:49" x14ac:dyDescent="0.25">
      <c r="A95" s="13"/>
      <c r="B95" s="63"/>
      <c r="C95" s="13" t="s">
        <v>299</v>
      </c>
      <c r="F95" s="60">
        <v>30000</v>
      </c>
      <c r="G95" s="88">
        <v>9</v>
      </c>
      <c r="H95" s="61"/>
      <c r="I95" s="61"/>
      <c r="J95" s="124"/>
      <c r="K95" s="192"/>
      <c r="L95" s="36"/>
      <c r="M95" s="36">
        <f t="shared" si="37"/>
        <v>-30000</v>
      </c>
      <c r="N95" s="90">
        <f t="shared" ref="N95" si="44">N94</f>
        <v>43982</v>
      </c>
      <c r="O95" s="90">
        <f t="shared" si="38"/>
        <v>44227</v>
      </c>
      <c r="P95" s="3">
        <f t="shared" si="39"/>
        <v>9</v>
      </c>
      <c r="Q95" s="61">
        <f t="shared" si="40"/>
        <v>0</v>
      </c>
      <c r="R95" s="61">
        <f t="shared" si="40"/>
        <v>0</v>
      </c>
      <c r="S95" s="207">
        <f t="shared" si="40"/>
        <v>0</v>
      </c>
      <c r="T95" s="61">
        <f t="shared" si="40"/>
        <v>0</v>
      </c>
      <c r="U95" s="61">
        <f t="shared" si="43"/>
        <v>-3333.3333333333335</v>
      </c>
      <c r="V95" s="61">
        <f t="shared" si="41"/>
        <v>-3333.3333333333335</v>
      </c>
      <c r="W95" s="61">
        <f t="shared" si="41"/>
        <v>-3333.3333333333335</v>
      </c>
      <c r="X95" s="61">
        <f t="shared" si="41"/>
        <v>-3333.3333333333335</v>
      </c>
      <c r="Y95" s="61">
        <f t="shared" si="41"/>
        <v>-3333.3333333333335</v>
      </c>
      <c r="Z95" s="61">
        <f t="shared" si="41"/>
        <v>-3333.3333333333335</v>
      </c>
      <c r="AA95" s="61">
        <f t="shared" si="41"/>
        <v>-3333.3333333333335</v>
      </c>
      <c r="AB95" s="61">
        <f t="shared" si="41"/>
        <v>-3333.3333333333335</v>
      </c>
      <c r="AC95" s="207">
        <f t="shared" si="41"/>
        <v>-3333.3333333333335</v>
      </c>
      <c r="AD95" s="61">
        <f t="shared" si="40"/>
        <v>0</v>
      </c>
      <c r="AE95" s="61">
        <f t="shared" si="40"/>
        <v>0</v>
      </c>
      <c r="AF95" s="61">
        <f t="shared" si="40"/>
        <v>0</v>
      </c>
      <c r="AG95" s="61">
        <f t="shared" si="42"/>
        <v>0</v>
      </c>
      <c r="AH95" s="61">
        <f t="shared" si="42"/>
        <v>0</v>
      </c>
      <c r="AI95" s="61">
        <f t="shared" si="42"/>
        <v>0</v>
      </c>
      <c r="AJ95" s="61">
        <f t="shared" si="42"/>
        <v>0</v>
      </c>
      <c r="AK95" s="61">
        <f t="shared" si="42"/>
        <v>0</v>
      </c>
      <c r="AL95" s="61">
        <f t="shared" si="42"/>
        <v>0</v>
      </c>
      <c r="AM95" s="61">
        <f t="shared" si="42"/>
        <v>0</v>
      </c>
      <c r="AN95" s="61">
        <f t="shared" si="42"/>
        <v>0</v>
      </c>
      <c r="AO95" s="61">
        <f t="shared" si="42"/>
        <v>0</v>
      </c>
      <c r="AP95" s="61">
        <f t="shared" si="42"/>
        <v>0</v>
      </c>
      <c r="AQ95" s="61">
        <f t="shared" si="42"/>
        <v>0</v>
      </c>
      <c r="AR95" s="61">
        <f t="shared" si="42"/>
        <v>0</v>
      </c>
      <c r="AS95" s="61">
        <f t="shared" si="42"/>
        <v>0</v>
      </c>
      <c r="AT95" s="61">
        <f t="shared" si="42"/>
        <v>0</v>
      </c>
      <c r="AU95" s="61">
        <f t="shared" si="42"/>
        <v>0</v>
      </c>
      <c r="AV95" s="103">
        <f t="shared" si="24"/>
        <v>-29999.999999999996</v>
      </c>
      <c r="AW95" s="36">
        <f t="shared" si="25"/>
        <v>0</v>
      </c>
    </row>
    <row r="96" spans="1:49" x14ac:dyDescent="0.25">
      <c r="A96" s="13"/>
      <c r="B96" s="191"/>
      <c r="C96" s="13" t="s">
        <v>300</v>
      </c>
      <c r="F96" s="60">
        <v>278775.57</v>
      </c>
      <c r="G96" s="88">
        <v>1</v>
      </c>
      <c r="H96" s="61"/>
      <c r="I96" s="61"/>
      <c r="J96" s="124"/>
      <c r="K96" s="192"/>
      <c r="L96" s="36"/>
      <c r="M96" s="36">
        <f t="shared" si="37"/>
        <v>-278775.57</v>
      </c>
      <c r="N96" s="90">
        <v>43861</v>
      </c>
      <c r="O96" s="90">
        <f t="shared" si="38"/>
        <v>43861</v>
      </c>
      <c r="P96" s="3">
        <f t="shared" si="39"/>
        <v>1</v>
      </c>
      <c r="Q96" s="61">
        <f t="shared" si="40"/>
        <v>-278775.57</v>
      </c>
      <c r="R96" s="61">
        <f t="shared" si="40"/>
        <v>0</v>
      </c>
      <c r="S96" s="207">
        <f t="shared" si="40"/>
        <v>0</v>
      </c>
      <c r="T96" s="61">
        <f t="shared" si="40"/>
        <v>0</v>
      </c>
      <c r="U96" s="61">
        <f t="shared" si="43"/>
        <v>0</v>
      </c>
      <c r="V96" s="61">
        <f t="shared" si="41"/>
        <v>0</v>
      </c>
      <c r="W96" s="61">
        <f t="shared" si="41"/>
        <v>0</v>
      </c>
      <c r="X96" s="61">
        <f t="shared" si="41"/>
        <v>0</v>
      </c>
      <c r="Y96" s="61">
        <f t="shared" si="41"/>
        <v>0</v>
      </c>
      <c r="Z96" s="61">
        <f t="shared" si="41"/>
        <v>0</v>
      </c>
      <c r="AA96" s="61">
        <f t="shared" si="41"/>
        <v>0</v>
      </c>
      <c r="AB96" s="61">
        <f t="shared" si="41"/>
        <v>0</v>
      </c>
      <c r="AC96" s="207">
        <f t="shared" si="41"/>
        <v>0</v>
      </c>
      <c r="AD96" s="61">
        <f t="shared" si="40"/>
        <v>0</v>
      </c>
      <c r="AE96" s="61">
        <f t="shared" si="40"/>
        <v>0</v>
      </c>
      <c r="AF96" s="61">
        <f t="shared" si="40"/>
        <v>0</v>
      </c>
      <c r="AG96" s="61">
        <f t="shared" si="42"/>
        <v>0</v>
      </c>
      <c r="AH96" s="61">
        <f t="shared" si="42"/>
        <v>0</v>
      </c>
      <c r="AI96" s="61">
        <f t="shared" si="42"/>
        <v>0</v>
      </c>
      <c r="AJ96" s="61">
        <f t="shared" si="42"/>
        <v>0</v>
      </c>
      <c r="AK96" s="61">
        <f t="shared" si="42"/>
        <v>0</v>
      </c>
      <c r="AL96" s="61">
        <f t="shared" si="42"/>
        <v>0</v>
      </c>
      <c r="AM96" s="61">
        <f t="shared" si="42"/>
        <v>0</v>
      </c>
      <c r="AN96" s="61">
        <f t="shared" si="42"/>
        <v>0</v>
      </c>
      <c r="AO96" s="61">
        <f t="shared" si="42"/>
        <v>0</v>
      </c>
      <c r="AP96" s="61">
        <f t="shared" si="42"/>
        <v>0</v>
      </c>
      <c r="AQ96" s="61">
        <f t="shared" si="42"/>
        <v>0</v>
      </c>
      <c r="AR96" s="61">
        <f t="shared" si="42"/>
        <v>0</v>
      </c>
      <c r="AS96" s="61">
        <f t="shared" si="42"/>
        <v>0</v>
      </c>
      <c r="AT96" s="61">
        <f t="shared" si="42"/>
        <v>0</v>
      </c>
      <c r="AU96" s="61">
        <f t="shared" si="42"/>
        <v>0</v>
      </c>
      <c r="AV96" s="103">
        <f t="shared" si="24"/>
        <v>-278775.57</v>
      </c>
      <c r="AW96" s="36">
        <f t="shared" si="25"/>
        <v>0</v>
      </c>
    </row>
    <row r="97" spans="1:49" x14ac:dyDescent="0.25">
      <c r="A97" s="13"/>
      <c r="B97" s="63"/>
      <c r="C97" s="13" t="s">
        <v>301</v>
      </c>
      <c r="F97" s="60">
        <f>31980+650</f>
        <v>32630</v>
      </c>
      <c r="G97" s="88">
        <v>1</v>
      </c>
      <c r="H97" s="61"/>
      <c r="I97" s="61"/>
      <c r="J97" s="124"/>
      <c r="K97" s="192"/>
      <c r="L97" s="36"/>
      <c r="M97" s="36">
        <f t="shared" ref="M97" si="45">-F97</f>
        <v>-32630</v>
      </c>
      <c r="N97" s="89">
        <v>43861</v>
      </c>
      <c r="O97" s="90">
        <f t="shared" ref="O97" si="46">EOMONTH(N97,G97-1)</f>
        <v>43861</v>
      </c>
      <c r="P97" s="3">
        <f t="shared" ref="P97" si="47">ROUND((O97-N97)/365*12,0)+1</f>
        <v>1</v>
      </c>
      <c r="Q97" s="61">
        <f t="shared" si="40"/>
        <v>-32630</v>
      </c>
      <c r="R97" s="61">
        <f t="shared" si="40"/>
        <v>0</v>
      </c>
      <c r="S97" s="207">
        <f t="shared" si="40"/>
        <v>0</v>
      </c>
      <c r="T97" s="61">
        <f t="shared" si="40"/>
        <v>0</v>
      </c>
      <c r="U97" s="61">
        <f t="shared" si="43"/>
        <v>0</v>
      </c>
      <c r="V97" s="61">
        <f t="shared" si="41"/>
        <v>0</v>
      </c>
      <c r="W97" s="61">
        <f t="shared" si="41"/>
        <v>0</v>
      </c>
      <c r="X97" s="61">
        <f t="shared" si="41"/>
        <v>0</v>
      </c>
      <c r="Y97" s="61">
        <f t="shared" si="41"/>
        <v>0</v>
      </c>
      <c r="Z97" s="61">
        <f t="shared" si="41"/>
        <v>0</v>
      </c>
      <c r="AA97" s="61">
        <f t="shared" si="41"/>
        <v>0</v>
      </c>
      <c r="AB97" s="61">
        <f t="shared" si="41"/>
        <v>0</v>
      </c>
      <c r="AC97" s="207">
        <f t="shared" si="41"/>
        <v>0</v>
      </c>
      <c r="AD97" s="61">
        <f t="shared" si="40"/>
        <v>0</v>
      </c>
      <c r="AE97" s="61">
        <f t="shared" si="40"/>
        <v>0</v>
      </c>
      <c r="AF97" s="61">
        <f t="shared" si="40"/>
        <v>0</v>
      </c>
      <c r="AG97" s="61">
        <f t="shared" si="42"/>
        <v>0</v>
      </c>
      <c r="AH97" s="61">
        <f t="shared" si="42"/>
        <v>0</v>
      </c>
      <c r="AI97" s="61">
        <f t="shared" si="42"/>
        <v>0</v>
      </c>
      <c r="AJ97" s="61">
        <f t="shared" si="42"/>
        <v>0</v>
      </c>
      <c r="AK97" s="61">
        <f t="shared" si="42"/>
        <v>0</v>
      </c>
      <c r="AL97" s="61">
        <f t="shared" si="42"/>
        <v>0</v>
      </c>
      <c r="AM97" s="61">
        <f t="shared" si="42"/>
        <v>0</v>
      </c>
      <c r="AN97" s="61">
        <f t="shared" si="42"/>
        <v>0</v>
      </c>
      <c r="AO97" s="61">
        <f t="shared" si="42"/>
        <v>0</v>
      </c>
      <c r="AP97" s="61">
        <f t="shared" si="42"/>
        <v>0</v>
      </c>
      <c r="AQ97" s="61">
        <f t="shared" si="42"/>
        <v>0</v>
      </c>
      <c r="AR97" s="61">
        <f t="shared" si="42"/>
        <v>0</v>
      </c>
      <c r="AS97" s="61">
        <f t="shared" si="42"/>
        <v>0</v>
      </c>
      <c r="AT97" s="61">
        <f t="shared" si="42"/>
        <v>0</v>
      </c>
      <c r="AU97" s="61">
        <f t="shared" si="42"/>
        <v>0</v>
      </c>
      <c r="AV97" s="103">
        <f t="shared" si="24"/>
        <v>-32630</v>
      </c>
      <c r="AW97" s="36">
        <f t="shared" si="25"/>
        <v>0</v>
      </c>
    </row>
    <row r="98" spans="1:49" ht="14.25" thickBot="1" x14ac:dyDescent="0.3">
      <c r="A98" s="13"/>
      <c r="B98" s="63"/>
      <c r="C98" s="13"/>
      <c r="F98" s="94">
        <f>SUM(F91:F97)</f>
        <v>763950.0419999999</v>
      </c>
      <c r="G98" s="93"/>
      <c r="H98" s="61"/>
      <c r="I98" s="61"/>
      <c r="K98" s="192"/>
      <c r="L98" s="36"/>
      <c r="M98" s="36"/>
      <c r="N98" s="90"/>
      <c r="O98" s="90"/>
      <c r="Q98" s="61"/>
      <c r="R98" s="61"/>
      <c r="S98" s="207"/>
      <c r="T98" s="61"/>
      <c r="U98" s="61">
        <f t="shared" si="43"/>
        <v>0</v>
      </c>
      <c r="V98" s="61">
        <f t="shared" si="41"/>
        <v>0</v>
      </c>
      <c r="W98" s="61">
        <f t="shared" si="41"/>
        <v>0</v>
      </c>
      <c r="X98" s="61">
        <f t="shared" si="41"/>
        <v>0</v>
      </c>
      <c r="Y98" s="61">
        <f t="shared" si="41"/>
        <v>0</v>
      </c>
      <c r="Z98" s="61">
        <f t="shared" si="41"/>
        <v>0</v>
      </c>
      <c r="AA98" s="61">
        <f t="shared" si="41"/>
        <v>0</v>
      </c>
      <c r="AB98" s="61">
        <f t="shared" si="41"/>
        <v>0</v>
      </c>
      <c r="AC98" s="207">
        <f t="shared" si="41"/>
        <v>0</v>
      </c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103">
        <f t="shared" si="24"/>
        <v>0</v>
      </c>
      <c r="AW98" s="36">
        <f t="shared" si="25"/>
        <v>0</v>
      </c>
    </row>
    <row r="99" spans="1:49" ht="14.25" thickTop="1" x14ac:dyDescent="0.25">
      <c r="A99" s="13"/>
      <c r="B99" s="63"/>
      <c r="C99" s="13"/>
      <c r="F99" s="61"/>
      <c r="G99" s="93"/>
      <c r="H99" s="61"/>
      <c r="I99" s="61"/>
      <c r="K99" s="192"/>
      <c r="L99" s="36"/>
      <c r="M99" s="36"/>
      <c r="N99" s="90"/>
      <c r="O99" s="90"/>
      <c r="Q99" s="61"/>
      <c r="R99" s="61"/>
      <c r="S99" s="207"/>
      <c r="T99" s="61"/>
      <c r="U99" s="61">
        <f t="shared" si="43"/>
        <v>0</v>
      </c>
      <c r="V99" s="61">
        <f t="shared" si="41"/>
        <v>0</v>
      </c>
      <c r="W99" s="61">
        <f t="shared" si="41"/>
        <v>0</v>
      </c>
      <c r="X99" s="61">
        <f t="shared" si="41"/>
        <v>0</v>
      </c>
      <c r="Y99" s="61">
        <f t="shared" si="41"/>
        <v>0</v>
      </c>
      <c r="Z99" s="61">
        <f t="shared" si="41"/>
        <v>0</v>
      </c>
      <c r="AA99" s="61">
        <f t="shared" si="41"/>
        <v>0</v>
      </c>
      <c r="AB99" s="61">
        <f t="shared" si="41"/>
        <v>0</v>
      </c>
      <c r="AC99" s="207">
        <f t="shared" si="41"/>
        <v>0</v>
      </c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103">
        <f t="shared" si="24"/>
        <v>0</v>
      </c>
      <c r="AW99" s="36">
        <f t="shared" si="25"/>
        <v>0</v>
      </c>
    </row>
    <row r="100" spans="1:49" x14ac:dyDescent="0.25">
      <c r="A100" s="13"/>
      <c r="B100" s="63"/>
      <c r="C100" s="13" t="s">
        <v>302</v>
      </c>
      <c r="D100" s="125">
        <f>COUNTA(C76:C87)</f>
        <v>12</v>
      </c>
      <c r="E100" s="60">
        <v>15000</v>
      </c>
      <c r="F100" s="126">
        <f>D100*E100</f>
        <v>180000</v>
      </c>
      <c r="G100" s="127">
        <v>9</v>
      </c>
      <c r="H100" s="61"/>
      <c r="I100" s="61"/>
      <c r="K100" s="192"/>
      <c r="L100" s="36"/>
      <c r="M100" s="36">
        <f t="shared" ref="M100:M109" si="48">-F100</f>
        <v>-180000</v>
      </c>
      <c r="N100" s="90">
        <f>N91</f>
        <v>43982</v>
      </c>
      <c r="O100" s="90">
        <f t="shared" ref="O100:O109" si="49">EOMONTH(N100,G100-1)</f>
        <v>44227</v>
      </c>
      <c r="P100" s="3">
        <f t="shared" ref="P100:P110" si="50">ROUND((O100-N100)/365*12,0)+1</f>
        <v>9</v>
      </c>
      <c r="Q100" s="61">
        <f t="shared" ref="Q100:AU107" si="51">IF(OR(Q$41&lt;$N100,Q$41&gt;$O100),0,$M100/$P100)</f>
        <v>0</v>
      </c>
      <c r="R100" s="61">
        <f t="shared" si="51"/>
        <v>0</v>
      </c>
      <c r="S100" s="207">
        <f t="shared" si="51"/>
        <v>0</v>
      </c>
      <c r="T100" s="61">
        <f t="shared" si="51"/>
        <v>0</v>
      </c>
      <c r="U100" s="61">
        <f t="shared" si="43"/>
        <v>-20000</v>
      </c>
      <c r="V100" s="61">
        <f t="shared" si="41"/>
        <v>-20000</v>
      </c>
      <c r="W100" s="61">
        <f t="shared" si="41"/>
        <v>-20000</v>
      </c>
      <c r="X100" s="61">
        <f t="shared" si="41"/>
        <v>-20000</v>
      </c>
      <c r="Y100" s="61">
        <f t="shared" si="41"/>
        <v>-20000</v>
      </c>
      <c r="Z100" s="61">
        <f t="shared" si="41"/>
        <v>-20000</v>
      </c>
      <c r="AA100" s="61">
        <f t="shared" si="41"/>
        <v>-20000</v>
      </c>
      <c r="AB100" s="61">
        <f t="shared" si="41"/>
        <v>-20000</v>
      </c>
      <c r="AC100" s="207">
        <f t="shared" si="41"/>
        <v>-20000</v>
      </c>
      <c r="AD100" s="61">
        <f t="shared" si="51"/>
        <v>0</v>
      </c>
      <c r="AE100" s="61">
        <f t="shared" si="51"/>
        <v>0</v>
      </c>
      <c r="AF100" s="61">
        <f t="shared" si="51"/>
        <v>0</v>
      </c>
      <c r="AG100" s="61">
        <f t="shared" si="51"/>
        <v>0</v>
      </c>
      <c r="AH100" s="61">
        <f t="shared" si="51"/>
        <v>0</v>
      </c>
      <c r="AI100" s="61">
        <f t="shared" si="51"/>
        <v>0</v>
      </c>
      <c r="AJ100" s="61">
        <f t="shared" si="51"/>
        <v>0</v>
      </c>
      <c r="AK100" s="61">
        <f t="shared" si="51"/>
        <v>0</v>
      </c>
      <c r="AL100" s="61">
        <f t="shared" si="51"/>
        <v>0</v>
      </c>
      <c r="AM100" s="61">
        <f t="shared" si="51"/>
        <v>0</v>
      </c>
      <c r="AN100" s="61">
        <f t="shared" si="51"/>
        <v>0</v>
      </c>
      <c r="AO100" s="61">
        <f t="shared" si="51"/>
        <v>0</v>
      </c>
      <c r="AP100" s="61">
        <f t="shared" si="51"/>
        <v>0</v>
      </c>
      <c r="AQ100" s="61">
        <f t="shared" si="51"/>
        <v>0</v>
      </c>
      <c r="AR100" s="61">
        <f t="shared" si="51"/>
        <v>0</v>
      </c>
      <c r="AS100" s="61">
        <f t="shared" si="51"/>
        <v>0</v>
      </c>
      <c r="AT100" s="61">
        <f t="shared" si="51"/>
        <v>0</v>
      </c>
      <c r="AU100" s="61">
        <f t="shared" si="51"/>
        <v>0</v>
      </c>
      <c r="AV100" s="103">
        <f t="shared" si="24"/>
        <v>-180000</v>
      </c>
      <c r="AW100" s="36">
        <f t="shared" si="25"/>
        <v>0</v>
      </c>
    </row>
    <row r="101" spans="1:49" x14ac:dyDescent="0.25">
      <c r="A101" s="13"/>
      <c r="B101" s="63"/>
      <c r="C101" s="13" t="s">
        <v>303</v>
      </c>
      <c r="F101" s="128">
        <v>35000</v>
      </c>
      <c r="G101" s="127">
        <f>G91</f>
        <v>9</v>
      </c>
      <c r="H101" s="61"/>
      <c r="I101" s="61"/>
      <c r="K101" s="192"/>
      <c r="L101" s="36"/>
      <c r="M101" s="36">
        <f t="shared" si="48"/>
        <v>-35000</v>
      </c>
      <c r="N101" s="90">
        <f>$N$79</f>
        <v>43982</v>
      </c>
      <c r="O101" s="90">
        <f t="shared" si="49"/>
        <v>44227</v>
      </c>
      <c r="P101" s="3">
        <f t="shared" si="50"/>
        <v>9</v>
      </c>
      <c r="Q101" s="61">
        <f t="shared" si="51"/>
        <v>0</v>
      </c>
      <c r="R101" s="61">
        <f t="shared" si="51"/>
        <v>0</v>
      </c>
      <c r="S101" s="207">
        <f t="shared" si="51"/>
        <v>0</v>
      </c>
      <c r="T101" s="61">
        <f t="shared" si="51"/>
        <v>0</v>
      </c>
      <c r="U101" s="61">
        <f t="shared" si="43"/>
        <v>-3888.8888888888887</v>
      </c>
      <c r="V101" s="61">
        <f t="shared" si="41"/>
        <v>-3888.8888888888887</v>
      </c>
      <c r="W101" s="61">
        <f t="shared" si="41"/>
        <v>-3888.8888888888887</v>
      </c>
      <c r="X101" s="61">
        <f t="shared" si="41"/>
        <v>-3888.8888888888887</v>
      </c>
      <c r="Y101" s="61">
        <f t="shared" si="41"/>
        <v>-3888.8888888888887</v>
      </c>
      <c r="Z101" s="61">
        <f t="shared" si="41"/>
        <v>-3888.8888888888887</v>
      </c>
      <c r="AA101" s="61">
        <f t="shared" si="41"/>
        <v>-3888.8888888888887</v>
      </c>
      <c r="AB101" s="61">
        <f t="shared" si="41"/>
        <v>-3888.8888888888887</v>
      </c>
      <c r="AC101" s="207">
        <f t="shared" si="41"/>
        <v>-3888.8888888888887</v>
      </c>
      <c r="AD101" s="61">
        <f t="shared" si="51"/>
        <v>0</v>
      </c>
      <c r="AE101" s="61">
        <f t="shared" si="51"/>
        <v>0</v>
      </c>
      <c r="AF101" s="61">
        <f t="shared" si="51"/>
        <v>0</v>
      </c>
      <c r="AG101" s="61">
        <f t="shared" si="51"/>
        <v>0</v>
      </c>
      <c r="AH101" s="61">
        <f t="shared" si="51"/>
        <v>0</v>
      </c>
      <c r="AI101" s="61">
        <f t="shared" si="51"/>
        <v>0</v>
      </c>
      <c r="AJ101" s="61">
        <f t="shared" si="51"/>
        <v>0</v>
      </c>
      <c r="AK101" s="61">
        <f t="shared" si="51"/>
        <v>0</v>
      </c>
      <c r="AL101" s="61">
        <f t="shared" si="51"/>
        <v>0</v>
      </c>
      <c r="AM101" s="61">
        <f t="shared" si="51"/>
        <v>0</v>
      </c>
      <c r="AN101" s="61">
        <f t="shared" si="51"/>
        <v>0</v>
      </c>
      <c r="AO101" s="61">
        <f t="shared" si="51"/>
        <v>0</v>
      </c>
      <c r="AP101" s="61">
        <f t="shared" si="51"/>
        <v>0</v>
      </c>
      <c r="AQ101" s="61">
        <f t="shared" si="51"/>
        <v>0</v>
      </c>
      <c r="AR101" s="61">
        <f t="shared" si="51"/>
        <v>0</v>
      </c>
      <c r="AS101" s="61">
        <f t="shared" si="51"/>
        <v>0</v>
      </c>
      <c r="AT101" s="61">
        <f t="shared" si="51"/>
        <v>0</v>
      </c>
      <c r="AU101" s="61">
        <f t="shared" si="51"/>
        <v>0</v>
      </c>
      <c r="AV101" s="103">
        <f t="shared" si="24"/>
        <v>-35000.000000000007</v>
      </c>
      <c r="AW101" s="36">
        <f t="shared" si="25"/>
        <v>0</v>
      </c>
    </row>
    <row r="102" spans="1:49" x14ac:dyDescent="0.25">
      <c r="A102" s="13"/>
      <c r="B102" s="63"/>
      <c r="C102" s="129" t="s">
        <v>304</v>
      </c>
      <c r="D102" s="130">
        <f>($D$89)</f>
        <v>113167</v>
      </c>
      <c r="E102" s="131">
        <v>1</v>
      </c>
      <c r="F102" s="126">
        <f>D102*E102</f>
        <v>113167</v>
      </c>
      <c r="G102" s="127">
        <f>G101</f>
        <v>9</v>
      </c>
      <c r="H102" s="61"/>
      <c r="I102" s="61"/>
      <c r="K102" s="192"/>
      <c r="L102" s="36"/>
      <c r="M102" s="36">
        <f t="shared" si="48"/>
        <v>-113167</v>
      </c>
      <c r="N102" s="90">
        <f>N91</f>
        <v>43982</v>
      </c>
      <c r="O102" s="90">
        <f t="shared" si="49"/>
        <v>44227</v>
      </c>
      <c r="P102" s="3">
        <f t="shared" si="50"/>
        <v>9</v>
      </c>
      <c r="Q102" s="61">
        <f t="shared" si="51"/>
        <v>0</v>
      </c>
      <c r="R102" s="61">
        <f t="shared" si="51"/>
        <v>0</v>
      </c>
      <c r="S102" s="207">
        <f t="shared" si="51"/>
        <v>0</v>
      </c>
      <c r="T102" s="61">
        <f t="shared" si="51"/>
        <v>0</v>
      </c>
      <c r="U102" s="61">
        <f t="shared" si="43"/>
        <v>-12574.111111111111</v>
      </c>
      <c r="V102" s="61">
        <f t="shared" si="41"/>
        <v>-12574.111111111111</v>
      </c>
      <c r="W102" s="61">
        <f t="shared" si="41"/>
        <v>-12574.111111111111</v>
      </c>
      <c r="X102" s="61">
        <f t="shared" si="41"/>
        <v>-12574.111111111111</v>
      </c>
      <c r="Y102" s="61">
        <f t="shared" si="41"/>
        <v>-12574.111111111111</v>
      </c>
      <c r="Z102" s="61">
        <f t="shared" si="41"/>
        <v>-12574.111111111111</v>
      </c>
      <c r="AA102" s="61">
        <f t="shared" si="41"/>
        <v>-12574.111111111111</v>
      </c>
      <c r="AB102" s="61">
        <f t="shared" si="41"/>
        <v>-12574.111111111111</v>
      </c>
      <c r="AC102" s="207">
        <f t="shared" si="41"/>
        <v>-12574.111111111111</v>
      </c>
      <c r="AD102" s="61">
        <f t="shared" si="51"/>
        <v>0</v>
      </c>
      <c r="AE102" s="61">
        <f t="shared" si="51"/>
        <v>0</v>
      </c>
      <c r="AF102" s="61">
        <f t="shared" si="51"/>
        <v>0</v>
      </c>
      <c r="AG102" s="61">
        <f t="shared" si="51"/>
        <v>0</v>
      </c>
      <c r="AH102" s="61">
        <f t="shared" si="51"/>
        <v>0</v>
      </c>
      <c r="AI102" s="61">
        <f t="shared" si="51"/>
        <v>0</v>
      </c>
      <c r="AJ102" s="61">
        <f t="shared" si="51"/>
        <v>0</v>
      </c>
      <c r="AK102" s="61">
        <f t="shared" si="51"/>
        <v>0</v>
      </c>
      <c r="AL102" s="61">
        <f t="shared" si="51"/>
        <v>0</v>
      </c>
      <c r="AM102" s="61">
        <f t="shared" si="51"/>
        <v>0</v>
      </c>
      <c r="AN102" s="61">
        <f t="shared" si="51"/>
        <v>0</v>
      </c>
      <c r="AO102" s="61">
        <f t="shared" si="51"/>
        <v>0</v>
      </c>
      <c r="AP102" s="61">
        <f t="shared" si="51"/>
        <v>0</v>
      </c>
      <c r="AQ102" s="61">
        <f t="shared" si="51"/>
        <v>0</v>
      </c>
      <c r="AR102" s="61">
        <f t="shared" si="51"/>
        <v>0</v>
      </c>
      <c r="AS102" s="61">
        <f t="shared" si="51"/>
        <v>0</v>
      </c>
      <c r="AT102" s="61">
        <f t="shared" si="51"/>
        <v>0</v>
      </c>
      <c r="AU102" s="61">
        <f t="shared" si="51"/>
        <v>0</v>
      </c>
      <c r="AV102" s="103">
        <f t="shared" si="24"/>
        <v>-113167</v>
      </c>
      <c r="AW102" s="36">
        <f t="shared" si="25"/>
        <v>0</v>
      </c>
    </row>
    <row r="103" spans="1:49" x14ac:dyDescent="0.25">
      <c r="A103" s="13"/>
      <c r="B103" s="63"/>
      <c r="C103" s="129" t="s">
        <v>305</v>
      </c>
      <c r="D103" s="130">
        <f>($D$89)</f>
        <v>113167</v>
      </c>
      <c r="E103" s="131">
        <v>1.5</v>
      </c>
      <c r="F103" s="126">
        <f>D103*E103</f>
        <v>169750.5</v>
      </c>
      <c r="G103" s="127">
        <f>G102</f>
        <v>9</v>
      </c>
      <c r="H103" s="61"/>
      <c r="I103" s="61"/>
      <c r="K103" s="192"/>
      <c r="L103" s="36"/>
      <c r="M103" s="36">
        <f>-F103</f>
        <v>-169750.5</v>
      </c>
      <c r="N103" s="90">
        <f>N101</f>
        <v>43982</v>
      </c>
      <c r="O103" s="90">
        <f>EOMONTH(N103,G103-1)</f>
        <v>44227</v>
      </c>
      <c r="P103" s="3">
        <f>ROUND((O103-N103)/365*12,0)+1</f>
        <v>9</v>
      </c>
      <c r="Q103" s="61">
        <f t="shared" si="51"/>
        <v>0</v>
      </c>
      <c r="R103" s="61">
        <f t="shared" si="51"/>
        <v>0</v>
      </c>
      <c r="S103" s="207">
        <f t="shared" si="51"/>
        <v>0</v>
      </c>
      <c r="T103" s="61">
        <f t="shared" si="51"/>
        <v>0</v>
      </c>
      <c r="U103" s="61">
        <f t="shared" si="43"/>
        <v>-18861.166666666668</v>
      </c>
      <c r="V103" s="61">
        <f t="shared" si="41"/>
        <v>-18861.166666666668</v>
      </c>
      <c r="W103" s="61">
        <f t="shared" si="41"/>
        <v>-18861.166666666668</v>
      </c>
      <c r="X103" s="61">
        <f t="shared" si="41"/>
        <v>-18861.166666666668</v>
      </c>
      <c r="Y103" s="61">
        <f t="shared" si="41"/>
        <v>-18861.166666666668</v>
      </c>
      <c r="Z103" s="61">
        <f t="shared" si="41"/>
        <v>-18861.166666666668</v>
      </c>
      <c r="AA103" s="61">
        <f t="shared" si="41"/>
        <v>-18861.166666666668</v>
      </c>
      <c r="AB103" s="61">
        <f t="shared" si="41"/>
        <v>-18861.166666666668</v>
      </c>
      <c r="AC103" s="207">
        <f t="shared" si="41"/>
        <v>-18861.166666666668</v>
      </c>
      <c r="AD103" s="61">
        <f t="shared" si="51"/>
        <v>0</v>
      </c>
      <c r="AE103" s="61">
        <f t="shared" si="51"/>
        <v>0</v>
      </c>
      <c r="AF103" s="61">
        <f t="shared" si="51"/>
        <v>0</v>
      </c>
      <c r="AG103" s="61">
        <f t="shared" si="51"/>
        <v>0</v>
      </c>
      <c r="AH103" s="61">
        <f t="shared" si="51"/>
        <v>0</v>
      </c>
      <c r="AI103" s="61">
        <f t="shared" si="51"/>
        <v>0</v>
      </c>
      <c r="AJ103" s="61">
        <f t="shared" si="51"/>
        <v>0</v>
      </c>
      <c r="AK103" s="61">
        <f t="shared" si="51"/>
        <v>0</v>
      </c>
      <c r="AL103" s="61">
        <f t="shared" si="51"/>
        <v>0</v>
      </c>
      <c r="AM103" s="61">
        <f t="shared" si="51"/>
        <v>0</v>
      </c>
      <c r="AN103" s="61">
        <f t="shared" si="51"/>
        <v>0</v>
      </c>
      <c r="AO103" s="61">
        <f t="shared" si="51"/>
        <v>0</v>
      </c>
      <c r="AP103" s="61">
        <f t="shared" si="51"/>
        <v>0</v>
      </c>
      <c r="AQ103" s="61">
        <f t="shared" si="51"/>
        <v>0</v>
      </c>
      <c r="AR103" s="61">
        <f t="shared" si="51"/>
        <v>0</v>
      </c>
      <c r="AS103" s="61">
        <f t="shared" si="51"/>
        <v>0</v>
      </c>
      <c r="AT103" s="61">
        <f t="shared" si="51"/>
        <v>0</v>
      </c>
      <c r="AU103" s="61">
        <f t="shared" si="51"/>
        <v>0</v>
      </c>
      <c r="AV103" s="103">
        <f t="shared" si="24"/>
        <v>-169750.5</v>
      </c>
      <c r="AW103" s="36">
        <f t="shared" si="25"/>
        <v>0</v>
      </c>
    </row>
    <row r="104" spans="1:49" x14ac:dyDescent="0.25">
      <c r="A104" s="13"/>
      <c r="B104" s="63"/>
      <c r="C104" s="129" t="s">
        <v>306</v>
      </c>
      <c r="D104" s="130">
        <f>($D$89)</f>
        <v>113167</v>
      </c>
      <c r="E104" s="131">
        <v>0.8</v>
      </c>
      <c r="F104" s="126">
        <f>D104*E104</f>
        <v>90533.6</v>
      </c>
      <c r="G104" s="127">
        <f>G103</f>
        <v>9</v>
      </c>
      <c r="H104" s="61"/>
      <c r="I104" s="61"/>
      <c r="K104" s="192"/>
      <c r="L104" s="36"/>
      <c r="M104" s="36">
        <f>-F104</f>
        <v>-90533.6</v>
      </c>
      <c r="N104" s="90">
        <f>N102</f>
        <v>43982</v>
      </c>
      <c r="O104" s="90">
        <f>EOMONTH(N104,G104-1)</f>
        <v>44227</v>
      </c>
      <c r="P104" s="3">
        <f t="shared" si="50"/>
        <v>9</v>
      </c>
      <c r="Q104" s="61">
        <f t="shared" si="51"/>
        <v>0</v>
      </c>
      <c r="R104" s="61">
        <f t="shared" si="51"/>
        <v>0</v>
      </c>
      <c r="S104" s="207">
        <f t="shared" si="51"/>
        <v>0</v>
      </c>
      <c r="T104" s="61">
        <f t="shared" si="51"/>
        <v>0</v>
      </c>
      <c r="U104" s="61">
        <f t="shared" si="43"/>
        <v>-10059.28888888889</v>
      </c>
      <c r="V104" s="61">
        <f t="shared" si="41"/>
        <v>-10059.28888888889</v>
      </c>
      <c r="W104" s="61">
        <f t="shared" si="41"/>
        <v>-10059.28888888889</v>
      </c>
      <c r="X104" s="61">
        <f t="shared" si="41"/>
        <v>-10059.28888888889</v>
      </c>
      <c r="Y104" s="61">
        <f t="shared" si="41"/>
        <v>-10059.28888888889</v>
      </c>
      <c r="Z104" s="61">
        <f t="shared" si="41"/>
        <v>-10059.28888888889</v>
      </c>
      <c r="AA104" s="61">
        <f t="shared" si="41"/>
        <v>-10059.28888888889</v>
      </c>
      <c r="AB104" s="61">
        <f t="shared" si="41"/>
        <v>-10059.28888888889</v>
      </c>
      <c r="AC104" s="207">
        <f t="shared" si="41"/>
        <v>-10059.28888888889</v>
      </c>
      <c r="AD104" s="61">
        <f t="shared" si="51"/>
        <v>0</v>
      </c>
      <c r="AE104" s="61">
        <f t="shared" si="51"/>
        <v>0</v>
      </c>
      <c r="AF104" s="61">
        <f t="shared" si="51"/>
        <v>0</v>
      </c>
      <c r="AG104" s="61">
        <f t="shared" si="51"/>
        <v>0</v>
      </c>
      <c r="AH104" s="61">
        <f t="shared" si="51"/>
        <v>0</v>
      </c>
      <c r="AI104" s="61">
        <f t="shared" si="51"/>
        <v>0</v>
      </c>
      <c r="AJ104" s="61">
        <f t="shared" si="51"/>
        <v>0</v>
      </c>
      <c r="AK104" s="61">
        <f t="shared" si="51"/>
        <v>0</v>
      </c>
      <c r="AL104" s="61">
        <f t="shared" si="51"/>
        <v>0</v>
      </c>
      <c r="AM104" s="61">
        <f t="shared" si="51"/>
        <v>0</v>
      </c>
      <c r="AN104" s="61">
        <f t="shared" si="51"/>
        <v>0</v>
      </c>
      <c r="AO104" s="61">
        <f t="shared" si="51"/>
        <v>0</v>
      </c>
      <c r="AP104" s="61">
        <f t="shared" si="51"/>
        <v>0</v>
      </c>
      <c r="AQ104" s="61">
        <f t="shared" si="51"/>
        <v>0</v>
      </c>
      <c r="AR104" s="61">
        <f t="shared" si="51"/>
        <v>0</v>
      </c>
      <c r="AS104" s="61">
        <f t="shared" si="51"/>
        <v>0</v>
      </c>
      <c r="AT104" s="61">
        <f t="shared" si="51"/>
        <v>0</v>
      </c>
      <c r="AU104" s="61">
        <f t="shared" si="51"/>
        <v>0</v>
      </c>
      <c r="AV104" s="103">
        <f t="shared" si="24"/>
        <v>-90533.6</v>
      </c>
      <c r="AW104" s="36">
        <f t="shared" si="25"/>
        <v>0</v>
      </c>
    </row>
    <row r="105" spans="1:49" x14ac:dyDescent="0.25">
      <c r="A105" s="13"/>
      <c r="B105" s="63"/>
      <c r="C105" s="13" t="s">
        <v>307</v>
      </c>
      <c r="F105" s="128">
        <v>15000</v>
      </c>
      <c r="G105" s="127">
        <v>9</v>
      </c>
      <c r="H105" s="61"/>
      <c r="I105" s="61"/>
      <c r="K105" s="192"/>
      <c r="L105" s="36"/>
      <c r="M105" s="36">
        <f t="shared" si="48"/>
        <v>-15000</v>
      </c>
      <c r="N105" s="90">
        <f>N102</f>
        <v>43982</v>
      </c>
      <c r="O105" s="90">
        <f t="shared" si="49"/>
        <v>44227</v>
      </c>
      <c r="P105" s="3">
        <f t="shared" si="50"/>
        <v>9</v>
      </c>
      <c r="Q105" s="61">
        <f t="shared" si="51"/>
        <v>0</v>
      </c>
      <c r="R105" s="61">
        <f t="shared" si="51"/>
        <v>0</v>
      </c>
      <c r="S105" s="207">
        <f t="shared" si="51"/>
        <v>0</v>
      </c>
      <c r="T105" s="61">
        <f t="shared" si="51"/>
        <v>0</v>
      </c>
      <c r="U105" s="61">
        <f t="shared" si="43"/>
        <v>-1666.6666666666667</v>
      </c>
      <c r="V105" s="61">
        <f t="shared" si="41"/>
        <v>-1666.6666666666667</v>
      </c>
      <c r="W105" s="61">
        <f t="shared" si="41"/>
        <v>-1666.6666666666667</v>
      </c>
      <c r="X105" s="61">
        <f t="shared" si="41"/>
        <v>-1666.6666666666667</v>
      </c>
      <c r="Y105" s="61">
        <f t="shared" si="41"/>
        <v>-1666.6666666666667</v>
      </c>
      <c r="Z105" s="61">
        <f t="shared" si="41"/>
        <v>-1666.6666666666667</v>
      </c>
      <c r="AA105" s="61">
        <f t="shared" si="41"/>
        <v>-1666.6666666666667</v>
      </c>
      <c r="AB105" s="61">
        <f t="shared" si="41"/>
        <v>-1666.6666666666667</v>
      </c>
      <c r="AC105" s="207">
        <f t="shared" si="41"/>
        <v>-1666.6666666666667</v>
      </c>
      <c r="AD105" s="61">
        <f t="shared" si="51"/>
        <v>0</v>
      </c>
      <c r="AE105" s="61">
        <f t="shared" si="51"/>
        <v>0</v>
      </c>
      <c r="AF105" s="61">
        <f t="shared" si="51"/>
        <v>0</v>
      </c>
      <c r="AG105" s="61">
        <f t="shared" si="51"/>
        <v>0</v>
      </c>
      <c r="AH105" s="61">
        <f t="shared" si="51"/>
        <v>0</v>
      </c>
      <c r="AI105" s="61">
        <f t="shared" si="51"/>
        <v>0</v>
      </c>
      <c r="AJ105" s="61">
        <f t="shared" si="51"/>
        <v>0</v>
      </c>
      <c r="AK105" s="61">
        <f t="shared" si="51"/>
        <v>0</v>
      </c>
      <c r="AL105" s="61">
        <f t="shared" si="51"/>
        <v>0</v>
      </c>
      <c r="AM105" s="61">
        <f t="shared" si="51"/>
        <v>0</v>
      </c>
      <c r="AN105" s="61">
        <f t="shared" si="51"/>
        <v>0</v>
      </c>
      <c r="AO105" s="61">
        <f t="shared" si="51"/>
        <v>0</v>
      </c>
      <c r="AP105" s="61">
        <f t="shared" si="51"/>
        <v>0</v>
      </c>
      <c r="AQ105" s="61">
        <f t="shared" si="51"/>
        <v>0</v>
      </c>
      <c r="AR105" s="61">
        <f t="shared" si="51"/>
        <v>0</v>
      </c>
      <c r="AS105" s="61">
        <f t="shared" si="51"/>
        <v>0</v>
      </c>
      <c r="AT105" s="61">
        <f t="shared" si="51"/>
        <v>0</v>
      </c>
      <c r="AU105" s="61">
        <f t="shared" si="51"/>
        <v>0</v>
      </c>
      <c r="AV105" s="103">
        <f t="shared" ref="AV105:AV129" si="52">SUM(Q105:AU105)</f>
        <v>-14999.999999999998</v>
      </c>
      <c r="AW105" s="36">
        <f t="shared" ref="AW105:AW129" si="53">SUM(Q105:AU105)-M105</f>
        <v>0</v>
      </c>
    </row>
    <row r="106" spans="1:49" x14ac:dyDescent="0.25">
      <c r="A106" s="13"/>
      <c r="B106" s="63"/>
      <c r="C106" s="13" t="s">
        <v>308</v>
      </c>
      <c r="F106" s="128">
        <v>50000</v>
      </c>
      <c r="G106" s="127">
        <v>9</v>
      </c>
      <c r="H106" s="61"/>
      <c r="I106" s="61"/>
      <c r="K106" s="192"/>
      <c r="L106" s="36"/>
      <c r="M106" s="36">
        <f t="shared" si="48"/>
        <v>-50000</v>
      </c>
      <c r="N106" s="90">
        <f>N103</f>
        <v>43982</v>
      </c>
      <c r="O106" s="90">
        <f t="shared" si="49"/>
        <v>44227</v>
      </c>
      <c r="P106" s="3">
        <f t="shared" si="50"/>
        <v>9</v>
      </c>
      <c r="Q106" s="61">
        <f t="shared" si="51"/>
        <v>0</v>
      </c>
      <c r="R106" s="61">
        <f t="shared" si="51"/>
        <v>0</v>
      </c>
      <c r="S106" s="207">
        <f t="shared" si="51"/>
        <v>0</v>
      </c>
      <c r="T106" s="61">
        <f t="shared" si="51"/>
        <v>0</v>
      </c>
      <c r="U106" s="61">
        <f t="shared" si="43"/>
        <v>-5555.5555555555557</v>
      </c>
      <c r="V106" s="61">
        <f t="shared" si="41"/>
        <v>-5555.5555555555557</v>
      </c>
      <c r="W106" s="61">
        <f t="shared" si="41"/>
        <v>-5555.5555555555557</v>
      </c>
      <c r="X106" s="61">
        <f t="shared" si="41"/>
        <v>-5555.5555555555557</v>
      </c>
      <c r="Y106" s="61">
        <f t="shared" si="41"/>
        <v>-5555.5555555555557</v>
      </c>
      <c r="Z106" s="61">
        <f t="shared" si="41"/>
        <v>-5555.5555555555557</v>
      </c>
      <c r="AA106" s="61">
        <f t="shared" si="41"/>
        <v>-5555.5555555555557</v>
      </c>
      <c r="AB106" s="61">
        <f t="shared" si="41"/>
        <v>-5555.5555555555557</v>
      </c>
      <c r="AC106" s="207">
        <f t="shared" si="41"/>
        <v>-5555.5555555555557</v>
      </c>
      <c r="AD106" s="61">
        <f t="shared" si="51"/>
        <v>0</v>
      </c>
      <c r="AE106" s="61">
        <f t="shared" si="51"/>
        <v>0</v>
      </c>
      <c r="AF106" s="61">
        <f t="shared" si="51"/>
        <v>0</v>
      </c>
      <c r="AG106" s="61">
        <f t="shared" si="51"/>
        <v>0</v>
      </c>
      <c r="AH106" s="61">
        <f t="shared" si="51"/>
        <v>0</v>
      </c>
      <c r="AI106" s="61">
        <f t="shared" si="51"/>
        <v>0</v>
      </c>
      <c r="AJ106" s="61">
        <f t="shared" si="51"/>
        <v>0</v>
      </c>
      <c r="AK106" s="61">
        <f t="shared" si="51"/>
        <v>0</v>
      </c>
      <c r="AL106" s="61">
        <f t="shared" si="51"/>
        <v>0</v>
      </c>
      <c r="AM106" s="61">
        <f t="shared" si="51"/>
        <v>0</v>
      </c>
      <c r="AN106" s="61">
        <f t="shared" si="51"/>
        <v>0</v>
      </c>
      <c r="AO106" s="61">
        <f t="shared" si="51"/>
        <v>0</v>
      </c>
      <c r="AP106" s="61">
        <f t="shared" si="51"/>
        <v>0</v>
      </c>
      <c r="AQ106" s="61">
        <f t="shared" si="51"/>
        <v>0</v>
      </c>
      <c r="AR106" s="61">
        <f t="shared" si="51"/>
        <v>0</v>
      </c>
      <c r="AS106" s="61">
        <f t="shared" si="51"/>
        <v>0</v>
      </c>
      <c r="AT106" s="61">
        <f t="shared" si="51"/>
        <v>0</v>
      </c>
      <c r="AU106" s="61">
        <f t="shared" si="51"/>
        <v>0</v>
      </c>
      <c r="AV106" s="103">
        <f t="shared" si="52"/>
        <v>-50000</v>
      </c>
      <c r="AW106" s="36">
        <f t="shared" si="53"/>
        <v>0</v>
      </c>
    </row>
    <row r="107" spans="1:49" x14ac:dyDescent="0.25">
      <c r="A107" s="13"/>
      <c r="B107" s="63"/>
      <c r="C107" s="13" t="s">
        <v>309</v>
      </c>
      <c r="F107" s="128">
        <f>11*2500</f>
        <v>27500</v>
      </c>
      <c r="G107" s="127">
        <v>9</v>
      </c>
      <c r="H107" s="61"/>
      <c r="I107" s="61"/>
      <c r="K107" s="192"/>
      <c r="L107" s="36"/>
      <c r="M107" s="36">
        <f t="shared" si="48"/>
        <v>-27500</v>
      </c>
      <c r="N107" s="90">
        <f>N104</f>
        <v>43982</v>
      </c>
      <c r="O107" s="90">
        <f t="shared" si="49"/>
        <v>44227</v>
      </c>
      <c r="P107" s="3">
        <f t="shared" si="50"/>
        <v>9</v>
      </c>
      <c r="Q107" s="61">
        <f t="shared" si="51"/>
        <v>0</v>
      </c>
      <c r="R107" s="61">
        <f t="shared" si="51"/>
        <v>0</v>
      </c>
      <c r="S107" s="207">
        <f t="shared" si="51"/>
        <v>0</v>
      </c>
      <c r="T107" s="61">
        <f t="shared" si="51"/>
        <v>0</v>
      </c>
      <c r="U107" s="61">
        <f t="shared" si="43"/>
        <v>-3055.5555555555557</v>
      </c>
      <c r="V107" s="61">
        <f t="shared" si="43"/>
        <v>-3055.5555555555557</v>
      </c>
      <c r="W107" s="61">
        <f t="shared" si="43"/>
        <v>-3055.5555555555557</v>
      </c>
      <c r="X107" s="61">
        <f t="shared" si="43"/>
        <v>-3055.5555555555557</v>
      </c>
      <c r="Y107" s="61">
        <f t="shared" si="43"/>
        <v>-3055.5555555555557</v>
      </c>
      <c r="Z107" s="61">
        <f t="shared" si="43"/>
        <v>-3055.5555555555557</v>
      </c>
      <c r="AA107" s="61">
        <f t="shared" si="43"/>
        <v>-3055.5555555555557</v>
      </c>
      <c r="AB107" s="61">
        <f t="shared" si="43"/>
        <v>-3055.5555555555557</v>
      </c>
      <c r="AC107" s="207">
        <f t="shared" si="43"/>
        <v>-3055.5555555555557</v>
      </c>
      <c r="AD107" s="61">
        <f t="shared" si="51"/>
        <v>0</v>
      </c>
      <c r="AE107" s="61">
        <f t="shared" si="51"/>
        <v>0</v>
      </c>
      <c r="AF107" s="61">
        <f t="shared" si="51"/>
        <v>0</v>
      </c>
      <c r="AG107" s="61">
        <f t="shared" si="51"/>
        <v>0</v>
      </c>
      <c r="AH107" s="61">
        <f t="shared" si="51"/>
        <v>0</v>
      </c>
      <c r="AI107" s="61">
        <f t="shared" si="51"/>
        <v>0</v>
      </c>
      <c r="AJ107" s="61">
        <f t="shared" si="51"/>
        <v>0</v>
      </c>
      <c r="AK107" s="61">
        <f t="shared" si="51"/>
        <v>0</v>
      </c>
      <c r="AL107" s="61">
        <f t="shared" si="51"/>
        <v>0</v>
      </c>
      <c r="AM107" s="61">
        <f t="shared" si="51"/>
        <v>0</v>
      </c>
      <c r="AN107" s="61">
        <f t="shared" si="51"/>
        <v>0</v>
      </c>
      <c r="AO107" s="61">
        <f t="shared" ref="AO107:AU107" si="54">IF(OR(AO$41&lt;$N107,AO$41&gt;$O107),0,$M107/$P107)</f>
        <v>0</v>
      </c>
      <c r="AP107" s="61">
        <f t="shared" si="54"/>
        <v>0</v>
      </c>
      <c r="AQ107" s="61">
        <f t="shared" si="54"/>
        <v>0</v>
      </c>
      <c r="AR107" s="61">
        <f t="shared" si="54"/>
        <v>0</v>
      </c>
      <c r="AS107" s="61">
        <f t="shared" si="54"/>
        <v>0</v>
      </c>
      <c r="AT107" s="61">
        <f t="shared" si="54"/>
        <v>0</v>
      </c>
      <c r="AU107" s="61">
        <f t="shared" si="54"/>
        <v>0</v>
      </c>
      <c r="AV107" s="103">
        <f t="shared" si="52"/>
        <v>-27499.999999999996</v>
      </c>
      <c r="AW107" s="36">
        <f t="shared" si="53"/>
        <v>0</v>
      </c>
    </row>
    <row r="108" spans="1:49" x14ac:dyDescent="0.25">
      <c r="A108" s="13"/>
      <c r="B108" s="63"/>
      <c r="C108" s="13" t="s">
        <v>310</v>
      </c>
      <c r="F108" s="128">
        <v>7500</v>
      </c>
      <c r="G108" s="127">
        <v>9</v>
      </c>
      <c r="H108" s="61"/>
      <c r="I108" s="61"/>
      <c r="K108" s="192"/>
      <c r="L108" s="36"/>
      <c r="M108" s="36">
        <f t="shared" si="48"/>
        <v>-7500</v>
      </c>
      <c r="N108" s="90">
        <f>N105</f>
        <v>43982</v>
      </c>
      <c r="O108" s="90">
        <f t="shared" si="49"/>
        <v>44227</v>
      </c>
      <c r="P108" s="3">
        <f t="shared" si="50"/>
        <v>9</v>
      </c>
      <c r="Q108" s="61">
        <f t="shared" ref="Q108:AU110" si="55">IF(OR(Q$41&lt;$N108,Q$41&gt;$O108),0,$M108/$P108)</f>
        <v>0</v>
      </c>
      <c r="R108" s="61">
        <f t="shared" si="55"/>
        <v>0</v>
      </c>
      <c r="S108" s="207">
        <f t="shared" si="55"/>
        <v>0</v>
      </c>
      <c r="T108" s="61">
        <f t="shared" si="55"/>
        <v>0</v>
      </c>
      <c r="U108" s="61">
        <f t="shared" si="43"/>
        <v>-833.33333333333337</v>
      </c>
      <c r="V108" s="61">
        <f t="shared" si="43"/>
        <v>-833.33333333333337</v>
      </c>
      <c r="W108" s="61">
        <f t="shared" si="43"/>
        <v>-833.33333333333337</v>
      </c>
      <c r="X108" s="61">
        <f t="shared" si="43"/>
        <v>-833.33333333333337</v>
      </c>
      <c r="Y108" s="61">
        <f t="shared" si="43"/>
        <v>-833.33333333333337</v>
      </c>
      <c r="Z108" s="61">
        <f t="shared" si="43"/>
        <v>-833.33333333333337</v>
      </c>
      <c r="AA108" s="61">
        <f t="shared" si="43"/>
        <v>-833.33333333333337</v>
      </c>
      <c r="AB108" s="61">
        <f t="shared" si="43"/>
        <v>-833.33333333333337</v>
      </c>
      <c r="AC108" s="207">
        <f t="shared" si="43"/>
        <v>-833.33333333333337</v>
      </c>
      <c r="AD108" s="61">
        <f t="shared" si="55"/>
        <v>0</v>
      </c>
      <c r="AE108" s="61">
        <f t="shared" si="55"/>
        <v>0</v>
      </c>
      <c r="AF108" s="61">
        <f t="shared" si="55"/>
        <v>0</v>
      </c>
      <c r="AG108" s="61">
        <f t="shared" si="55"/>
        <v>0</v>
      </c>
      <c r="AH108" s="61">
        <f t="shared" si="55"/>
        <v>0</v>
      </c>
      <c r="AI108" s="61">
        <f t="shared" si="55"/>
        <v>0</v>
      </c>
      <c r="AJ108" s="61">
        <f t="shared" si="55"/>
        <v>0</v>
      </c>
      <c r="AK108" s="61">
        <f t="shared" si="55"/>
        <v>0</v>
      </c>
      <c r="AL108" s="61">
        <f t="shared" si="55"/>
        <v>0</v>
      </c>
      <c r="AM108" s="61">
        <f t="shared" si="55"/>
        <v>0</v>
      </c>
      <c r="AN108" s="61">
        <f t="shared" si="55"/>
        <v>0</v>
      </c>
      <c r="AO108" s="61">
        <f t="shared" si="55"/>
        <v>0</v>
      </c>
      <c r="AP108" s="61">
        <f t="shared" si="55"/>
        <v>0</v>
      </c>
      <c r="AQ108" s="61">
        <f t="shared" si="55"/>
        <v>0</v>
      </c>
      <c r="AR108" s="61">
        <f t="shared" si="55"/>
        <v>0</v>
      </c>
      <c r="AS108" s="61">
        <f t="shared" si="55"/>
        <v>0</v>
      </c>
      <c r="AT108" s="61">
        <f t="shared" si="55"/>
        <v>0</v>
      </c>
      <c r="AU108" s="61">
        <f t="shared" si="55"/>
        <v>0</v>
      </c>
      <c r="AV108" s="103">
        <f t="shared" si="52"/>
        <v>-7499.9999999999991</v>
      </c>
      <c r="AW108" s="36">
        <f t="shared" si="53"/>
        <v>0</v>
      </c>
    </row>
    <row r="109" spans="1:49" x14ac:dyDescent="0.25">
      <c r="A109" s="13"/>
      <c r="B109" s="63"/>
      <c r="C109" s="13" t="s">
        <v>311</v>
      </c>
      <c r="F109" s="128">
        <v>0</v>
      </c>
      <c r="G109" s="127">
        <v>9</v>
      </c>
      <c r="H109" s="61"/>
      <c r="I109" s="61"/>
      <c r="K109" s="192"/>
      <c r="L109" s="36"/>
      <c r="M109" s="36">
        <f t="shared" si="48"/>
        <v>0</v>
      </c>
      <c r="N109" s="90">
        <f>N106</f>
        <v>43982</v>
      </c>
      <c r="O109" s="90">
        <f t="shared" si="49"/>
        <v>44227</v>
      </c>
      <c r="P109" s="3">
        <f t="shared" si="50"/>
        <v>9</v>
      </c>
      <c r="Q109" s="61">
        <f t="shared" si="55"/>
        <v>0</v>
      </c>
      <c r="R109" s="61">
        <f t="shared" si="55"/>
        <v>0</v>
      </c>
      <c r="S109" s="207">
        <f t="shared" si="55"/>
        <v>0</v>
      </c>
      <c r="T109" s="61">
        <f t="shared" si="55"/>
        <v>0</v>
      </c>
      <c r="U109" s="61">
        <f t="shared" si="43"/>
        <v>0</v>
      </c>
      <c r="V109" s="61">
        <f t="shared" si="43"/>
        <v>0</v>
      </c>
      <c r="W109" s="61">
        <f t="shared" si="43"/>
        <v>0</v>
      </c>
      <c r="X109" s="61">
        <f t="shared" si="43"/>
        <v>0</v>
      </c>
      <c r="Y109" s="61">
        <f t="shared" si="43"/>
        <v>0</v>
      </c>
      <c r="Z109" s="61">
        <f t="shared" si="43"/>
        <v>0</v>
      </c>
      <c r="AA109" s="61">
        <f t="shared" si="43"/>
        <v>0</v>
      </c>
      <c r="AB109" s="61">
        <f t="shared" si="43"/>
        <v>0</v>
      </c>
      <c r="AC109" s="207">
        <f t="shared" si="43"/>
        <v>0</v>
      </c>
      <c r="AD109" s="61">
        <f t="shared" si="55"/>
        <v>0</v>
      </c>
      <c r="AE109" s="61">
        <f t="shared" si="55"/>
        <v>0</v>
      </c>
      <c r="AF109" s="61">
        <f t="shared" si="55"/>
        <v>0</v>
      </c>
      <c r="AG109" s="61">
        <f t="shared" si="55"/>
        <v>0</v>
      </c>
      <c r="AH109" s="61">
        <f t="shared" si="55"/>
        <v>0</v>
      </c>
      <c r="AI109" s="61">
        <f t="shared" si="55"/>
        <v>0</v>
      </c>
      <c r="AJ109" s="61">
        <f t="shared" si="55"/>
        <v>0</v>
      </c>
      <c r="AK109" s="61">
        <f t="shared" si="55"/>
        <v>0</v>
      </c>
      <c r="AL109" s="61">
        <f t="shared" si="55"/>
        <v>0</v>
      </c>
      <c r="AM109" s="61">
        <f t="shared" si="55"/>
        <v>0</v>
      </c>
      <c r="AN109" s="61">
        <f t="shared" si="55"/>
        <v>0</v>
      </c>
      <c r="AO109" s="61">
        <f t="shared" si="55"/>
        <v>0</v>
      </c>
      <c r="AP109" s="61">
        <f t="shared" si="55"/>
        <v>0</v>
      </c>
      <c r="AQ109" s="61">
        <f t="shared" si="55"/>
        <v>0</v>
      </c>
      <c r="AR109" s="61">
        <f t="shared" si="55"/>
        <v>0</v>
      </c>
      <c r="AS109" s="61">
        <f t="shared" si="55"/>
        <v>0</v>
      </c>
      <c r="AT109" s="61">
        <f t="shared" si="55"/>
        <v>0</v>
      </c>
      <c r="AU109" s="61">
        <f t="shared" si="55"/>
        <v>0</v>
      </c>
      <c r="AV109" s="103">
        <f t="shared" si="52"/>
        <v>0</v>
      </c>
      <c r="AW109" s="36">
        <f t="shared" si="53"/>
        <v>0</v>
      </c>
    </row>
    <row r="110" spans="1:49" x14ac:dyDescent="0.25">
      <c r="A110" s="13"/>
      <c r="B110" s="63"/>
      <c r="C110" s="13" t="s">
        <v>312</v>
      </c>
      <c r="F110" s="128">
        <v>10000</v>
      </c>
      <c r="G110" s="127">
        <f>G104</f>
        <v>9</v>
      </c>
      <c r="H110" s="61"/>
      <c r="I110" s="61"/>
      <c r="K110" s="192"/>
      <c r="L110" s="36"/>
      <c r="M110" s="36">
        <f>-F110</f>
        <v>-10000</v>
      </c>
      <c r="N110" s="90">
        <f>N108</f>
        <v>43982</v>
      </c>
      <c r="O110" s="90">
        <f>EOMONTH(N110,G110-1)</f>
        <v>44227</v>
      </c>
      <c r="P110" s="3">
        <f t="shared" si="50"/>
        <v>9</v>
      </c>
      <c r="Q110" s="61">
        <f t="shared" si="55"/>
        <v>0</v>
      </c>
      <c r="R110" s="61">
        <f t="shared" si="55"/>
        <v>0</v>
      </c>
      <c r="S110" s="207">
        <f t="shared" si="55"/>
        <v>0</v>
      </c>
      <c r="T110" s="61">
        <f t="shared" si="55"/>
        <v>0</v>
      </c>
      <c r="U110" s="61">
        <f t="shared" si="43"/>
        <v>-1111.1111111111111</v>
      </c>
      <c r="V110" s="61">
        <f t="shared" si="43"/>
        <v>-1111.1111111111111</v>
      </c>
      <c r="W110" s="61">
        <f t="shared" si="43"/>
        <v>-1111.1111111111111</v>
      </c>
      <c r="X110" s="61">
        <f t="shared" si="43"/>
        <v>-1111.1111111111111</v>
      </c>
      <c r="Y110" s="61">
        <f t="shared" si="43"/>
        <v>-1111.1111111111111</v>
      </c>
      <c r="Z110" s="61">
        <f t="shared" si="43"/>
        <v>-1111.1111111111111</v>
      </c>
      <c r="AA110" s="61">
        <f t="shared" si="43"/>
        <v>-1111.1111111111111</v>
      </c>
      <c r="AB110" s="61">
        <f t="shared" si="43"/>
        <v>-1111.1111111111111</v>
      </c>
      <c r="AC110" s="207">
        <f t="shared" si="43"/>
        <v>-1111.1111111111111</v>
      </c>
      <c r="AD110" s="61">
        <f t="shared" si="55"/>
        <v>0</v>
      </c>
      <c r="AE110" s="61">
        <f t="shared" si="55"/>
        <v>0</v>
      </c>
      <c r="AF110" s="61">
        <f t="shared" si="55"/>
        <v>0</v>
      </c>
      <c r="AG110" s="61">
        <f t="shared" si="55"/>
        <v>0</v>
      </c>
      <c r="AH110" s="61">
        <f t="shared" si="55"/>
        <v>0</v>
      </c>
      <c r="AI110" s="61">
        <f t="shared" si="55"/>
        <v>0</v>
      </c>
      <c r="AJ110" s="61">
        <f t="shared" si="55"/>
        <v>0</v>
      </c>
      <c r="AK110" s="61">
        <f t="shared" si="55"/>
        <v>0</v>
      </c>
      <c r="AL110" s="61">
        <f t="shared" si="55"/>
        <v>0</v>
      </c>
      <c r="AM110" s="61">
        <f t="shared" si="55"/>
        <v>0</v>
      </c>
      <c r="AN110" s="61">
        <f t="shared" si="55"/>
        <v>0</v>
      </c>
      <c r="AO110" s="61">
        <f t="shared" si="55"/>
        <v>0</v>
      </c>
      <c r="AP110" s="61">
        <f t="shared" si="55"/>
        <v>0</v>
      </c>
      <c r="AQ110" s="61">
        <f t="shared" si="55"/>
        <v>0</v>
      </c>
      <c r="AR110" s="61">
        <f t="shared" si="55"/>
        <v>0</v>
      </c>
      <c r="AS110" s="61">
        <f t="shared" si="55"/>
        <v>0</v>
      </c>
      <c r="AT110" s="61">
        <f t="shared" si="55"/>
        <v>0</v>
      </c>
      <c r="AU110" s="61">
        <f t="shared" si="55"/>
        <v>0</v>
      </c>
      <c r="AV110" s="103">
        <f t="shared" si="52"/>
        <v>-10000</v>
      </c>
      <c r="AW110" s="36">
        <f t="shared" si="53"/>
        <v>0</v>
      </c>
    </row>
    <row r="111" spans="1:49" ht="14.25" thickBot="1" x14ac:dyDescent="0.3">
      <c r="A111" s="13"/>
      <c r="B111" s="63"/>
      <c r="C111" s="13"/>
      <c r="F111" s="120">
        <f>SUM(F100:F110)</f>
        <v>698451.1</v>
      </c>
      <c r="H111" s="107"/>
      <c r="I111" s="107"/>
      <c r="K111" s="192"/>
      <c r="L111" s="36"/>
      <c r="M111" s="36"/>
      <c r="N111" s="90"/>
      <c r="O111" s="90"/>
      <c r="Q111" s="61"/>
      <c r="R111" s="61"/>
      <c r="S111" s="207"/>
      <c r="T111" s="61"/>
      <c r="U111" s="61">
        <f t="shared" si="43"/>
        <v>0</v>
      </c>
      <c r="V111" s="61">
        <f t="shared" si="43"/>
        <v>0</v>
      </c>
      <c r="W111" s="61">
        <f t="shared" si="43"/>
        <v>0</v>
      </c>
      <c r="X111" s="61">
        <f t="shared" si="43"/>
        <v>0</v>
      </c>
      <c r="Y111" s="61">
        <f t="shared" si="43"/>
        <v>0</v>
      </c>
      <c r="Z111" s="61">
        <f t="shared" si="43"/>
        <v>0</v>
      </c>
      <c r="AA111" s="61">
        <f t="shared" si="43"/>
        <v>0</v>
      </c>
      <c r="AB111" s="61">
        <f t="shared" si="43"/>
        <v>0</v>
      </c>
      <c r="AC111" s="207">
        <f t="shared" si="43"/>
        <v>0</v>
      </c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103">
        <f t="shared" si="52"/>
        <v>0</v>
      </c>
      <c r="AW111" s="36">
        <f t="shared" si="53"/>
        <v>0</v>
      </c>
    </row>
    <row r="112" spans="1:49" ht="14.25" thickTop="1" x14ac:dyDescent="0.25">
      <c r="A112" s="13"/>
      <c r="B112" s="63"/>
      <c r="C112" s="13"/>
      <c r="F112" s="61"/>
      <c r="G112" s="107"/>
      <c r="H112" s="61"/>
      <c r="I112" s="61"/>
      <c r="K112" s="192"/>
      <c r="L112" s="36"/>
      <c r="M112" s="36"/>
      <c r="N112" s="90"/>
      <c r="O112" s="90"/>
      <c r="Q112" s="61"/>
      <c r="R112" s="61"/>
      <c r="S112" s="207"/>
      <c r="T112" s="61"/>
      <c r="U112" s="61">
        <f t="shared" si="43"/>
        <v>0</v>
      </c>
      <c r="V112" s="61">
        <f t="shared" si="43"/>
        <v>0</v>
      </c>
      <c r="W112" s="61">
        <f t="shared" si="43"/>
        <v>0</v>
      </c>
      <c r="X112" s="61">
        <f t="shared" si="43"/>
        <v>0</v>
      </c>
      <c r="Y112" s="61">
        <f t="shared" si="43"/>
        <v>0</v>
      </c>
      <c r="Z112" s="61">
        <f t="shared" si="43"/>
        <v>0</v>
      </c>
      <c r="AA112" s="61">
        <f t="shared" si="43"/>
        <v>0</v>
      </c>
      <c r="AB112" s="61">
        <f t="shared" si="43"/>
        <v>0</v>
      </c>
      <c r="AC112" s="207">
        <f t="shared" si="43"/>
        <v>0</v>
      </c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103">
        <f t="shared" si="52"/>
        <v>0</v>
      </c>
      <c r="AW112" s="36">
        <f t="shared" si="53"/>
        <v>0</v>
      </c>
    </row>
    <row r="113" spans="1:49" x14ac:dyDescent="0.25">
      <c r="A113" s="13"/>
      <c r="B113" s="63"/>
      <c r="C113" s="13"/>
      <c r="F113" s="61"/>
      <c r="G113" s="107"/>
      <c r="H113" s="61"/>
      <c r="I113" s="61"/>
      <c r="K113" s="192"/>
      <c r="L113" s="36"/>
      <c r="M113" s="36"/>
      <c r="N113" s="90"/>
      <c r="O113" s="90"/>
      <c r="Q113" s="61"/>
      <c r="R113" s="61"/>
      <c r="S113" s="207"/>
      <c r="T113" s="61"/>
      <c r="U113" s="61">
        <f t="shared" si="43"/>
        <v>0</v>
      </c>
      <c r="V113" s="61">
        <f t="shared" si="43"/>
        <v>0</v>
      </c>
      <c r="W113" s="61">
        <f t="shared" si="43"/>
        <v>0</v>
      </c>
      <c r="X113" s="61">
        <f t="shared" si="43"/>
        <v>0</v>
      </c>
      <c r="Y113" s="61">
        <f t="shared" si="43"/>
        <v>0</v>
      </c>
      <c r="Z113" s="61">
        <f t="shared" si="43"/>
        <v>0</v>
      </c>
      <c r="AA113" s="61">
        <f t="shared" si="43"/>
        <v>0</v>
      </c>
      <c r="AB113" s="61">
        <f t="shared" si="43"/>
        <v>0</v>
      </c>
      <c r="AC113" s="207">
        <f t="shared" si="43"/>
        <v>0</v>
      </c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103">
        <f t="shared" si="52"/>
        <v>0</v>
      </c>
      <c r="AW113" s="36">
        <f t="shared" si="53"/>
        <v>0</v>
      </c>
    </row>
    <row r="114" spans="1:49" x14ac:dyDescent="0.25">
      <c r="A114" s="13"/>
      <c r="B114" s="63"/>
      <c r="C114" s="13" t="s">
        <v>313</v>
      </c>
      <c r="E114" s="132">
        <v>0.03</v>
      </c>
      <c r="F114" s="61">
        <f>SUM($F$76:$F$87,$F$102:$F$104,$F$107,$F$106,$F$109)*E114</f>
        <v>173773.00499999998</v>
      </c>
      <c r="G114" s="88">
        <v>9</v>
      </c>
      <c r="H114" s="61"/>
      <c r="I114" s="61"/>
      <c r="K114" s="192"/>
      <c r="L114" s="36"/>
      <c r="M114" s="36">
        <f t="shared" ref="M114:M150" si="56">-F114</f>
        <v>-173773.00499999998</v>
      </c>
      <c r="N114" s="90">
        <f>N100</f>
        <v>43982</v>
      </c>
      <c r="O114" s="90">
        <f t="shared" ref="O114:O138" si="57">EOMONTH(N114,G114-1)</f>
        <v>44227</v>
      </c>
      <c r="P114" s="3">
        <f>ROUND((O114-N114)/365.5*12,0)+1</f>
        <v>9</v>
      </c>
      <c r="Q114" s="61">
        <f t="shared" ref="Q114:AF129" si="58">IF(OR(Q$41&lt;$N114,Q$41&gt;$O114),0,$M114/$P114)</f>
        <v>0</v>
      </c>
      <c r="R114" s="61">
        <f t="shared" si="58"/>
        <v>0</v>
      </c>
      <c r="S114" s="207">
        <f t="shared" si="58"/>
        <v>0</v>
      </c>
      <c r="T114" s="61">
        <f t="shared" si="58"/>
        <v>0</v>
      </c>
      <c r="U114" s="61">
        <f t="shared" si="43"/>
        <v>-19308.111666666664</v>
      </c>
      <c r="V114" s="61">
        <f t="shared" si="43"/>
        <v>-19308.111666666664</v>
      </c>
      <c r="W114" s="61">
        <f t="shared" si="43"/>
        <v>-19308.111666666664</v>
      </c>
      <c r="X114" s="61">
        <f t="shared" si="43"/>
        <v>-19308.111666666664</v>
      </c>
      <c r="Y114" s="61">
        <f t="shared" si="43"/>
        <v>-19308.111666666664</v>
      </c>
      <c r="Z114" s="61">
        <f t="shared" si="43"/>
        <v>-19308.111666666664</v>
      </c>
      <c r="AA114" s="61">
        <f t="shared" si="43"/>
        <v>-19308.111666666664</v>
      </c>
      <c r="AB114" s="61">
        <f t="shared" si="43"/>
        <v>-19308.111666666664</v>
      </c>
      <c r="AC114" s="207">
        <f t="shared" si="43"/>
        <v>-19308.111666666664</v>
      </c>
      <c r="AD114" s="61">
        <f t="shared" si="58"/>
        <v>0</v>
      </c>
      <c r="AE114" s="61">
        <f t="shared" si="58"/>
        <v>0</v>
      </c>
      <c r="AF114" s="61">
        <f t="shared" si="58"/>
        <v>0</v>
      </c>
      <c r="AG114" s="61">
        <f t="shared" ref="AG114:AU129" si="59">IF(OR(AG$41&lt;$N114,AG$41&gt;$O114),0,$M114/$P114)</f>
        <v>0</v>
      </c>
      <c r="AH114" s="61">
        <f>IF(OR(AH$41&lt;$N114,AH$41&gt;$O114),0,($M114-SUM($Q114:$AG114))/$P114)</f>
        <v>0</v>
      </c>
      <c r="AI114" s="61">
        <f t="shared" ref="AI114:AU122" si="60">IF(OR(AI$41&lt;$N114,AI$41&gt;$O114),0,($M114-SUM($Q114:$AG114))/$P114)</f>
        <v>0</v>
      </c>
      <c r="AJ114" s="61">
        <f t="shared" si="60"/>
        <v>0</v>
      </c>
      <c r="AK114" s="61">
        <f t="shared" si="60"/>
        <v>0</v>
      </c>
      <c r="AL114" s="61">
        <f t="shared" si="60"/>
        <v>0</v>
      </c>
      <c r="AM114" s="61">
        <f t="shared" si="60"/>
        <v>0</v>
      </c>
      <c r="AN114" s="61">
        <f t="shared" si="60"/>
        <v>0</v>
      </c>
      <c r="AO114" s="61">
        <f t="shared" si="60"/>
        <v>0</v>
      </c>
      <c r="AP114" s="61">
        <f t="shared" si="60"/>
        <v>0</v>
      </c>
      <c r="AQ114" s="61">
        <f t="shared" si="60"/>
        <v>0</v>
      </c>
      <c r="AR114" s="61">
        <f t="shared" si="60"/>
        <v>0</v>
      </c>
      <c r="AS114" s="61">
        <f t="shared" si="60"/>
        <v>0</v>
      </c>
      <c r="AT114" s="61">
        <f t="shared" si="60"/>
        <v>0</v>
      </c>
      <c r="AU114" s="61">
        <f t="shared" si="60"/>
        <v>0</v>
      </c>
      <c r="AV114" s="103">
        <f t="shared" si="52"/>
        <v>-173773.00499999998</v>
      </c>
      <c r="AW114" s="36">
        <f t="shared" si="53"/>
        <v>0</v>
      </c>
    </row>
    <row r="115" spans="1:49" x14ac:dyDescent="0.25">
      <c r="A115" s="13"/>
      <c r="B115" s="63"/>
      <c r="C115" s="13" t="s">
        <v>314</v>
      </c>
      <c r="F115" s="60">
        <v>22000</v>
      </c>
      <c r="G115" s="88">
        <f>G114</f>
        <v>9</v>
      </c>
      <c r="H115" s="61"/>
      <c r="I115" s="61"/>
      <c r="K115" s="192"/>
      <c r="L115" s="36"/>
      <c r="M115" s="36">
        <f t="shared" si="56"/>
        <v>-22000</v>
      </c>
      <c r="N115" s="90">
        <f>$N$114</f>
        <v>43982</v>
      </c>
      <c r="O115" s="90">
        <f t="shared" si="57"/>
        <v>44227</v>
      </c>
      <c r="P115" s="3">
        <f t="shared" ref="P115:P129" si="61">ROUND((O115-N115)/365*12,0)+1</f>
        <v>9</v>
      </c>
      <c r="Q115" s="61">
        <f t="shared" si="58"/>
        <v>0</v>
      </c>
      <c r="R115" s="61">
        <f t="shared" si="58"/>
        <v>0</v>
      </c>
      <c r="S115" s="207">
        <f t="shared" si="58"/>
        <v>0</v>
      </c>
      <c r="T115" s="61">
        <f t="shared" si="58"/>
        <v>0</v>
      </c>
      <c r="U115" s="61">
        <f t="shared" si="43"/>
        <v>-2444.4444444444443</v>
      </c>
      <c r="V115" s="61">
        <f t="shared" si="43"/>
        <v>-2444.4444444444443</v>
      </c>
      <c r="W115" s="61">
        <f t="shared" si="43"/>
        <v>-2444.4444444444443</v>
      </c>
      <c r="X115" s="61">
        <f t="shared" si="43"/>
        <v>-2444.4444444444443</v>
      </c>
      <c r="Y115" s="61">
        <f t="shared" si="43"/>
        <v>-2444.4444444444443</v>
      </c>
      <c r="Z115" s="61">
        <f t="shared" si="43"/>
        <v>-2444.4444444444443</v>
      </c>
      <c r="AA115" s="61">
        <f t="shared" si="43"/>
        <v>-2444.4444444444443</v>
      </c>
      <c r="AB115" s="61">
        <f t="shared" si="43"/>
        <v>-2444.4444444444443</v>
      </c>
      <c r="AC115" s="207">
        <f t="shared" si="43"/>
        <v>-2444.4444444444443</v>
      </c>
      <c r="AD115" s="61">
        <f t="shared" si="58"/>
        <v>0</v>
      </c>
      <c r="AE115" s="61">
        <f t="shared" si="58"/>
        <v>0</v>
      </c>
      <c r="AF115" s="61">
        <f t="shared" si="58"/>
        <v>0</v>
      </c>
      <c r="AG115" s="61">
        <f t="shared" si="59"/>
        <v>0</v>
      </c>
      <c r="AH115" s="61">
        <f t="shared" ref="AH115:AH122" si="62">IF(OR(AH$41&lt;$N115,AH$41&gt;$O115),0,($M115-SUM($Q115:$AG115))/$P115)</f>
        <v>0</v>
      </c>
      <c r="AI115" s="61">
        <f t="shared" si="60"/>
        <v>0</v>
      </c>
      <c r="AJ115" s="61">
        <f t="shared" si="60"/>
        <v>0</v>
      </c>
      <c r="AK115" s="61">
        <f t="shared" ref="AK115:AU119" si="63">IF(OR(AK$41&lt;$N115,AK$41&gt;$O115),0,($M115-SUM($Q115:$AG115))/$P115)</f>
        <v>0</v>
      </c>
      <c r="AL115" s="61">
        <f t="shared" si="63"/>
        <v>0</v>
      </c>
      <c r="AM115" s="61">
        <f t="shared" si="63"/>
        <v>0</v>
      </c>
      <c r="AN115" s="61">
        <f t="shared" si="63"/>
        <v>0</v>
      </c>
      <c r="AO115" s="61">
        <f t="shared" si="63"/>
        <v>0</v>
      </c>
      <c r="AP115" s="61">
        <f t="shared" si="63"/>
        <v>0</v>
      </c>
      <c r="AQ115" s="61">
        <f t="shared" si="63"/>
        <v>0</v>
      </c>
      <c r="AR115" s="61">
        <f t="shared" si="63"/>
        <v>0</v>
      </c>
      <c r="AS115" s="61">
        <f t="shared" si="63"/>
        <v>0</v>
      </c>
      <c r="AT115" s="61">
        <f t="shared" si="63"/>
        <v>0</v>
      </c>
      <c r="AU115" s="61">
        <f t="shared" si="63"/>
        <v>0</v>
      </c>
      <c r="AV115" s="103">
        <f t="shared" si="52"/>
        <v>-22000.000000000004</v>
      </c>
      <c r="AW115" s="36">
        <f t="shared" si="53"/>
        <v>0</v>
      </c>
    </row>
    <row r="116" spans="1:49" x14ac:dyDescent="0.25">
      <c r="A116" s="13"/>
      <c r="B116" s="63"/>
      <c r="C116" s="13" t="s">
        <v>315</v>
      </c>
      <c r="E116" s="53">
        <v>1.7500000000000002E-2</v>
      </c>
      <c r="F116" s="61">
        <f>SUM($F$76:$F$87,$F$103:$F$104,$F$102,$F$107,$F$92,$F$106,$F$101)*E116</f>
        <v>106220.33624999999</v>
      </c>
      <c r="G116" s="88">
        <f>G115</f>
        <v>9</v>
      </c>
      <c r="H116" s="61"/>
      <c r="I116" s="61"/>
      <c r="K116" s="192"/>
      <c r="L116" s="36"/>
      <c r="M116" s="36">
        <f t="shared" si="56"/>
        <v>-106220.33624999999</v>
      </c>
      <c r="N116" s="90">
        <f t="shared" ref="N116:N136" si="64">$N$114</f>
        <v>43982</v>
      </c>
      <c r="O116" s="90">
        <f t="shared" si="57"/>
        <v>44227</v>
      </c>
      <c r="P116" s="3">
        <f t="shared" si="61"/>
        <v>9</v>
      </c>
      <c r="Q116" s="61">
        <v>-46750</v>
      </c>
      <c r="R116" s="61">
        <f t="shared" si="58"/>
        <v>0</v>
      </c>
      <c r="S116" s="207">
        <f t="shared" si="58"/>
        <v>0</v>
      </c>
      <c r="T116" s="61">
        <f t="shared" si="58"/>
        <v>0</v>
      </c>
      <c r="U116" s="61">
        <f t="shared" si="43"/>
        <v>-6607.8151388888882</v>
      </c>
      <c r="V116" s="61">
        <f t="shared" si="43"/>
        <v>-6607.8151388888882</v>
      </c>
      <c r="W116" s="61">
        <f t="shared" si="43"/>
        <v>-6607.8151388888882</v>
      </c>
      <c r="X116" s="61">
        <f t="shared" si="43"/>
        <v>-6607.8151388888882</v>
      </c>
      <c r="Y116" s="61">
        <f t="shared" si="43"/>
        <v>-6607.8151388888882</v>
      </c>
      <c r="Z116" s="61">
        <f t="shared" si="43"/>
        <v>-6607.8151388888882</v>
      </c>
      <c r="AA116" s="61">
        <f t="shared" si="43"/>
        <v>-6607.8151388888882</v>
      </c>
      <c r="AB116" s="61">
        <f t="shared" si="43"/>
        <v>-6607.8151388888882</v>
      </c>
      <c r="AC116" s="207">
        <f t="shared" si="43"/>
        <v>-6607.8151388888882</v>
      </c>
      <c r="AD116" s="61">
        <f t="shared" si="58"/>
        <v>0</v>
      </c>
      <c r="AE116" s="61">
        <f t="shared" si="58"/>
        <v>0</v>
      </c>
      <c r="AF116" s="61">
        <f t="shared" si="58"/>
        <v>0</v>
      </c>
      <c r="AG116" s="61">
        <f t="shared" si="59"/>
        <v>0</v>
      </c>
      <c r="AH116" s="61">
        <f t="shared" si="62"/>
        <v>0</v>
      </c>
      <c r="AI116" s="61">
        <f t="shared" si="60"/>
        <v>0</v>
      </c>
      <c r="AJ116" s="61">
        <f t="shared" si="60"/>
        <v>0</v>
      </c>
      <c r="AK116" s="61">
        <f t="shared" si="63"/>
        <v>0</v>
      </c>
      <c r="AL116" s="61">
        <f t="shared" si="63"/>
        <v>0</v>
      </c>
      <c r="AM116" s="61">
        <f t="shared" si="63"/>
        <v>0</v>
      </c>
      <c r="AN116" s="61">
        <f t="shared" si="63"/>
        <v>0</v>
      </c>
      <c r="AO116" s="61">
        <f t="shared" si="63"/>
        <v>0</v>
      </c>
      <c r="AP116" s="61">
        <f t="shared" si="63"/>
        <v>0</v>
      </c>
      <c r="AQ116" s="61">
        <f t="shared" si="63"/>
        <v>0</v>
      </c>
      <c r="AR116" s="61">
        <f t="shared" si="63"/>
        <v>0</v>
      </c>
      <c r="AS116" s="61">
        <f t="shared" si="63"/>
        <v>0</v>
      </c>
      <c r="AT116" s="61">
        <f t="shared" si="63"/>
        <v>0</v>
      </c>
      <c r="AU116" s="61">
        <f t="shared" si="63"/>
        <v>0</v>
      </c>
      <c r="AV116" s="103">
        <f t="shared" si="52"/>
        <v>-106220.33625000004</v>
      </c>
      <c r="AW116" s="36">
        <f t="shared" si="53"/>
        <v>0</v>
      </c>
    </row>
    <row r="117" spans="1:49" x14ac:dyDescent="0.25">
      <c r="A117" s="13"/>
      <c r="B117" s="63"/>
      <c r="C117" s="13" t="s">
        <v>316</v>
      </c>
      <c r="E117" s="53">
        <v>1.2500000000000001E-2</v>
      </c>
      <c r="F117" s="61">
        <f>SUM($F$76:$F$87,$F$103:$F$104,$F$102,$F$107,$F$93,$F$106,$F$109)*E117</f>
        <v>72405.418749999997</v>
      </c>
      <c r="G117" s="88">
        <f>G116</f>
        <v>9</v>
      </c>
      <c r="H117" s="61"/>
      <c r="I117" s="61"/>
      <c r="K117" s="192"/>
      <c r="L117" s="36"/>
      <c r="M117" s="36">
        <f t="shared" si="56"/>
        <v>-72405.418749999997</v>
      </c>
      <c r="N117" s="90">
        <f t="shared" si="64"/>
        <v>43982</v>
      </c>
      <c r="O117" s="90">
        <f t="shared" si="57"/>
        <v>44227</v>
      </c>
      <c r="P117" s="3">
        <f t="shared" si="61"/>
        <v>9</v>
      </c>
      <c r="Q117" s="61">
        <v>-39805.1</v>
      </c>
      <c r="R117" s="61">
        <f t="shared" si="58"/>
        <v>0</v>
      </c>
      <c r="S117" s="207">
        <f t="shared" si="58"/>
        <v>0</v>
      </c>
      <c r="T117" s="61">
        <f t="shared" si="58"/>
        <v>0</v>
      </c>
      <c r="U117" s="61">
        <f t="shared" si="43"/>
        <v>-3622.2576388888888</v>
      </c>
      <c r="V117" s="61">
        <f t="shared" si="43"/>
        <v>-3622.2576388888888</v>
      </c>
      <c r="W117" s="61">
        <f t="shared" si="43"/>
        <v>-3622.2576388888888</v>
      </c>
      <c r="X117" s="61">
        <f t="shared" si="43"/>
        <v>-3622.2576388888888</v>
      </c>
      <c r="Y117" s="61">
        <f t="shared" si="43"/>
        <v>-3622.2576388888888</v>
      </c>
      <c r="Z117" s="61">
        <f t="shared" si="43"/>
        <v>-3622.2576388888888</v>
      </c>
      <c r="AA117" s="61">
        <f t="shared" si="43"/>
        <v>-3622.2576388888888</v>
      </c>
      <c r="AB117" s="61">
        <f t="shared" si="43"/>
        <v>-3622.2576388888888</v>
      </c>
      <c r="AC117" s="207">
        <f t="shared" si="43"/>
        <v>-3622.2576388888888</v>
      </c>
      <c r="AD117" s="61">
        <f t="shared" si="58"/>
        <v>0</v>
      </c>
      <c r="AE117" s="61">
        <f t="shared" si="58"/>
        <v>0</v>
      </c>
      <c r="AF117" s="61">
        <f t="shared" si="58"/>
        <v>0</v>
      </c>
      <c r="AG117" s="61">
        <f t="shared" si="59"/>
        <v>0</v>
      </c>
      <c r="AH117" s="61">
        <f t="shared" si="62"/>
        <v>0</v>
      </c>
      <c r="AI117" s="61">
        <f t="shared" si="60"/>
        <v>0</v>
      </c>
      <c r="AJ117" s="61">
        <f t="shared" si="60"/>
        <v>0</v>
      </c>
      <c r="AK117" s="61">
        <f t="shared" si="63"/>
        <v>0</v>
      </c>
      <c r="AL117" s="61">
        <f t="shared" si="63"/>
        <v>0</v>
      </c>
      <c r="AM117" s="61">
        <f t="shared" si="63"/>
        <v>0</v>
      </c>
      <c r="AN117" s="61">
        <f t="shared" si="63"/>
        <v>0</v>
      </c>
      <c r="AO117" s="61">
        <f t="shared" si="63"/>
        <v>0</v>
      </c>
      <c r="AP117" s="61">
        <f t="shared" si="63"/>
        <v>0</v>
      </c>
      <c r="AQ117" s="61">
        <f t="shared" si="63"/>
        <v>0</v>
      </c>
      <c r="AR117" s="61">
        <f t="shared" si="63"/>
        <v>0</v>
      </c>
      <c r="AS117" s="61">
        <f t="shared" si="63"/>
        <v>0</v>
      </c>
      <c r="AT117" s="61">
        <f t="shared" si="63"/>
        <v>0</v>
      </c>
      <c r="AU117" s="61">
        <f t="shared" si="63"/>
        <v>0</v>
      </c>
      <c r="AV117" s="103">
        <f t="shared" si="52"/>
        <v>-72405.418750000012</v>
      </c>
      <c r="AW117" s="36">
        <f t="shared" si="53"/>
        <v>0</v>
      </c>
    </row>
    <row r="118" spans="1:49" x14ac:dyDescent="0.25">
      <c r="A118" s="13"/>
      <c r="B118" s="63"/>
      <c r="C118" s="13" t="s">
        <v>317</v>
      </c>
      <c r="E118" s="132">
        <v>0.05</v>
      </c>
      <c r="F118" s="61">
        <f>SUM($F$76:$F$87,$F$103:$F$104,$F$101:$F$102,$F$107,$F$92,$F$106,$F$109,F96,F100)*E118</f>
        <v>326425.4535</v>
      </c>
      <c r="G118" s="88">
        <f>G117</f>
        <v>9</v>
      </c>
      <c r="H118" s="61"/>
      <c r="I118" s="61"/>
      <c r="K118" s="192"/>
      <c r="L118" s="36"/>
      <c r="M118" s="36">
        <f t="shared" si="56"/>
        <v>-326425.4535</v>
      </c>
      <c r="N118" s="90">
        <f t="shared" si="64"/>
        <v>43982</v>
      </c>
      <c r="O118" s="90">
        <f t="shared" si="57"/>
        <v>44227</v>
      </c>
      <c r="P118" s="3">
        <f t="shared" si="61"/>
        <v>9</v>
      </c>
      <c r="Q118" s="61">
        <f t="shared" si="58"/>
        <v>0</v>
      </c>
      <c r="R118" s="61">
        <f t="shared" si="58"/>
        <v>0</v>
      </c>
      <c r="S118" s="207">
        <f t="shared" si="58"/>
        <v>0</v>
      </c>
      <c r="T118" s="61">
        <f t="shared" si="58"/>
        <v>0</v>
      </c>
      <c r="U118" s="61">
        <f t="shared" si="43"/>
        <v>-36269.49483333333</v>
      </c>
      <c r="V118" s="61">
        <f t="shared" si="43"/>
        <v>-36269.49483333333</v>
      </c>
      <c r="W118" s="61">
        <f t="shared" si="43"/>
        <v>-36269.49483333333</v>
      </c>
      <c r="X118" s="61">
        <f t="shared" si="43"/>
        <v>-36269.49483333333</v>
      </c>
      <c r="Y118" s="61">
        <f t="shared" si="43"/>
        <v>-36269.49483333333</v>
      </c>
      <c r="Z118" s="61">
        <f t="shared" si="43"/>
        <v>-36269.49483333333</v>
      </c>
      <c r="AA118" s="61">
        <f t="shared" si="43"/>
        <v>-36269.49483333333</v>
      </c>
      <c r="AB118" s="61">
        <f t="shared" si="43"/>
        <v>-36269.49483333333</v>
      </c>
      <c r="AC118" s="207">
        <f t="shared" si="43"/>
        <v>-36269.49483333333</v>
      </c>
      <c r="AD118" s="61">
        <f t="shared" si="58"/>
        <v>0</v>
      </c>
      <c r="AE118" s="61">
        <f t="shared" si="58"/>
        <v>0</v>
      </c>
      <c r="AF118" s="61">
        <f t="shared" si="58"/>
        <v>0</v>
      </c>
      <c r="AG118" s="61">
        <f t="shared" si="59"/>
        <v>0</v>
      </c>
      <c r="AH118" s="61">
        <f t="shared" si="62"/>
        <v>0</v>
      </c>
      <c r="AI118" s="61">
        <f t="shared" si="60"/>
        <v>0</v>
      </c>
      <c r="AJ118" s="61">
        <f t="shared" si="60"/>
        <v>0</v>
      </c>
      <c r="AK118" s="61">
        <f t="shared" si="63"/>
        <v>0</v>
      </c>
      <c r="AL118" s="61">
        <f t="shared" si="63"/>
        <v>0</v>
      </c>
      <c r="AM118" s="61">
        <f t="shared" si="63"/>
        <v>0</v>
      </c>
      <c r="AN118" s="61">
        <f t="shared" si="63"/>
        <v>0</v>
      </c>
      <c r="AO118" s="61">
        <f t="shared" si="63"/>
        <v>0</v>
      </c>
      <c r="AP118" s="61">
        <f t="shared" si="63"/>
        <v>0</v>
      </c>
      <c r="AQ118" s="61">
        <f t="shared" si="63"/>
        <v>0</v>
      </c>
      <c r="AR118" s="61">
        <f t="shared" si="63"/>
        <v>0</v>
      </c>
      <c r="AS118" s="61">
        <f t="shared" si="63"/>
        <v>0</v>
      </c>
      <c r="AT118" s="61">
        <f t="shared" si="63"/>
        <v>0</v>
      </c>
      <c r="AU118" s="61">
        <f t="shared" si="63"/>
        <v>0</v>
      </c>
      <c r="AV118" s="103">
        <f t="shared" si="52"/>
        <v>-326425.45349999995</v>
      </c>
      <c r="AW118" s="36">
        <f t="shared" si="53"/>
        <v>0</v>
      </c>
    </row>
    <row r="119" spans="1:49" x14ac:dyDescent="0.25">
      <c r="A119" s="13"/>
      <c r="B119" s="63"/>
      <c r="C119" s="13" t="s">
        <v>318</v>
      </c>
      <c r="E119" s="53">
        <v>3.5000000000000001E-3</v>
      </c>
      <c r="F119" s="61">
        <f>SUM($F$76:$F$87,$F$103:$F$104,$F$102,$F$107,$F$93,$F$106,$F$109)*E119</f>
        <v>20273.517249999997</v>
      </c>
      <c r="G119" s="88">
        <f>G115</f>
        <v>9</v>
      </c>
      <c r="H119" s="61"/>
      <c r="I119" s="61"/>
      <c r="K119" s="192"/>
      <c r="L119" s="36"/>
      <c r="M119" s="36">
        <f t="shared" si="56"/>
        <v>-20273.517249999997</v>
      </c>
      <c r="N119" s="90">
        <f t="shared" si="64"/>
        <v>43982</v>
      </c>
      <c r="O119" s="90">
        <f t="shared" si="57"/>
        <v>44227</v>
      </c>
      <c r="P119" s="3">
        <f t="shared" si="61"/>
        <v>9</v>
      </c>
      <c r="Q119" s="61">
        <v>-5250</v>
      </c>
      <c r="R119" s="61">
        <f t="shared" si="58"/>
        <v>0</v>
      </c>
      <c r="S119" s="207">
        <f t="shared" si="58"/>
        <v>0</v>
      </c>
      <c r="T119" s="61">
        <f t="shared" si="58"/>
        <v>0</v>
      </c>
      <c r="U119" s="61">
        <f t="shared" si="43"/>
        <v>-1669.2796944444442</v>
      </c>
      <c r="V119" s="61">
        <f t="shared" si="43"/>
        <v>-1669.2796944444442</v>
      </c>
      <c r="W119" s="61">
        <f t="shared" si="43"/>
        <v>-1669.2796944444442</v>
      </c>
      <c r="X119" s="61">
        <f t="shared" si="43"/>
        <v>-1669.2796944444442</v>
      </c>
      <c r="Y119" s="61">
        <f t="shared" si="43"/>
        <v>-1669.2796944444442</v>
      </c>
      <c r="Z119" s="61">
        <f t="shared" si="43"/>
        <v>-1669.2796944444442</v>
      </c>
      <c r="AA119" s="61">
        <f t="shared" si="43"/>
        <v>-1669.2796944444442</v>
      </c>
      <c r="AB119" s="61">
        <f t="shared" si="43"/>
        <v>-1669.2796944444442</v>
      </c>
      <c r="AC119" s="207">
        <f t="shared" si="43"/>
        <v>-1669.2796944444442</v>
      </c>
      <c r="AD119" s="61">
        <f t="shared" si="58"/>
        <v>0</v>
      </c>
      <c r="AE119" s="61">
        <f t="shared" si="58"/>
        <v>0</v>
      </c>
      <c r="AF119" s="61">
        <f t="shared" si="58"/>
        <v>0</v>
      </c>
      <c r="AG119" s="61">
        <f t="shared" si="59"/>
        <v>0</v>
      </c>
      <c r="AH119" s="61">
        <f t="shared" si="62"/>
        <v>0</v>
      </c>
      <c r="AI119" s="61">
        <f t="shared" si="60"/>
        <v>0</v>
      </c>
      <c r="AJ119" s="61">
        <f t="shared" si="60"/>
        <v>0</v>
      </c>
      <c r="AK119" s="61">
        <f t="shared" si="63"/>
        <v>0</v>
      </c>
      <c r="AL119" s="61">
        <f t="shared" si="63"/>
        <v>0</v>
      </c>
      <c r="AM119" s="61">
        <f t="shared" si="63"/>
        <v>0</v>
      </c>
      <c r="AN119" s="61">
        <f t="shared" si="63"/>
        <v>0</v>
      </c>
      <c r="AO119" s="61">
        <f t="shared" si="63"/>
        <v>0</v>
      </c>
      <c r="AP119" s="61">
        <f t="shared" si="63"/>
        <v>0</v>
      </c>
      <c r="AQ119" s="61">
        <f t="shared" si="63"/>
        <v>0</v>
      </c>
      <c r="AR119" s="61">
        <f t="shared" si="63"/>
        <v>0</v>
      </c>
      <c r="AS119" s="61">
        <f t="shared" si="63"/>
        <v>0</v>
      </c>
      <c r="AT119" s="61">
        <f t="shared" si="63"/>
        <v>0</v>
      </c>
      <c r="AU119" s="61">
        <f t="shared" si="63"/>
        <v>0</v>
      </c>
      <c r="AV119" s="103">
        <f t="shared" si="52"/>
        <v>-20273.517249999997</v>
      </c>
      <c r="AW119" s="36">
        <f t="shared" si="53"/>
        <v>0</v>
      </c>
    </row>
    <row r="120" spans="1:49" x14ac:dyDescent="0.25">
      <c r="A120" s="13"/>
      <c r="B120" s="63"/>
      <c r="C120" s="13" t="s">
        <v>319</v>
      </c>
      <c r="F120" s="60">
        <v>12500</v>
      </c>
      <c r="G120" s="88">
        <f>G114</f>
        <v>9</v>
      </c>
      <c r="H120" s="61"/>
      <c r="I120" s="61"/>
      <c r="K120" s="192"/>
      <c r="L120" s="36"/>
      <c r="M120" s="36">
        <f t="shared" si="56"/>
        <v>-12500</v>
      </c>
      <c r="N120" s="90">
        <f t="shared" si="64"/>
        <v>43982</v>
      </c>
      <c r="O120" s="90">
        <f t="shared" si="57"/>
        <v>44227</v>
      </c>
      <c r="P120" s="3">
        <f t="shared" si="61"/>
        <v>9</v>
      </c>
      <c r="Q120" s="61">
        <v>-5400</v>
      </c>
      <c r="R120" s="61">
        <f t="shared" si="58"/>
        <v>0</v>
      </c>
      <c r="S120" s="207">
        <f t="shared" si="58"/>
        <v>0</v>
      </c>
      <c r="T120" s="61">
        <f t="shared" si="58"/>
        <v>0</v>
      </c>
      <c r="U120" s="61">
        <f t="shared" si="43"/>
        <v>-788.88888888888891</v>
      </c>
      <c r="V120" s="61">
        <f t="shared" si="43"/>
        <v>-788.88888888888891</v>
      </c>
      <c r="W120" s="61">
        <f t="shared" si="43"/>
        <v>-788.88888888888891</v>
      </c>
      <c r="X120" s="61">
        <f t="shared" si="43"/>
        <v>-788.88888888888891</v>
      </c>
      <c r="Y120" s="61">
        <f t="shared" si="43"/>
        <v>-788.88888888888891</v>
      </c>
      <c r="Z120" s="61">
        <f t="shared" si="43"/>
        <v>-788.88888888888891</v>
      </c>
      <c r="AA120" s="61">
        <f t="shared" si="43"/>
        <v>-788.88888888888891</v>
      </c>
      <c r="AB120" s="61">
        <f t="shared" si="43"/>
        <v>-788.88888888888891</v>
      </c>
      <c r="AC120" s="207">
        <f t="shared" si="43"/>
        <v>-788.88888888888891</v>
      </c>
      <c r="AD120" s="61">
        <f t="shared" si="58"/>
        <v>0</v>
      </c>
      <c r="AE120" s="61">
        <f t="shared" si="58"/>
        <v>0</v>
      </c>
      <c r="AF120" s="61">
        <f t="shared" si="58"/>
        <v>0</v>
      </c>
      <c r="AG120" s="61">
        <f t="shared" si="59"/>
        <v>0</v>
      </c>
      <c r="AH120" s="61">
        <f t="shared" si="62"/>
        <v>0</v>
      </c>
      <c r="AI120" s="61">
        <f t="shared" si="60"/>
        <v>0</v>
      </c>
      <c r="AJ120" s="61">
        <f t="shared" si="60"/>
        <v>0</v>
      </c>
      <c r="AK120" s="61">
        <f t="shared" si="60"/>
        <v>0</v>
      </c>
      <c r="AL120" s="61">
        <f t="shared" si="60"/>
        <v>0</v>
      </c>
      <c r="AM120" s="61">
        <f t="shared" si="60"/>
        <v>0</v>
      </c>
      <c r="AN120" s="61">
        <f t="shared" si="60"/>
        <v>0</v>
      </c>
      <c r="AO120" s="61">
        <f t="shared" si="60"/>
        <v>0</v>
      </c>
      <c r="AP120" s="61">
        <f t="shared" si="59"/>
        <v>0</v>
      </c>
      <c r="AQ120" s="61">
        <f t="shared" si="59"/>
        <v>0</v>
      </c>
      <c r="AR120" s="61">
        <f t="shared" si="59"/>
        <v>0</v>
      </c>
      <c r="AS120" s="61">
        <f t="shared" si="59"/>
        <v>0</v>
      </c>
      <c r="AT120" s="61">
        <f t="shared" si="59"/>
        <v>0</v>
      </c>
      <c r="AU120" s="61">
        <f t="shared" si="59"/>
        <v>0</v>
      </c>
      <c r="AV120" s="103">
        <f t="shared" si="52"/>
        <v>-12499.999999999998</v>
      </c>
      <c r="AW120" s="36">
        <f t="shared" si="53"/>
        <v>0</v>
      </c>
    </row>
    <row r="121" spans="1:49" x14ac:dyDescent="0.25">
      <c r="A121" s="13"/>
      <c r="B121" s="63"/>
      <c r="C121" s="13" t="s">
        <v>320</v>
      </c>
      <c r="F121" s="60">
        <v>15000</v>
      </c>
      <c r="G121" s="88">
        <f t="shared" ref="G121:G135" si="65">G120</f>
        <v>9</v>
      </c>
      <c r="H121" s="61"/>
      <c r="I121" s="61"/>
      <c r="K121" s="192"/>
      <c r="L121" s="36"/>
      <c r="M121" s="36">
        <f>-F121</f>
        <v>-15000</v>
      </c>
      <c r="N121" s="90">
        <f t="shared" si="64"/>
        <v>43982</v>
      </c>
      <c r="O121" s="90">
        <f>EOMONTH(N121,G121-1)</f>
        <v>44227</v>
      </c>
      <c r="P121" s="3">
        <f t="shared" si="61"/>
        <v>9</v>
      </c>
      <c r="Q121" s="61">
        <v>-5076</v>
      </c>
      <c r="R121" s="61">
        <f t="shared" si="58"/>
        <v>0</v>
      </c>
      <c r="S121" s="207">
        <f t="shared" si="58"/>
        <v>0</v>
      </c>
      <c r="T121" s="61">
        <f t="shared" si="58"/>
        <v>0</v>
      </c>
      <c r="U121" s="61">
        <f t="shared" si="43"/>
        <v>-1102.6666666666667</v>
      </c>
      <c r="V121" s="61">
        <f t="shared" si="43"/>
        <v>-1102.6666666666667</v>
      </c>
      <c r="W121" s="61">
        <f t="shared" si="43"/>
        <v>-1102.6666666666667</v>
      </c>
      <c r="X121" s="61">
        <f t="shared" si="43"/>
        <v>-1102.6666666666667</v>
      </c>
      <c r="Y121" s="61">
        <f t="shared" si="43"/>
        <v>-1102.6666666666667</v>
      </c>
      <c r="Z121" s="61">
        <f t="shared" si="43"/>
        <v>-1102.6666666666667</v>
      </c>
      <c r="AA121" s="61">
        <f t="shared" si="43"/>
        <v>-1102.6666666666667</v>
      </c>
      <c r="AB121" s="61">
        <f t="shared" si="43"/>
        <v>-1102.6666666666667</v>
      </c>
      <c r="AC121" s="207">
        <f t="shared" si="43"/>
        <v>-1102.6666666666667</v>
      </c>
      <c r="AD121" s="61">
        <f t="shared" si="58"/>
        <v>0</v>
      </c>
      <c r="AE121" s="61">
        <f t="shared" si="58"/>
        <v>0</v>
      </c>
      <c r="AF121" s="61">
        <f t="shared" si="58"/>
        <v>0</v>
      </c>
      <c r="AG121" s="61">
        <f t="shared" si="59"/>
        <v>0</v>
      </c>
      <c r="AH121" s="61">
        <f t="shared" si="62"/>
        <v>0</v>
      </c>
      <c r="AI121" s="61">
        <f t="shared" si="60"/>
        <v>0</v>
      </c>
      <c r="AJ121" s="61">
        <f t="shared" si="60"/>
        <v>0</v>
      </c>
      <c r="AK121" s="61">
        <f t="shared" si="60"/>
        <v>0</v>
      </c>
      <c r="AL121" s="61">
        <f t="shared" si="60"/>
        <v>0</v>
      </c>
      <c r="AM121" s="61">
        <f t="shared" si="60"/>
        <v>0</v>
      </c>
      <c r="AN121" s="61">
        <f t="shared" si="60"/>
        <v>0</v>
      </c>
      <c r="AO121" s="61">
        <f t="shared" si="60"/>
        <v>0</v>
      </c>
      <c r="AP121" s="61">
        <f t="shared" si="59"/>
        <v>0</v>
      </c>
      <c r="AQ121" s="61">
        <f t="shared" si="59"/>
        <v>0</v>
      </c>
      <c r="AR121" s="61">
        <f t="shared" si="59"/>
        <v>0</v>
      </c>
      <c r="AS121" s="61">
        <f t="shared" si="59"/>
        <v>0</v>
      </c>
      <c r="AT121" s="61">
        <f t="shared" si="59"/>
        <v>0</v>
      </c>
      <c r="AU121" s="61">
        <f t="shared" si="59"/>
        <v>0</v>
      </c>
      <c r="AV121" s="103">
        <f t="shared" si="52"/>
        <v>-14999.999999999996</v>
      </c>
      <c r="AW121" s="36">
        <f t="shared" si="53"/>
        <v>0</v>
      </c>
    </row>
    <row r="122" spans="1:49" x14ac:dyDescent="0.25">
      <c r="A122" s="13"/>
      <c r="B122" s="191"/>
      <c r="C122" s="13" t="s">
        <v>321</v>
      </c>
      <c r="F122" s="60">
        <v>10000</v>
      </c>
      <c r="G122" s="88">
        <f t="shared" si="65"/>
        <v>9</v>
      </c>
      <c r="H122" s="61"/>
      <c r="I122" s="61"/>
      <c r="K122" s="192"/>
      <c r="L122" s="36"/>
      <c r="M122" s="36">
        <f t="shared" si="56"/>
        <v>-10000</v>
      </c>
      <c r="N122" s="90">
        <f t="shared" si="64"/>
        <v>43982</v>
      </c>
      <c r="O122" s="90">
        <f t="shared" si="57"/>
        <v>44227</v>
      </c>
      <c r="P122" s="3">
        <f t="shared" si="61"/>
        <v>9</v>
      </c>
      <c r="Q122" s="61">
        <v>-4963</v>
      </c>
      <c r="R122" s="61">
        <f t="shared" si="58"/>
        <v>0</v>
      </c>
      <c r="S122" s="207">
        <f t="shared" si="58"/>
        <v>0</v>
      </c>
      <c r="T122" s="61">
        <f t="shared" si="58"/>
        <v>0</v>
      </c>
      <c r="U122" s="61">
        <f t="shared" si="43"/>
        <v>-559.66666666666663</v>
      </c>
      <c r="V122" s="61">
        <f t="shared" si="43"/>
        <v>-559.66666666666663</v>
      </c>
      <c r="W122" s="61">
        <f t="shared" si="43"/>
        <v>-559.66666666666663</v>
      </c>
      <c r="X122" s="61">
        <f t="shared" si="43"/>
        <v>-559.66666666666663</v>
      </c>
      <c r="Y122" s="61">
        <f t="shared" si="43"/>
        <v>-559.66666666666663</v>
      </c>
      <c r="Z122" s="61">
        <f t="shared" si="43"/>
        <v>-559.66666666666663</v>
      </c>
      <c r="AA122" s="61">
        <f t="shared" si="43"/>
        <v>-559.66666666666663</v>
      </c>
      <c r="AB122" s="61">
        <f t="shared" si="43"/>
        <v>-559.66666666666663</v>
      </c>
      <c r="AC122" s="207">
        <f t="shared" si="43"/>
        <v>-559.66666666666663</v>
      </c>
      <c r="AD122" s="61">
        <f t="shared" si="58"/>
        <v>0</v>
      </c>
      <c r="AE122" s="61">
        <f t="shared" si="58"/>
        <v>0</v>
      </c>
      <c r="AF122" s="61">
        <f t="shared" si="58"/>
        <v>0</v>
      </c>
      <c r="AG122" s="61">
        <f t="shared" si="59"/>
        <v>0</v>
      </c>
      <c r="AH122" s="61">
        <f t="shared" si="62"/>
        <v>0</v>
      </c>
      <c r="AI122" s="61">
        <f t="shared" si="60"/>
        <v>0</v>
      </c>
      <c r="AJ122" s="61">
        <f t="shared" si="60"/>
        <v>0</v>
      </c>
      <c r="AK122" s="61">
        <f t="shared" si="60"/>
        <v>0</v>
      </c>
      <c r="AL122" s="61">
        <f t="shared" si="60"/>
        <v>0</v>
      </c>
      <c r="AM122" s="61">
        <f t="shared" si="60"/>
        <v>0</v>
      </c>
      <c r="AN122" s="61">
        <f t="shared" si="60"/>
        <v>0</v>
      </c>
      <c r="AO122" s="61">
        <f t="shared" si="60"/>
        <v>0</v>
      </c>
      <c r="AP122" s="61">
        <f t="shared" si="59"/>
        <v>0</v>
      </c>
      <c r="AQ122" s="61">
        <f t="shared" si="59"/>
        <v>0</v>
      </c>
      <c r="AR122" s="61">
        <f t="shared" si="59"/>
        <v>0</v>
      </c>
      <c r="AS122" s="61">
        <f t="shared" si="59"/>
        <v>0</v>
      </c>
      <c r="AT122" s="61">
        <f t="shared" si="59"/>
        <v>0</v>
      </c>
      <c r="AU122" s="61">
        <f t="shared" si="59"/>
        <v>0</v>
      </c>
      <c r="AV122" s="103">
        <f t="shared" si="52"/>
        <v>-10000</v>
      </c>
      <c r="AW122" s="36">
        <f t="shared" si="53"/>
        <v>0</v>
      </c>
    </row>
    <row r="123" spans="1:49" x14ac:dyDescent="0.25">
      <c r="A123" s="13"/>
      <c r="B123" s="63"/>
      <c r="C123" s="13" t="s">
        <v>322</v>
      </c>
      <c r="F123" s="60">
        <v>6000</v>
      </c>
      <c r="G123" s="88">
        <f t="shared" si="65"/>
        <v>9</v>
      </c>
      <c r="H123" s="61"/>
      <c r="I123" s="61"/>
      <c r="K123" s="192"/>
      <c r="L123" s="36"/>
      <c r="M123" s="36">
        <f t="shared" si="56"/>
        <v>-6000</v>
      </c>
      <c r="N123" s="90">
        <f t="shared" si="64"/>
        <v>43982</v>
      </c>
      <c r="O123" s="90">
        <f t="shared" si="57"/>
        <v>44227</v>
      </c>
      <c r="P123" s="3">
        <f t="shared" si="61"/>
        <v>9</v>
      </c>
      <c r="Q123" s="61">
        <v>-3700</v>
      </c>
      <c r="R123" s="61">
        <f t="shared" si="58"/>
        <v>0</v>
      </c>
      <c r="S123" s="207">
        <f t="shared" si="58"/>
        <v>0</v>
      </c>
      <c r="T123" s="61">
        <f t="shared" si="58"/>
        <v>0</v>
      </c>
      <c r="U123" s="61">
        <f t="shared" si="43"/>
        <v>-255.55555555555554</v>
      </c>
      <c r="V123" s="61">
        <f t="shared" si="43"/>
        <v>-255.55555555555554</v>
      </c>
      <c r="W123" s="61">
        <f t="shared" si="43"/>
        <v>-255.55555555555554</v>
      </c>
      <c r="X123" s="61">
        <f t="shared" si="43"/>
        <v>-255.55555555555554</v>
      </c>
      <c r="Y123" s="61">
        <f t="shared" si="43"/>
        <v>-255.55555555555554</v>
      </c>
      <c r="Z123" s="61">
        <f t="shared" si="43"/>
        <v>-255.55555555555554</v>
      </c>
      <c r="AA123" s="61">
        <f t="shared" si="43"/>
        <v>-255.55555555555554</v>
      </c>
      <c r="AB123" s="61">
        <f t="shared" si="43"/>
        <v>-255.55555555555554</v>
      </c>
      <c r="AC123" s="207">
        <f t="shared" si="43"/>
        <v>-255.55555555555554</v>
      </c>
      <c r="AD123" s="61">
        <f t="shared" si="58"/>
        <v>0</v>
      </c>
      <c r="AE123" s="61">
        <f t="shared" si="58"/>
        <v>0</v>
      </c>
      <c r="AF123" s="61">
        <f t="shared" si="58"/>
        <v>0</v>
      </c>
      <c r="AG123" s="61">
        <f t="shared" si="59"/>
        <v>0</v>
      </c>
      <c r="AH123" s="61">
        <f t="shared" si="59"/>
        <v>0</v>
      </c>
      <c r="AI123" s="61">
        <f t="shared" si="59"/>
        <v>0</v>
      </c>
      <c r="AJ123" s="61">
        <f t="shared" si="59"/>
        <v>0</v>
      </c>
      <c r="AK123" s="61">
        <f t="shared" si="59"/>
        <v>0</v>
      </c>
      <c r="AL123" s="61">
        <f t="shared" si="59"/>
        <v>0</v>
      </c>
      <c r="AM123" s="61">
        <f t="shared" si="59"/>
        <v>0</v>
      </c>
      <c r="AN123" s="61">
        <f t="shared" si="59"/>
        <v>0</v>
      </c>
      <c r="AO123" s="61">
        <f t="shared" si="59"/>
        <v>0</v>
      </c>
      <c r="AP123" s="61">
        <f t="shared" si="59"/>
        <v>0</v>
      </c>
      <c r="AQ123" s="61">
        <f t="shared" si="59"/>
        <v>0</v>
      </c>
      <c r="AR123" s="61">
        <f t="shared" si="59"/>
        <v>0</v>
      </c>
      <c r="AS123" s="61">
        <f t="shared" si="59"/>
        <v>0</v>
      </c>
      <c r="AT123" s="61">
        <f t="shared" si="59"/>
        <v>0</v>
      </c>
      <c r="AU123" s="61">
        <f t="shared" si="59"/>
        <v>0</v>
      </c>
      <c r="AV123" s="103">
        <f t="shared" si="52"/>
        <v>-6000.0000000000009</v>
      </c>
      <c r="AW123" s="36">
        <f t="shared" si="53"/>
        <v>0</v>
      </c>
    </row>
    <row r="124" spans="1:49" x14ac:dyDescent="0.25">
      <c r="A124" s="13"/>
      <c r="B124" s="63"/>
      <c r="C124" s="13" t="s">
        <v>323</v>
      </c>
      <c r="F124" s="60">
        <v>5000</v>
      </c>
      <c r="G124" s="88">
        <f t="shared" si="65"/>
        <v>9</v>
      </c>
      <c r="H124" s="61"/>
      <c r="I124" s="61"/>
      <c r="K124" s="192"/>
      <c r="L124" s="36"/>
      <c r="M124" s="36">
        <f t="shared" si="56"/>
        <v>-5000</v>
      </c>
      <c r="N124" s="90">
        <f t="shared" si="64"/>
        <v>43982</v>
      </c>
      <c r="O124" s="90">
        <f t="shared" si="57"/>
        <v>44227</v>
      </c>
      <c r="P124" s="3">
        <f t="shared" si="61"/>
        <v>9</v>
      </c>
      <c r="Q124" s="61">
        <f t="shared" si="58"/>
        <v>0</v>
      </c>
      <c r="R124" s="61">
        <f t="shared" si="58"/>
        <v>0</v>
      </c>
      <c r="S124" s="207">
        <f t="shared" si="58"/>
        <v>0</v>
      </c>
      <c r="T124" s="61">
        <f t="shared" si="58"/>
        <v>0</v>
      </c>
      <c r="U124" s="61">
        <f t="shared" si="43"/>
        <v>-555.55555555555554</v>
      </c>
      <c r="V124" s="61">
        <f t="shared" si="43"/>
        <v>-555.55555555555554</v>
      </c>
      <c r="W124" s="61">
        <f t="shared" si="43"/>
        <v>-555.55555555555554</v>
      </c>
      <c r="X124" s="61">
        <f t="shared" si="43"/>
        <v>-555.55555555555554</v>
      </c>
      <c r="Y124" s="61">
        <f t="shared" si="43"/>
        <v>-555.55555555555554</v>
      </c>
      <c r="Z124" s="61">
        <f t="shared" si="43"/>
        <v>-555.55555555555554</v>
      </c>
      <c r="AA124" s="61">
        <f t="shared" si="43"/>
        <v>-555.55555555555554</v>
      </c>
      <c r="AB124" s="61">
        <f t="shared" si="43"/>
        <v>-555.55555555555554</v>
      </c>
      <c r="AC124" s="207">
        <f t="shared" si="43"/>
        <v>-555.55555555555554</v>
      </c>
      <c r="AD124" s="61">
        <f t="shared" si="58"/>
        <v>0</v>
      </c>
      <c r="AE124" s="61">
        <f t="shared" si="58"/>
        <v>0</v>
      </c>
      <c r="AF124" s="61">
        <f t="shared" si="58"/>
        <v>0</v>
      </c>
      <c r="AG124" s="61">
        <f t="shared" si="59"/>
        <v>0</v>
      </c>
      <c r="AH124" s="61">
        <f t="shared" si="59"/>
        <v>0</v>
      </c>
      <c r="AI124" s="61">
        <f t="shared" si="59"/>
        <v>0</v>
      </c>
      <c r="AJ124" s="61">
        <f t="shared" si="59"/>
        <v>0</v>
      </c>
      <c r="AK124" s="61">
        <f t="shared" si="59"/>
        <v>0</v>
      </c>
      <c r="AL124" s="61">
        <f t="shared" si="59"/>
        <v>0</v>
      </c>
      <c r="AM124" s="61">
        <f t="shared" si="59"/>
        <v>0</v>
      </c>
      <c r="AN124" s="61">
        <f t="shared" si="59"/>
        <v>0</v>
      </c>
      <c r="AO124" s="61">
        <f t="shared" si="59"/>
        <v>0</v>
      </c>
      <c r="AP124" s="61">
        <f t="shared" si="59"/>
        <v>0</v>
      </c>
      <c r="AQ124" s="61">
        <f t="shared" si="59"/>
        <v>0</v>
      </c>
      <c r="AR124" s="61">
        <f t="shared" si="59"/>
        <v>0</v>
      </c>
      <c r="AS124" s="61">
        <f t="shared" si="59"/>
        <v>0</v>
      </c>
      <c r="AT124" s="61">
        <f t="shared" si="59"/>
        <v>0</v>
      </c>
      <c r="AU124" s="61">
        <f t="shared" si="59"/>
        <v>0</v>
      </c>
      <c r="AV124" s="103">
        <f t="shared" si="52"/>
        <v>-5000</v>
      </c>
      <c r="AW124" s="36">
        <f t="shared" si="53"/>
        <v>0</v>
      </c>
    </row>
    <row r="125" spans="1:49" x14ac:dyDescent="0.25">
      <c r="A125" s="13"/>
      <c r="B125" s="63"/>
      <c r="C125" s="13" t="s">
        <v>324</v>
      </c>
      <c r="F125" s="60">
        <v>4500</v>
      </c>
      <c r="G125" s="88">
        <f t="shared" si="65"/>
        <v>9</v>
      </c>
      <c r="H125" s="61"/>
      <c r="I125" s="61"/>
      <c r="K125" s="192"/>
      <c r="L125" s="36"/>
      <c r="M125" s="36">
        <f>-F125</f>
        <v>-4500</v>
      </c>
      <c r="N125" s="90">
        <f t="shared" si="64"/>
        <v>43982</v>
      </c>
      <c r="O125" s="90">
        <f>EOMONTH(N125,G125-1)</f>
        <v>44227</v>
      </c>
      <c r="P125" s="3">
        <f t="shared" si="61"/>
        <v>9</v>
      </c>
      <c r="Q125" s="61">
        <f t="shared" si="58"/>
        <v>0</v>
      </c>
      <c r="R125" s="61">
        <f t="shared" si="58"/>
        <v>0</v>
      </c>
      <c r="S125" s="207">
        <f t="shared" si="58"/>
        <v>0</v>
      </c>
      <c r="T125" s="61">
        <f t="shared" si="58"/>
        <v>0</v>
      </c>
      <c r="U125" s="61">
        <f t="shared" si="43"/>
        <v>-500</v>
      </c>
      <c r="V125" s="61">
        <f t="shared" si="43"/>
        <v>-500</v>
      </c>
      <c r="W125" s="61">
        <f t="shared" si="43"/>
        <v>-500</v>
      </c>
      <c r="X125" s="61">
        <f t="shared" si="43"/>
        <v>-500</v>
      </c>
      <c r="Y125" s="61">
        <f t="shared" si="43"/>
        <v>-500</v>
      </c>
      <c r="Z125" s="61">
        <f t="shared" si="43"/>
        <v>-500</v>
      </c>
      <c r="AA125" s="61">
        <f t="shared" si="43"/>
        <v>-500</v>
      </c>
      <c r="AB125" s="61">
        <f t="shared" si="43"/>
        <v>-500</v>
      </c>
      <c r="AC125" s="207">
        <f t="shared" si="43"/>
        <v>-500</v>
      </c>
      <c r="AD125" s="61">
        <f t="shared" si="58"/>
        <v>0</v>
      </c>
      <c r="AE125" s="61">
        <f t="shared" si="58"/>
        <v>0</v>
      </c>
      <c r="AF125" s="61">
        <f t="shared" si="58"/>
        <v>0</v>
      </c>
      <c r="AG125" s="61">
        <f t="shared" si="59"/>
        <v>0</v>
      </c>
      <c r="AH125" s="61">
        <f t="shared" si="59"/>
        <v>0</v>
      </c>
      <c r="AI125" s="61">
        <f t="shared" si="59"/>
        <v>0</v>
      </c>
      <c r="AJ125" s="61">
        <f t="shared" si="59"/>
        <v>0</v>
      </c>
      <c r="AK125" s="61">
        <f t="shared" si="59"/>
        <v>0</v>
      </c>
      <c r="AL125" s="61">
        <f t="shared" si="59"/>
        <v>0</v>
      </c>
      <c r="AM125" s="61">
        <f t="shared" si="59"/>
        <v>0</v>
      </c>
      <c r="AN125" s="61">
        <f t="shared" si="59"/>
        <v>0</v>
      </c>
      <c r="AO125" s="61">
        <f t="shared" si="59"/>
        <v>0</v>
      </c>
      <c r="AP125" s="61">
        <f t="shared" si="59"/>
        <v>0</v>
      </c>
      <c r="AQ125" s="61">
        <f t="shared" si="59"/>
        <v>0</v>
      </c>
      <c r="AR125" s="61">
        <f t="shared" si="59"/>
        <v>0</v>
      </c>
      <c r="AS125" s="61">
        <f t="shared" si="59"/>
        <v>0</v>
      </c>
      <c r="AT125" s="61">
        <f t="shared" si="59"/>
        <v>0</v>
      </c>
      <c r="AU125" s="61">
        <f t="shared" si="59"/>
        <v>0</v>
      </c>
      <c r="AV125" s="103">
        <f t="shared" si="52"/>
        <v>-4500</v>
      </c>
      <c r="AW125" s="36">
        <f t="shared" si="53"/>
        <v>0</v>
      </c>
    </row>
    <row r="126" spans="1:49" x14ac:dyDescent="0.25">
      <c r="A126" s="13"/>
      <c r="B126" s="63"/>
      <c r="C126" s="13" t="s">
        <v>325</v>
      </c>
      <c r="F126" s="60">
        <v>10000</v>
      </c>
      <c r="G126" s="88">
        <f t="shared" si="65"/>
        <v>9</v>
      </c>
      <c r="H126" s="61"/>
      <c r="I126" s="61"/>
      <c r="K126" s="192"/>
      <c r="L126" s="36"/>
      <c r="M126" s="36">
        <f t="shared" si="56"/>
        <v>-10000</v>
      </c>
      <c r="N126" s="90">
        <f t="shared" si="64"/>
        <v>43982</v>
      </c>
      <c r="O126" s="90">
        <f t="shared" si="57"/>
        <v>44227</v>
      </c>
      <c r="P126" s="3">
        <f t="shared" si="61"/>
        <v>9</v>
      </c>
      <c r="Q126" s="61">
        <v>-6000</v>
      </c>
      <c r="R126" s="61">
        <f t="shared" si="58"/>
        <v>0</v>
      </c>
      <c r="S126" s="207">
        <f t="shared" si="58"/>
        <v>0</v>
      </c>
      <c r="T126" s="61">
        <f t="shared" si="58"/>
        <v>0</v>
      </c>
      <c r="U126" s="61">
        <f t="shared" si="43"/>
        <v>-444.44444444444446</v>
      </c>
      <c r="V126" s="61">
        <f t="shared" si="43"/>
        <v>-444.44444444444446</v>
      </c>
      <c r="W126" s="61">
        <f t="shared" si="43"/>
        <v>-444.44444444444446</v>
      </c>
      <c r="X126" s="61">
        <f t="shared" si="43"/>
        <v>-444.44444444444446</v>
      </c>
      <c r="Y126" s="61">
        <f t="shared" si="43"/>
        <v>-444.44444444444446</v>
      </c>
      <c r="Z126" s="61">
        <f t="shared" si="43"/>
        <v>-444.44444444444446</v>
      </c>
      <c r="AA126" s="61">
        <f t="shared" si="43"/>
        <v>-444.44444444444446</v>
      </c>
      <c r="AB126" s="61">
        <f t="shared" si="43"/>
        <v>-444.44444444444446</v>
      </c>
      <c r="AC126" s="207">
        <f t="shared" si="43"/>
        <v>-444.44444444444446</v>
      </c>
      <c r="AD126" s="61">
        <f t="shared" si="58"/>
        <v>0</v>
      </c>
      <c r="AE126" s="61">
        <f t="shared" si="58"/>
        <v>0</v>
      </c>
      <c r="AF126" s="61">
        <f t="shared" si="58"/>
        <v>0</v>
      </c>
      <c r="AG126" s="61">
        <f t="shared" si="59"/>
        <v>0</v>
      </c>
      <c r="AH126" s="61">
        <f t="shared" si="59"/>
        <v>0</v>
      </c>
      <c r="AI126" s="61">
        <f t="shared" si="59"/>
        <v>0</v>
      </c>
      <c r="AJ126" s="61">
        <f t="shared" si="59"/>
        <v>0</v>
      </c>
      <c r="AK126" s="61">
        <f t="shared" si="59"/>
        <v>0</v>
      </c>
      <c r="AL126" s="61">
        <f t="shared" si="59"/>
        <v>0</v>
      </c>
      <c r="AM126" s="61">
        <f t="shared" si="59"/>
        <v>0</v>
      </c>
      <c r="AN126" s="61">
        <f t="shared" si="59"/>
        <v>0</v>
      </c>
      <c r="AO126" s="61">
        <f t="shared" si="59"/>
        <v>0</v>
      </c>
      <c r="AP126" s="61">
        <f t="shared" si="59"/>
        <v>0</v>
      </c>
      <c r="AQ126" s="61">
        <f t="shared" si="59"/>
        <v>0</v>
      </c>
      <c r="AR126" s="61">
        <f t="shared" si="59"/>
        <v>0</v>
      </c>
      <c r="AS126" s="61">
        <f t="shared" si="59"/>
        <v>0</v>
      </c>
      <c r="AT126" s="61">
        <f t="shared" si="59"/>
        <v>0</v>
      </c>
      <c r="AU126" s="61">
        <f t="shared" si="59"/>
        <v>0</v>
      </c>
      <c r="AV126" s="103">
        <f t="shared" si="52"/>
        <v>-10000.000000000004</v>
      </c>
      <c r="AW126" s="36">
        <f t="shared" si="53"/>
        <v>0</v>
      </c>
    </row>
    <row r="127" spans="1:49" x14ac:dyDescent="0.25">
      <c r="A127" s="13"/>
      <c r="B127" s="63"/>
      <c r="C127" s="13" t="s">
        <v>326</v>
      </c>
      <c r="F127" s="60">
        <v>1000</v>
      </c>
      <c r="G127" s="88">
        <f t="shared" si="65"/>
        <v>9</v>
      </c>
      <c r="H127" s="61"/>
      <c r="I127" s="61"/>
      <c r="K127" s="192"/>
      <c r="L127" s="36"/>
      <c r="M127" s="36">
        <f>-F127</f>
        <v>-1000</v>
      </c>
      <c r="N127" s="90">
        <f t="shared" si="64"/>
        <v>43982</v>
      </c>
      <c r="O127" s="90">
        <f>EOMONTH(N127,G127-1)</f>
        <v>44227</v>
      </c>
      <c r="P127" s="3">
        <f t="shared" si="61"/>
        <v>9</v>
      </c>
      <c r="Q127" s="61">
        <f t="shared" si="58"/>
        <v>0</v>
      </c>
      <c r="R127" s="61">
        <f t="shared" si="58"/>
        <v>0</v>
      </c>
      <c r="S127" s="207">
        <f t="shared" si="58"/>
        <v>0</v>
      </c>
      <c r="T127" s="61">
        <f t="shared" si="58"/>
        <v>0</v>
      </c>
      <c r="U127" s="61">
        <f t="shared" si="43"/>
        <v>-111.11111111111111</v>
      </c>
      <c r="V127" s="61">
        <f t="shared" si="43"/>
        <v>-111.11111111111111</v>
      </c>
      <c r="W127" s="61">
        <f t="shared" si="43"/>
        <v>-111.11111111111111</v>
      </c>
      <c r="X127" s="61">
        <f t="shared" si="43"/>
        <v>-111.11111111111111</v>
      </c>
      <c r="Y127" s="61">
        <f t="shared" si="43"/>
        <v>-111.11111111111111</v>
      </c>
      <c r="Z127" s="61">
        <f t="shared" si="43"/>
        <v>-111.11111111111111</v>
      </c>
      <c r="AA127" s="61">
        <f t="shared" si="43"/>
        <v>-111.11111111111111</v>
      </c>
      <c r="AB127" s="61">
        <f t="shared" si="43"/>
        <v>-111.11111111111111</v>
      </c>
      <c r="AC127" s="207">
        <f t="shared" si="43"/>
        <v>-111.11111111111111</v>
      </c>
      <c r="AD127" s="61">
        <f t="shared" si="58"/>
        <v>0</v>
      </c>
      <c r="AE127" s="61">
        <f t="shared" si="58"/>
        <v>0</v>
      </c>
      <c r="AF127" s="61">
        <f t="shared" si="58"/>
        <v>0</v>
      </c>
      <c r="AG127" s="61">
        <f t="shared" si="59"/>
        <v>0</v>
      </c>
      <c r="AH127" s="61">
        <f t="shared" si="59"/>
        <v>0</v>
      </c>
      <c r="AI127" s="61">
        <f t="shared" si="59"/>
        <v>0</v>
      </c>
      <c r="AJ127" s="61">
        <f t="shared" si="59"/>
        <v>0</v>
      </c>
      <c r="AK127" s="61">
        <f t="shared" si="59"/>
        <v>0</v>
      </c>
      <c r="AL127" s="61">
        <f t="shared" si="59"/>
        <v>0</v>
      </c>
      <c r="AM127" s="61">
        <f t="shared" si="59"/>
        <v>0</v>
      </c>
      <c r="AN127" s="61">
        <f t="shared" si="59"/>
        <v>0</v>
      </c>
      <c r="AO127" s="61">
        <f t="shared" si="59"/>
        <v>0</v>
      </c>
      <c r="AP127" s="61">
        <f t="shared" si="59"/>
        <v>0</v>
      </c>
      <c r="AQ127" s="61">
        <f t="shared" si="59"/>
        <v>0</v>
      </c>
      <c r="AR127" s="61">
        <f t="shared" si="59"/>
        <v>0</v>
      </c>
      <c r="AS127" s="61">
        <f t="shared" si="59"/>
        <v>0</v>
      </c>
      <c r="AT127" s="61">
        <f t="shared" si="59"/>
        <v>0</v>
      </c>
      <c r="AU127" s="61">
        <f t="shared" si="59"/>
        <v>0</v>
      </c>
      <c r="AV127" s="103">
        <f t="shared" si="52"/>
        <v>-999.99999999999989</v>
      </c>
      <c r="AW127" s="36">
        <f t="shared" si="53"/>
        <v>0</v>
      </c>
    </row>
    <row r="128" spans="1:49" x14ac:dyDescent="0.25">
      <c r="A128" s="13"/>
      <c r="B128" s="63"/>
      <c r="C128" s="13" t="s">
        <v>327</v>
      </c>
      <c r="F128" s="60">
        <v>2000</v>
      </c>
      <c r="G128" s="88">
        <f t="shared" si="65"/>
        <v>9</v>
      </c>
      <c r="H128" s="61"/>
      <c r="I128" s="61"/>
      <c r="K128" s="192"/>
      <c r="L128" s="36"/>
      <c r="M128" s="36">
        <f t="shared" si="56"/>
        <v>-2000</v>
      </c>
      <c r="N128" s="90">
        <f t="shared" si="64"/>
        <v>43982</v>
      </c>
      <c r="O128" s="90">
        <f t="shared" si="57"/>
        <v>44227</v>
      </c>
      <c r="P128" s="3">
        <f t="shared" si="61"/>
        <v>9</v>
      </c>
      <c r="Q128" s="61">
        <f t="shared" si="58"/>
        <v>0</v>
      </c>
      <c r="R128" s="61">
        <f t="shared" si="58"/>
        <v>0</v>
      </c>
      <c r="S128" s="207">
        <f t="shared" si="58"/>
        <v>0</v>
      </c>
      <c r="T128" s="61">
        <f t="shared" si="58"/>
        <v>0</v>
      </c>
      <c r="U128" s="61">
        <f t="shared" si="43"/>
        <v>-222.22222222222223</v>
      </c>
      <c r="V128" s="61">
        <f t="shared" si="43"/>
        <v>-222.22222222222223</v>
      </c>
      <c r="W128" s="61">
        <f t="shared" si="43"/>
        <v>-222.22222222222223</v>
      </c>
      <c r="X128" s="61">
        <f t="shared" si="43"/>
        <v>-222.22222222222223</v>
      </c>
      <c r="Y128" s="61">
        <f t="shared" si="43"/>
        <v>-222.22222222222223</v>
      </c>
      <c r="Z128" s="61">
        <f t="shared" si="43"/>
        <v>-222.22222222222223</v>
      </c>
      <c r="AA128" s="61">
        <f t="shared" si="43"/>
        <v>-222.22222222222223</v>
      </c>
      <c r="AB128" s="61">
        <f t="shared" si="43"/>
        <v>-222.22222222222223</v>
      </c>
      <c r="AC128" s="207">
        <f t="shared" si="43"/>
        <v>-222.22222222222223</v>
      </c>
      <c r="AD128" s="61">
        <f t="shared" si="58"/>
        <v>0</v>
      </c>
      <c r="AE128" s="61">
        <f t="shared" si="58"/>
        <v>0</v>
      </c>
      <c r="AF128" s="61">
        <f t="shared" si="58"/>
        <v>0</v>
      </c>
      <c r="AG128" s="61">
        <f t="shared" si="59"/>
        <v>0</v>
      </c>
      <c r="AH128" s="61">
        <f t="shared" si="59"/>
        <v>0</v>
      </c>
      <c r="AI128" s="61">
        <f t="shared" si="59"/>
        <v>0</v>
      </c>
      <c r="AJ128" s="61">
        <f t="shared" si="59"/>
        <v>0</v>
      </c>
      <c r="AK128" s="61">
        <f t="shared" si="59"/>
        <v>0</v>
      </c>
      <c r="AL128" s="61">
        <f t="shared" si="59"/>
        <v>0</v>
      </c>
      <c r="AM128" s="61">
        <f t="shared" si="59"/>
        <v>0</v>
      </c>
      <c r="AN128" s="61">
        <f t="shared" si="59"/>
        <v>0</v>
      </c>
      <c r="AO128" s="61">
        <f t="shared" si="59"/>
        <v>0</v>
      </c>
      <c r="AP128" s="61">
        <f t="shared" si="59"/>
        <v>0</v>
      </c>
      <c r="AQ128" s="61">
        <f t="shared" si="59"/>
        <v>0</v>
      </c>
      <c r="AR128" s="61">
        <f t="shared" si="59"/>
        <v>0</v>
      </c>
      <c r="AS128" s="61">
        <f t="shared" si="59"/>
        <v>0</v>
      </c>
      <c r="AT128" s="61">
        <f t="shared" si="59"/>
        <v>0</v>
      </c>
      <c r="AU128" s="61">
        <f t="shared" si="59"/>
        <v>0</v>
      </c>
      <c r="AV128" s="103">
        <f t="shared" si="52"/>
        <v>-1999.9999999999998</v>
      </c>
      <c r="AW128" s="36">
        <f t="shared" si="53"/>
        <v>0</v>
      </c>
    </row>
    <row r="129" spans="1:49" x14ac:dyDescent="0.25">
      <c r="A129" s="13"/>
      <c r="B129" s="63"/>
      <c r="C129" s="13" t="s">
        <v>328</v>
      </c>
      <c r="F129" s="60">
        <v>5000</v>
      </c>
      <c r="G129" s="88">
        <f t="shared" si="65"/>
        <v>9</v>
      </c>
      <c r="H129" s="61"/>
      <c r="I129" s="61"/>
      <c r="J129" s="61"/>
      <c r="K129" s="192"/>
      <c r="L129" s="36"/>
      <c r="M129" s="36">
        <f>-F129</f>
        <v>-5000</v>
      </c>
      <c r="N129" s="90">
        <f t="shared" si="64"/>
        <v>43982</v>
      </c>
      <c r="O129" s="90">
        <f>EOMONTH(N129,G129-1)</f>
        <v>44227</v>
      </c>
      <c r="P129" s="3">
        <f t="shared" si="61"/>
        <v>9</v>
      </c>
      <c r="Q129" s="61">
        <f t="shared" si="58"/>
        <v>0</v>
      </c>
      <c r="R129" s="61">
        <f t="shared" si="58"/>
        <v>0</v>
      </c>
      <c r="S129" s="207">
        <f t="shared" si="58"/>
        <v>0</v>
      </c>
      <c r="T129" s="61">
        <f t="shared" si="58"/>
        <v>0</v>
      </c>
      <c r="U129" s="61">
        <f t="shared" si="43"/>
        <v>-555.55555555555554</v>
      </c>
      <c r="V129" s="61">
        <f t="shared" si="43"/>
        <v>-555.55555555555554</v>
      </c>
      <c r="W129" s="61">
        <f t="shared" si="43"/>
        <v>-555.55555555555554</v>
      </c>
      <c r="X129" s="61">
        <f t="shared" si="43"/>
        <v>-555.55555555555554</v>
      </c>
      <c r="Y129" s="61">
        <f t="shared" si="43"/>
        <v>-555.55555555555554</v>
      </c>
      <c r="Z129" s="61">
        <f t="shared" si="43"/>
        <v>-555.55555555555554</v>
      </c>
      <c r="AA129" s="61">
        <f t="shared" si="43"/>
        <v>-555.55555555555554</v>
      </c>
      <c r="AB129" s="61">
        <f t="shared" si="43"/>
        <v>-555.55555555555554</v>
      </c>
      <c r="AC129" s="207">
        <f t="shared" si="43"/>
        <v>-555.55555555555554</v>
      </c>
      <c r="AD129" s="61">
        <f t="shared" si="58"/>
        <v>0</v>
      </c>
      <c r="AE129" s="61">
        <f t="shared" si="58"/>
        <v>0</v>
      </c>
      <c r="AF129" s="61">
        <f t="shared" si="58"/>
        <v>0</v>
      </c>
      <c r="AG129" s="61">
        <f t="shared" si="59"/>
        <v>0</v>
      </c>
      <c r="AH129" s="61">
        <f t="shared" si="59"/>
        <v>0</v>
      </c>
      <c r="AI129" s="61">
        <f t="shared" si="59"/>
        <v>0</v>
      </c>
      <c r="AJ129" s="61">
        <f t="shared" si="59"/>
        <v>0</v>
      </c>
      <c r="AK129" s="61">
        <f t="shared" si="59"/>
        <v>0</v>
      </c>
      <c r="AL129" s="61">
        <f t="shared" si="59"/>
        <v>0</v>
      </c>
      <c r="AM129" s="61">
        <f t="shared" si="59"/>
        <v>0</v>
      </c>
      <c r="AN129" s="61">
        <f t="shared" si="59"/>
        <v>0</v>
      </c>
      <c r="AO129" s="61">
        <f t="shared" si="59"/>
        <v>0</v>
      </c>
      <c r="AP129" s="61">
        <f t="shared" si="59"/>
        <v>0</v>
      </c>
      <c r="AQ129" s="61">
        <f t="shared" si="59"/>
        <v>0</v>
      </c>
      <c r="AR129" s="61">
        <f t="shared" si="59"/>
        <v>0</v>
      </c>
      <c r="AS129" s="61">
        <f t="shared" si="59"/>
        <v>0</v>
      </c>
      <c r="AT129" s="61">
        <f t="shared" si="59"/>
        <v>0</v>
      </c>
      <c r="AU129" s="61">
        <f t="shared" si="59"/>
        <v>0</v>
      </c>
      <c r="AV129" s="103">
        <f t="shared" si="52"/>
        <v>-5000</v>
      </c>
      <c r="AW129" s="36">
        <f t="shared" si="53"/>
        <v>0</v>
      </c>
    </row>
    <row r="130" spans="1:49" hidden="1" x14ac:dyDescent="0.25">
      <c r="A130" s="13"/>
      <c r="B130" s="63"/>
      <c r="C130" s="13"/>
      <c r="F130" s="60"/>
      <c r="G130" s="88">
        <f t="shared" si="65"/>
        <v>9</v>
      </c>
      <c r="H130" s="106"/>
      <c r="I130" s="61"/>
      <c r="J130" s="36"/>
      <c r="M130" s="36"/>
      <c r="N130" s="90">
        <f t="shared" si="64"/>
        <v>43982</v>
      </c>
      <c r="O130" s="90"/>
      <c r="Q130" s="61"/>
      <c r="R130" s="61"/>
      <c r="S130" s="207"/>
      <c r="T130" s="61"/>
      <c r="U130" s="61">
        <f t="shared" si="43"/>
        <v>0</v>
      </c>
      <c r="V130" s="61">
        <f t="shared" si="43"/>
        <v>0</v>
      </c>
      <c r="W130" s="61">
        <f t="shared" si="43"/>
        <v>0</v>
      </c>
      <c r="X130" s="61">
        <f t="shared" si="43"/>
        <v>0</v>
      </c>
      <c r="Y130" s="61">
        <f t="shared" si="43"/>
        <v>0</v>
      </c>
      <c r="Z130" s="61">
        <f t="shared" si="43"/>
        <v>0</v>
      </c>
      <c r="AA130" s="61">
        <f t="shared" si="43"/>
        <v>0</v>
      </c>
      <c r="AB130" s="61">
        <f t="shared" si="43"/>
        <v>0</v>
      </c>
      <c r="AC130" s="207">
        <f t="shared" si="43"/>
        <v>0</v>
      </c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103"/>
      <c r="AW130" s="36"/>
    </row>
    <row r="131" spans="1:49" hidden="1" x14ac:dyDescent="0.25">
      <c r="A131" s="13"/>
      <c r="B131" s="63"/>
      <c r="C131" s="13"/>
      <c r="E131" s="113"/>
      <c r="F131" s="60"/>
      <c r="G131" s="88">
        <f t="shared" si="65"/>
        <v>9</v>
      </c>
      <c r="H131" s="61"/>
      <c r="I131" s="61"/>
      <c r="M131" s="36"/>
      <c r="N131" s="90">
        <f t="shared" si="64"/>
        <v>43982</v>
      </c>
      <c r="O131" s="90"/>
      <c r="Q131" s="61"/>
      <c r="R131" s="61"/>
      <c r="S131" s="207"/>
      <c r="T131" s="61"/>
      <c r="U131" s="61">
        <f t="shared" si="43"/>
        <v>0</v>
      </c>
      <c r="V131" s="61">
        <f t="shared" si="43"/>
        <v>0</v>
      </c>
      <c r="W131" s="61">
        <f t="shared" si="43"/>
        <v>0</v>
      </c>
      <c r="X131" s="61">
        <f t="shared" si="43"/>
        <v>0</v>
      </c>
      <c r="Y131" s="61">
        <f t="shared" si="43"/>
        <v>0</v>
      </c>
      <c r="Z131" s="61">
        <f t="shared" si="43"/>
        <v>0</v>
      </c>
      <c r="AA131" s="61">
        <f t="shared" si="43"/>
        <v>0</v>
      </c>
      <c r="AB131" s="61">
        <f t="shared" si="43"/>
        <v>0</v>
      </c>
      <c r="AC131" s="207">
        <f t="shared" si="43"/>
        <v>0</v>
      </c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103"/>
      <c r="AW131" s="36"/>
    </row>
    <row r="132" spans="1:49" hidden="1" x14ac:dyDescent="0.25">
      <c r="A132" s="13"/>
      <c r="B132" s="63"/>
      <c r="C132" s="13"/>
      <c r="E132" s="113"/>
      <c r="F132" s="60"/>
      <c r="G132" s="88">
        <f t="shared" si="65"/>
        <v>9</v>
      </c>
      <c r="H132" s="61"/>
      <c r="I132" s="106"/>
      <c r="M132" s="36"/>
      <c r="N132" s="90">
        <f t="shared" si="64"/>
        <v>43982</v>
      </c>
      <c r="O132" s="90"/>
      <c r="Q132" s="61"/>
      <c r="R132" s="61"/>
      <c r="S132" s="207"/>
      <c r="T132" s="61"/>
      <c r="U132" s="61">
        <f t="shared" si="43"/>
        <v>0</v>
      </c>
      <c r="V132" s="61">
        <f t="shared" si="43"/>
        <v>0</v>
      </c>
      <c r="W132" s="61">
        <f t="shared" si="43"/>
        <v>0</v>
      </c>
      <c r="X132" s="61">
        <f t="shared" si="43"/>
        <v>0</v>
      </c>
      <c r="Y132" s="61">
        <f t="shared" si="43"/>
        <v>0</v>
      </c>
      <c r="Z132" s="61">
        <f t="shared" si="43"/>
        <v>0</v>
      </c>
      <c r="AA132" s="61">
        <f t="shared" si="43"/>
        <v>0</v>
      </c>
      <c r="AB132" s="61">
        <f t="shared" si="43"/>
        <v>0</v>
      </c>
      <c r="AC132" s="207">
        <f t="shared" si="43"/>
        <v>0</v>
      </c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103"/>
      <c r="AW132" s="36"/>
    </row>
    <row r="133" spans="1:49" hidden="1" x14ac:dyDescent="0.25">
      <c r="A133" s="13"/>
      <c r="B133" s="63"/>
      <c r="C133" s="13"/>
      <c r="E133" s="133"/>
      <c r="F133" s="60"/>
      <c r="G133" s="88">
        <f t="shared" si="65"/>
        <v>9</v>
      </c>
      <c r="H133" s="109"/>
      <c r="I133" s="61"/>
      <c r="M133" s="36"/>
      <c r="N133" s="90">
        <f t="shared" si="64"/>
        <v>43982</v>
      </c>
      <c r="O133" s="90"/>
      <c r="Q133" s="61"/>
      <c r="R133" s="61"/>
      <c r="S133" s="207"/>
      <c r="T133" s="61"/>
      <c r="U133" s="61">
        <f t="shared" si="43"/>
        <v>0</v>
      </c>
      <c r="V133" s="61">
        <f t="shared" si="43"/>
        <v>0</v>
      </c>
      <c r="W133" s="61">
        <f t="shared" si="43"/>
        <v>0</v>
      </c>
      <c r="X133" s="61">
        <f t="shared" si="43"/>
        <v>0</v>
      </c>
      <c r="Y133" s="61">
        <f t="shared" si="43"/>
        <v>0</v>
      </c>
      <c r="Z133" s="61">
        <f t="shared" si="43"/>
        <v>0</v>
      </c>
      <c r="AA133" s="61">
        <f t="shared" ref="V133:AC138" si="66">IF(OR(AA$41&lt;$N133,AA$41&gt;$O133),0,($M133-SUM($Q133:$T133))/$P133)</f>
        <v>0</v>
      </c>
      <c r="AB133" s="61">
        <f t="shared" si="66"/>
        <v>0</v>
      </c>
      <c r="AC133" s="207">
        <f t="shared" si="66"/>
        <v>0</v>
      </c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103"/>
      <c r="AW133" s="36"/>
    </row>
    <row r="134" spans="1:49" hidden="1" x14ac:dyDescent="0.25">
      <c r="A134" s="13"/>
      <c r="B134" s="63"/>
      <c r="C134" s="13"/>
      <c r="E134" s="113"/>
      <c r="F134" s="60"/>
      <c r="G134" s="88">
        <f t="shared" si="65"/>
        <v>9</v>
      </c>
      <c r="H134" s="61"/>
      <c r="I134" s="61"/>
      <c r="M134" s="36"/>
      <c r="N134" s="90">
        <f t="shared" si="64"/>
        <v>43982</v>
      </c>
      <c r="O134" s="90"/>
      <c r="Q134" s="61"/>
      <c r="R134" s="61"/>
      <c r="S134" s="207"/>
      <c r="T134" s="61"/>
      <c r="U134" s="61">
        <f t="shared" ref="U134:U138" si="67">IF(OR(U$41&lt;$N134,U$41&gt;$O134),0,($M134-SUM($Q134:$T134))/$P134)</f>
        <v>0</v>
      </c>
      <c r="V134" s="61">
        <f t="shared" si="66"/>
        <v>0</v>
      </c>
      <c r="W134" s="61">
        <f t="shared" si="66"/>
        <v>0</v>
      </c>
      <c r="X134" s="61">
        <f t="shared" si="66"/>
        <v>0</v>
      </c>
      <c r="Y134" s="61">
        <f t="shared" si="66"/>
        <v>0</v>
      </c>
      <c r="Z134" s="61">
        <f t="shared" si="66"/>
        <v>0</v>
      </c>
      <c r="AA134" s="61">
        <f t="shared" si="66"/>
        <v>0</v>
      </c>
      <c r="AB134" s="61">
        <f t="shared" si="66"/>
        <v>0</v>
      </c>
      <c r="AC134" s="207">
        <f t="shared" si="66"/>
        <v>0</v>
      </c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103"/>
      <c r="AW134" s="36"/>
    </row>
    <row r="135" spans="1:49" x14ac:dyDescent="0.25">
      <c r="A135" s="13"/>
      <c r="B135" s="63"/>
      <c r="C135" s="13" t="s">
        <v>329</v>
      </c>
      <c r="F135" s="60">
        <v>20000</v>
      </c>
      <c r="G135" s="88">
        <f t="shared" si="65"/>
        <v>9</v>
      </c>
      <c r="H135" s="61"/>
      <c r="I135" s="61"/>
      <c r="J135" s="124"/>
      <c r="M135" s="36">
        <f t="shared" si="56"/>
        <v>-20000</v>
      </c>
      <c r="N135" s="90">
        <f t="shared" si="64"/>
        <v>43982</v>
      </c>
      <c r="O135" s="90">
        <f t="shared" si="57"/>
        <v>44227</v>
      </c>
      <c r="P135" s="3">
        <f>ROUND((O135-N135)/365*12,0)+1</f>
        <v>9</v>
      </c>
      <c r="Q135" s="61">
        <f t="shared" ref="Q135:AF138" si="68">IF(OR(Q$41&lt;$N135,Q$41&gt;$O135),0,$M135/$P135)</f>
        <v>0</v>
      </c>
      <c r="R135" s="61">
        <f t="shared" si="68"/>
        <v>0</v>
      </c>
      <c r="S135" s="207">
        <f t="shared" si="68"/>
        <v>0</v>
      </c>
      <c r="T135" s="61">
        <f t="shared" si="68"/>
        <v>0</v>
      </c>
      <c r="U135" s="61">
        <f t="shared" si="67"/>
        <v>-2222.2222222222222</v>
      </c>
      <c r="V135" s="61">
        <f t="shared" si="66"/>
        <v>-2222.2222222222222</v>
      </c>
      <c r="W135" s="61">
        <f t="shared" si="66"/>
        <v>-2222.2222222222222</v>
      </c>
      <c r="X135" s="61">
        <f t="shared" si="66"/>
        <v>-2222.2222222222222</v>
      </c>
      <c r="Y135" s="61">
        <f t="shared" si="66"/>
        <v>-2222.2222222222222</v>
      </c>
      <c r="Z135" s="61">
        <f t="shared" si="66"/>
        <v>-2222.2222222222222</v>
      </c>
      <c r="AA135" s="61">
        <f t="shared" si="66"/>
        <v>-2222.2222222222222</v>
      </c>
      <c r="AB135" s="61">
        <f t="shared" si="66"/>
        <v>-2222.2222222222222</v>
      </c>
      <c r="AC135" s="207">
        <f t="shared" si="66"/>
        <v>-2222.2222222222222</v>
      </c>
      <c r="AD135" s="61">
        <f t="shared" si="68"/>
        <v>0</v>
      </c>
      <c r="AE135" s="61">
        <f t="shared" si="68"/>
        <v>0</v>
      </c>
      <c r="AF135" s="61">
        <f t="shared" si="68"/>
        <v>0</v>
      </c>
      <c r="AG135" s="61">
        <f t="shared" ref="AG135:AU138" si="69">IF(OR(AG$41&lt;$N135,AG$41&gt;$O135),0,$M135/$P135)</f>
        <v>0</v>
      </c>
      <c r="AH135" s="61">
        <f t="shared" si="69"/>
        <v>0</v>
      </c>
      <c r="AI135" s="61">
        <f t="shared" si="69"/>
        <v>0</v>
      </c>
      <c r="AJ135" s="61">
        <f t="shared" si="69"/>
        <v>0</v>
      </c>
      <c r="AK135" s="61">
        <f t="shared" si="69"/>
        <v>0</v>
      </c>
      <c r="AL135" s="61">
        <f t="shared" si="69"/>
        <v>0</v>
      </c>
      <c r="AM135" s="61">
        <f t="shared" si="69"/>
        <v>0</v>
      </c>
      <c r="AN135" s="61">
        <f t="shared" si="69"/>
        <v>0</v>
      </c>
      <c r="AO135" s="61">
        <f t="shared" si="69"/>
        <v>0</v>
      </c>
      <c r="AP135" s="61">
        <f t="shared" si="69"/>
        <v>0</v>
      </c>
      <c r="AQ135" s="61">
        <f t="shared" si="69"/>
        <v>0</v>
      </c>
      <c r="AR135" s="61">
        <f t="shared" si="69"/>
        <v>0</v>
      </c>
      <c r="AS135" s="61">
        <f t="shared" si="69"/>
        <v>0</v>
      </c>
      <c r="AT135" s="61">
        <f t="shared" si="69"/>
        <v>0</v>
      </c>
      <c r="AU135" s="61">
        <f t="shared" si="69"/>
        <v>0</v>
      </c>
      <c r="AV135" s="103">
        <f t="shared" ref="AV135:AV154" si="70">SUM(Q135:AU135)</f>
        <v>-20000</v>
      </c>
      <c r="AW135" s="36">
        <f t="shared" ref="AW135:AW152" si="71">SUM(Q135:AU135)-M135</f>
        <v>0</v>
      </c>
    </row>
    <row r="136" spans="1:49" x14ac:dyDescent="0.25">
      <c r="A136" s="13"/>
      <c r="B136" s="63"/>
      <c r="C136" s="13" t="s">
        <v>330</v>
      </c>
      <c r="F136" s="60">
        <v>0</v>
      </c>
      <c r="G136" s="88">
        <v>1</v>
      </c>
      <c r="H136" s="61"/>
      <c r="I136" s="61"/>
      <c r="M136" s="36">
        <f>-F136</f>
        <v>0</v>
      </c>
      <c r="N136" s="90">
        <f t="shared" si="64"/>
        <v>43982</v>
      </c>
      <c r="O136" s="90">
        <f>EOMONTH(N136,G136-1)</f>
        <v>43982</v>
      </c>
      <c r="P136" s="3">
        <f>ROUND((O136-N136)/365*12,0)+1</f>
        <v>1</v>
      </c>
      <c r="Q136" s="61">
        <f t="shared" si="68"/>
        <v>0</v>
      </c>
      <c r="R136" s="61">
        <f t="shared" si="68"/>
        <v>0</v>
      </c>
      <c r="S136" s="207">
        <f t="shared" si="68"/>
        <v>0</v>
      </c>
      <c r="T136" s="61">
        <f t="shared" si="68"/>
        <v>0</v>
      </c>
      <c r="U136" s="61">
        <f t="shared" si="67"/>
        <v>0</v>
      </c>
      <c r="V136" s="61">
        <f t="shared" si="66"/>
        <v>0</v>
      </c>
      <c r="W136" s="61">
        <f t="shared" si="66"/>
        <v>0</v>
      </c>
      <c r="X136" s="61">
        <f t="shared" si="66"/>
        <v>0</v>
      </c>
      <c r="Y136" s="61">
        <f t="shared" si="66"/>
        <v>0</v>
      </c>
      <c r="Z136" s="61">
        <f t="shared" si="66"/>
        <v>0</v>
      </c>
      <c r="AA136" s="61">
        <f t="shared" si="66"/>
        <v>0</v>
      </c>
      <c r="AB136" s="61">
        <f t="shared" si="66"/>
        <v>0</v>
      </c>
      <c r="AC136" s="207">
        <f t="shared" si="66"/>
        <v>0</v>
      </c>
      <c r="AD136" s="61">
        <f t="shared" si="68"/>
        <v>0</v>
      </c>
      <c r="AE136" s="61">
        <f t="shared" si="68"/>
        <v>0</v>
      </c>
      <c r="AF136" s="61">
        <f t="shared" si="68"/>
        <v>0</v>
      </c>
      <c r="AG136" s="61">
        <f t="shared" si="69"/>
        <v>0</v>
      </c>
      <c r="AH136" s="61">
        <f t="shared" si="69"/>
        <v>0</v>
      </c>
      <c r="AI136" s="61">
        <f t="shared" si="69"/>
        <v>0</v>
      </c>
      <c r="AJ136" s="61">
        <f t="shared" si="69"/>
        <v>0</v>
      </c>
      <c r="AK136" s="61">
        <f t="shared" si="69"/>
        <v>0</v>
      </c>
      <c r="AL136" s="61">
        <f t="shared" si="69"/>
        <v>0</v>
      </c>
      <c r="AM136" s="61">
        <f t="shared" si="69"/>
        <v>0</v>
      </c>
      <c r="AN136" s="61">
        <f t="shared" si="69"/>
        <v>0</v>
      </c>
      <c r="AO136" s="61">
        <f t="shared" si="69"/>
        <v>0</v>
      </c>
      <c r="AP136" s="61">
        <f t="shared" si="69"/>
        <v>0</v>
      </c>
      <c r="AQ136" s="61">
        <f t="shared" si="69"/>
        <v>0</v>
      </c>
      <c r="AR136" s="61">
        <f t="shared" si="69"/>
        <v>0</v>
      </c>
      <c r="AS136" s="61">
        <f t="shared" si="69"/>
        <v>0</v>
      </c>
      <c r="AT136" s="61">
        <f t="shared" si="69"/>
        <v>0</v>
      </c>
      <c r="AU136" s="61">
        <f t="shared" si="69"/>
        <v>0</v>
      </c>
      <c r="AV136" s="103">
        <f t="shared" si="70"/>
        <v>0</v>
      </c>
      <c r="AW136" s="36">
        <f t="shared" si="71"/>
        <v>0</v>
      </c>
    </row>
    <row r="137" spans="1:49" x14ac:dyDescent="0.25">
      <c r="A137" s="13"/>
      <c r="B137" s="63"/>
      <c r="C137" s="13" t="s">
        <v>331</v>
      </c>
      <c r="F137" s="60">
        <v>15000</v>
      </c>
      <c r="G137" s="88">
        <v>1</v>
      </c>
      <c r="H137" s="61"/>
      <c r="I137" s="61"/>
      <c r="J137" s="124"/>
      <c r="M137" s="36">
        <f t="shared" si="56"/>
        <v>-15000</v>
      </c>
      <c r="N137" s="89">
        <f>N149</f>
        <v>43982</v>
      </c>
      <c r="O137" s="90">
        <f t="shared" si="57"/>
        <v>43982</v>
      </c>
      <c r="P137" s="3">
        <f>ROUND((O137-N137)/365*12,0)+1</f>
        <v>1</v>
      </c>
      <c r="Q137" s="61">
        <f t="shared" si="68"/>
        <v>0</v>
      </c>
      <c r="R137" s="61">
        <f t="shared" si="68"/>
        <v>0</v>
      </c>
      <c r="S137" s="207">
        <f t="shared" si="68"/>
        <v>0</v>
      </c>
      <c r="T137" s="61">
        <f t="shared" si="68"/>
        <v>0</v>
      </c>
      <c r="U137" s="61">
        <f t="shared" si="67"/>
        <v>-15000</v>
      </c>
      <c r="V137" s="61">
        <f t="shared" si="66"/>
        <v>0</v>
      </c>
      <c r="W137" s="61">
        <f t="shared" si="66"/>
        <v>0</v>
      </c>
      <c r="X137" s="61">
        <f t="shared" si="66"/>
        <v>0</v>
      </c>
      <c r="Y137" s="61">
        <f t="shared" si="66"/>
        <v>0</v>
      </c>
      <c r="Z137" s="61">
        <f t="shared" si="66"/>
        <v>0</v>
      </c>
      <c r="AA137" s="61">
        <f t="shared" si="66"/>
        <v>0</v>
      </c>
      <c r="AB137" s="61">
        <f t="shared" si="66"/>
        <v>0</v>
      </c>
      <c r="AC137" s="207">
        <f t="shared" si="66"/>
        <v>0</v>
      </c>
      <c r="AD137" s="61">
        <f t="shared" si="68"/>
        <v>0</v>
      </c>
      <c r="AE137" s="61">
        <f t="shared" si="68"/>
        <v>0</v>
      </c>
      <c r="AF137" s="61">
        <f t="shared" si="68"/>
        <v>0</v>
      </c>
      <c r="AG137" s="61">
        <f t="shared" si="69"/>
        <v>0</v>
      </c>
      <c r="AH137" s="61">
        <f t="shared" si="69"/>
        <v>0</v>
      </c>
      <c r="AI137" s="61">
        <f t="shared" si="69"/>
        <v>0</v>
      </c>
      <c r="AJ137" s="61">
        <f t="shared" si="69"/>
        <v>0</v>
      </c>
      <c r="AK137" s="61">
        <f t="shared" si="69"/>
        <v>0</v>
      </c>
      <c r="AL137" s="61">
        <f t="shared" si="69"/>
        <v>0</v>
      </c>
      <c r="AM137" s="61">
        <f t="shared" si="69"/>
        <v>0</v>
      </c>
      <c r="AN137" s="61">
        <f t="shared" si="69"/>
        <v>0</v>
      </c>
      <c r="AO137" s="61">
        <f t="shared" si="69"/>
        <v>0</v>
      </c>
      <c r="AP137" s="61">
        <f t="shared" si="69"/>
        <v>0</v>
      </c>
      <c r="AQ137" s="61">
        <f t="shared" si="69"/>
        <v>0</v>
      </c>
      <c r="AR137" s="61">
        <f t="shared" si="69"/>
        <v>0</v>
      </c>
      <c r="AS137" s="61">
        <f t="shared" si="69"/>
        <v>0</v>
      </c>
      <c r="AT137" s="61">
        <f t="shared" si="69"/>
        <v>0</v>
      </c>
      <c r="AU137" s="61">
        <f t="shared" si="69"/>
        <v>0</v>
      </c>
      <c r="AV137" s="103">
        <f t="shared" si="70"/>
        <v>-15000</v>
      </c>
      <c r="AW137" s="36">
        <f t="shared" si="71"/>
        <v>0</v>
      </c>
    </row>
    <row r="138" spans="1:49" x14ac:dyDescent="0.25">
      <c r="A138" s="13"/>
      <c r="B138" s="63"/>
      <c r="C138" s="13" t="s">
        <v>332</v>
      </c>
      <c r="F138" s="60">
        <v>20000</v>
      </c>
      <c r="G138" s="88">
        <v>1</v>
      </c>
      <c r="H138" s="61"/>
      <c r="I138" s="61"/>
      <c r="M138" s="36">
        <f t="shared" si="56"/>
        <v>-20000</v>
      </c>
      <c r="N138" s="90">
        <f>N137</f>
        <v>43982</v>
      </c>
      <c r="O138" s="90">
        <f t="shared" si="57"/>
        <v>43982</v>
      </c>
      <c r="P138" s="3">
        <f>ROUND((O138-N138)/365*12,0)+1</f>
        <v>1</v>
      </c>
      <c r="Q138" s="61">
        <f t="shared" si="68"/>
        <v>0</v>
      </c>
      <c r="R138" s="61">
        <f t="shared" si="68"/>
        <v>0</v>
      </c>
      <c r="S138" s="207">
        <f t="shared" si="68"/>
        <v>0</v>
      </c>
      <c r="T138" s="61">
        <f t="shared" si="68"/>
        <v>0</v>
      </c>
      <c r="U138" s="61">
        <f t="shared" si="67"/>
        <v>-20000</v>
      </c>
      <c r="V138" s="61">
        <f t="shared" si="66"/>
        <v>0</v>
      </c>
      <c r="W138" s="61">
        <f t="shared" si="66"/>
        <v>0</v>
      </c>
      <c r="X138" s="61">
        <f t="shared" si="66"/>
        <v>0</v>
      </c>
      <c r="Y138" s="61">
        <f t="shared" si="66"/>
        <v>0</v>
      </c>
      <c r="Z138" s="61">
        <f t="shared" si="66"/>
        <v>0</v>
      </c>
      <c r="AA138" s="61">
        <f t="shared" si="66"/>
        <v>0</v>
      </c>
      <c r="AB138" s="61">
        <f t="shared" si="66"/>
        <v>0</v>
      </c>
      <c r="AC138" s="207">
        <f t="shared" si="66"/>
        <v>0</v>
      </c>
      <c r="AD138" s="61">
        <f t="shared" si="68"/>
        <v>0</v>
      </c>
      <c r="AE138" s="61">
        <f t="shared" si="68"/>
        <v>0</v>
      </c>
      <c r="AF138" s="61">
        <f t="shared" si="68"/>
        <v>0</v>
      </c>
      <c r="AG138" s="61">
        <f t="shared" si="69"/>
        <v>0</v>
      </c>
      <c r="AH138" s="61">
        <f t="shared" si="69"/>
        <v>0</v>
      </c>
      <c r="AI138" s="61">
        <f t="shared" si="69"/>
        <v>0</v>
      </c>
      <c r="AJ138" s="61">
        <f t="shared" si="69"/>
        <v>0</v>
      </c>
      <c r="AK138" s="61">
        <f t="shared" si="69"/>
        <v>0</v>
      </c>
      <c r="AL138" s="61">
        <f t="shared" si="69"/>
        <v>0</v>
      </c>
      <c r="AM138" s="61">
        <f t="shared" si="69"/>
        <v>0</v>
      </c>
      <c r="AN138" s="61">
        <f t="shared" si="69"/>
        <v>0</v>
      </c>
      <c r="AO138" s="61">
        <f t="shared" si="69"/>
        <v>0</v>
      </c>
      <c r="AP138" s="61">
        <f t="shared" si="69"/>
        <v>0</v>
      </c>
      <c r="AQ138" s="61">
        <f t="shared" si="69"/>
        <v>0</v>
      </c>
      <c r="AR138" s="61">
        <f t="shared" si="69"/>
        <v>0</v>
      </c>
      <c r="AS138" s="61">
        <f t="shared" si="69"/>
        <v>0</v>
      </c>
      <c r="AT138" s="61">
        <f t="shared" si="69"/>
        <v>0</v>
      </c>
      <c r="AU138" s="61">
        <f t="shared" si="69"/>
        <v>0</v>
      </c>
      <c r="AV138" s="103">
        <f t="shared" si="70"/>
        <v>-20000</v>
      </c>
      <c r="AW138" s="36">
        <f t="shared" si="71"/>
        <v>0</v>
      </c>
    </row>
    <row r="139" spans="1:49" ht="14.25" thickBot="1" x14ac:dyDescent="0.3">
      <c r="A139" s="13"/>
      <c r="B139" s="63"/>
      <c r="C139" s="13"/>
      <c r="F139" s="120">
        <f>SUM(F114:F138)</f>
        <v>847097.73074999999</v>
      </c>
      <c r="H139" s="107"/>
      <c r="I139" s="107"/>
      <c r="M139" s="36"/>
      <c r="N139" s="90"/>
      <c r="O139" s="90"/>
      <c r="Q139" s="61"/>
      <c r="R139" s="61"/>
      <c r="S139" s="207"/>
      <c r="T139" s="61"/>
      <c r="U139" s="61"/>
      <c r="V139" s="61"/>
      <c r="W139" s="61"/>
      <c r="X139" s="61"/>
      <c r="Y139" s="61"/>
      <c r="Z139" s="61"/>
      <c r="AA139" s="61"/>
      <c r="AB139" s="61"/>
      <c r="AC139" s="207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103">
        <f t="shared" si="70"/>
        <v>0</v>
      </c>
      <c r="AW139" s="36">
        <f t="shared" si="71"/>
        <v>0</v>
      </c>
    </row>
    <row r="140" spans="1:49" ht="14.25" thickTop="1" x14ac:dyDescent="0.25">
      <c r="A140" s="13"/>
      <c r="B140" s="63"/>
      <c r="C140" s="13"/>
      <c r="F140" s="61"/>
      <c r="G140" s="107"/>
      <c r="H140" s="61"/>
      <c r="I140" s="61"/>
      <c r="M140" s="36">
        <f t="shared" si="56"/>
        <v>0</v>
      </c>
      <c r="N140" s="90"/>
      <c r="O140" s="90"/>
      <c r="Q140" s="61"/>
      <c r="R140" s="61"/>
      <c r="S140" s="207"/>
      <c r="T140" s="61"/>
      <c r="U140" s="61"/>
      <c r="V140" s="61"/>
      <c r="W140" s="61"/>
      <c r="X140" s="61"/>
      <c r="Y140" s="61"/>
      <c r="Z140" s="61"/>
      <c r="AA140" s="61"/>
      <c r="AB140" s="61"/>
      <c r="AC140" s="207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103">
        <f t="shared" si="70"/>
        <v>0</v>
      </c>
      <c r="AW140" s="36">
        <f t="shared" si="71"/>
        <v>0</v>
      </c>
    </row>
    <row r="141" spans="1:49" x14ac:dyDescent="0.25">
      <c r="A141" s="13"/>
      <c r="B141" s="191"/>
      <c r="C141" s="13" t="s">
        <v>333</v>
      </c>
      <c r="F141" s="60">
        <v>25000</v>
      </c>
      <c r="G141" s="88">
        <v>12</v>
      </c>
      <c r="H141" s="61"/>
      <c r="I141" s="61"/>
      <c r="K141" s="192"/>
      <c r="L141" s="36"/>
      <c r="M141" s="36">
        <f t="shared" si="56"/>
        <v>-25000</v>
      </c>
      <c r="N141" s="89">
        <v>44286</v>
      </c>
      <c r="O141" s="90">
        <f t="shared" ref="O141:O146" si="72">EOMONTH(N141,G141-1)</f>
        <v>44620</v>
      </c>
      <c r="P141" s="3">
        <f t="shared" ref="P141:P146" si="73">ROUND((O141-N141)/365*12,0)+1</f>
        <v>12</v>
      </c>
      <c r="Q141" s="61">
        <v>-7000</v>
      </c>
      <c r="R141" s="61">
        <f t="shared" ref="Q141:AU142" si="74">IF(OR(R$41&lt;$N141,R$41&gt;$O141),0,$M141/$P141)</f>
        <v>0</v>
      </c>
      <c r="S141" s="207">
        <f t="shared" si="74"/>
        <v>0</v>
      </c>
      <c r="T141" s="61">
        <f t="shared" si="74"/>
        <v>0</v>
      </c>
      <c r="U141" s="61">
        <f t="shared" ref="U141:AU141" si="75">IF(OR(U$41&lt;$N141,U$41&gt;$O141),0,($M141-SUM($Q141:$T141))/$P141)</f>
        <v>0</v>
      </c>
      <c r="V141" s="61">
        <f t="shared" si="75"/>
        <v>0</v>
      </c>
      <c r="W141" s="61">
        <f t="shared" si="75"/>
        <v>0</v>
      </c>
      <c r="X141" s="61">
        <f t="shared" si="75"/>
        <v>0</v>
      </c>
      <c r="Y141" s="61">
        <f t="shared" si="75"/>
        <v>0</v>
      </c>
      <c r="Z141" s="61">
        <f t="shared" si="75"/>
        <v>0</v>
      </c>
      <c r="AA141" s="61">
        <f t="shared" si="75"/>
        <v>0</v>
      </c>
      <c r="AB141" s="61">
        <f t="shared" si="75"/>
        <v>0</v>
      </c>
      <c r="AC141" s="207">
        <f t="shared" si="75"/>
        <v>0</v>
      </c>
      <c r="AD141" s="61">
        <f t="shared" si="75"/>
        <v>0</v>
      </c>
      <c r="AE141" s="61">
        <f t="shared" si="75"/>
        <v>-1500</v>
      </c>
      <c r="AF141" s="61">
        <f t="shared" si="75"/>
        <v>-1500</v>
      </c>
      <c r="AG141" s="61">
        <f t="shared" si="75"/>
        <v>-1500</v>
      </c>
      <c r="AH141" s="61">
        <f t="shared" si="75"/>
        <v>-1500</v>
      </c>
      <c r="AI141" s="61">
        <f t="shared" si="75"/>
        <v>-1500</v>
      </c>
      <c r="AJ141" s="61">
        <f t="shared" si="75"/>
        <v>-1500</v>
      </c>
      <c r="AK141" s="61">
        <f t="shared" si="75"/>
        <v>-1500</v>
      </c>
      <c r="AL141" s="61">
        <f t="shared" si="75"/>
        <v>-1500</v>
      </c>
      <c r="AM141" s="61">
        <f t="shared" si="75"/>
        <v>-1500</v>
      </c>
      <c r="AN141" s="61">
        <f t="shared" si="75"/>
        <v>-1500</v>
      </c>
      <c r="AO141" s="61">
        <f t="shared" si="75"/>
        <v>-1500</v>
      </c>
      <c r="AP141" s="61">
        <f t="shared" si="75"/>
        <v>-1500</v>
      </c>
      <c r="AQ141" s="61">
        <f t="shared" si="75"/>
        <v>0</v>
      </c>
      <c r="AR141" s="61">
        <f t="shared" si="75"/>
        <v>0</v>
      </c>
      <c r="AS141" s="61">
        <f t="shared" si="75"/>
        <v>0</v>
      </c>
      <c r="AT141" s="61">
        <f t="shared" si="75"/>
        <v>0</v>
      </c>
      <c r="AU141" s="61">
        <f t="shared" si="75"/>
        <v>0</v>
      </c>
      <c r="AV141" s="103">
        <f t="shared" si="70"/>
        <v>-25000</v>
      </c>
      <c r="AW141" s="36">
        <f t="shared" si="71"/>
        <v>0</v>
      </c>
    </row>
    <row r="142" spans="1:49" x14ac:dyDescent="0.25">
      <c r="A142" s="13"/>
      <c r="B142" s="63"/>
      <c r="C142" s="13" t="s">
        <v>334</v>
      </c>
      <c r="F142" s="60">
        <v>6500</v>
      </c>
      <c r="G142" s="88">
        <v>1</v>
      </c>
      <c r="H142" s="61"/>
      <c r="I142" s="61"/>
      <c r="M142" s="36">
        <f>-F142</f>
        <v>-6500</v>
      </c>
      <c r="N142" s="89">
        <v>44227</v>
      </c>
      <c r="O142" s="90">
        <f t="shared" si="72"/>
        <v>44227</v>
      </c>
      <c r="P142" s="3">
        <f t="shared" si="73"/>
        <v>1</v>
      </c>
      <c r="Q142" s="61">
        <f t="shared" si="74"/>
        <v>0</v>
      </c>
      <c r="R142" s="61">
        <f t="shared" si="74"/>
        <v>0</v>
      </c>
      <c r="S142" s="207">
        <f t="shared" si="74"/>
        <v>0</v>
      </c>
      <c r="T142" s="61">
        <f t="shared" si="74"/>
        <v>0</v>
      </c>
      <c r="U142" s="61">
        <f t="shared" si="74"/>
        <v>0</v>
      </c>
      <c r="V142" s="61">
        <f t="shared" si="74"/>
        <v>0</v>
      </c>
      <c r="W142" s="61">
        <f t="shared" si="74"/>
        <v>0</v>
      </c>
      <c r="X142" s="61">
        <f t="shared" si="74"/>
        <v>0</v>
      </c>
      <c r="Y142" s="61">
        <f t="shared" si="74"/>
        <v>0</v>
      </c>
      <c r="Z142" s="61">
        <f t="shared" si="74"/>
        <v>0</v>
      </c>
      <c r="AA142" s="61">
        <f t="shared" si="74"/>
        <v>0</v>
      </c>
      <c r="AB142" s="61">
        <f t="shared" si="74"/>
        <v>0</v>
      </c>
      <c r="AC142" s="207">
        <f t="shared" si="74"/>
        <v>-6500</v>
      </c>
      <c r="AD142" s="61">
        <f t="shared" si="74"/>
        <v>0</v>
      </c>
      <c r="AE142" s="61">
        <f t="shared" si="74"/>
        <v>0</v>
      </c>
      <c r="AF142" s="61">
        <f t="shared" si="74"/>
        <v>0</v>
      </c>
      <c r="AG142" s="61">
        <f t="shared" si="74"/>
        <v>0</v>
      </c>
      <c r="AH142" s="61">
        <f t="shared" si="74"/>
        <v>0</v>
      </c>
      <c r="AI142" s="61">
        <f t="shared" si="74"/>
        <v>0</v>
      </c>
      <c r="AJ142" s="61">
        <f t="shared" si="74"/>
        <v>0</v>
      </c>
      <c r="AK142" s="61">
        <f t="shared" si="74"/>
        <v>0</v>
      </c>
      <c r="AL142" s="61">
        <f t="shared" si="74"/>
        <v>0</v>
      </c>
      <c r="AM142" s="61">
        <f t="shared" si="74"/>
        <v>0</v>
      </c>
      <c r="AN142" s="61">
        <f t="shared" si="74"/>
        <v>0</v>
      </c>
      <c r="AO142" s="61">
        <f t="shared" si="74"/>
        <v>0</v>
      </c>
      <c r="AP142" s="61">
        <f t="shared" si="74"/>
        <v>0</v>
      </c>
      <c r="AQ142" s="61">
        <f t="shared" si="74"/>
        <v>0</v>
      </c>
      <c r="AR142" s="61">
        <f t="shared" si="74"/>
        <v>0</v>
      </c>
      <c r="AS142" s="61">
        <f t="shared" si="74"/>
        <v>0</v>
      </c>
      <c r="AT142" s="61">
        <f t="shared" si="74"/>
        <v>0</v>
      </c>
      <c r="AU142" s="61">
        <f t="shared" si="74"/>
        <v>0</v>
      </c>
      <c r="AV142" s="103">
        <f t="shared" si="70"/>
        <v>-6500</v>
      </c>
      <c r="AW142" s="36">
        <f t="shared" si="71"/>
        <v>0</v>
      </c>
    </row>
    <row r="143" spans="1:49" x14ac:dyDescent="0.25">
      <c r="A143" s="13"/>
      <c r="B143" s="63"/>
      <c r="C143" s="13" t="s">
        <v>335</v>
      </c>
      <c r="E143" s="50">
        <v>1.4999999999999999E-2</v>
      </c>
      <c r="F143" s="61">
        <f>E143*SUM($M$55)</f>
        <v>325283.13750000001</v>
      </c>
      <c r="G143" s="88">
        <v>1</v>
      </c>
      <c r="H143" s="61"/>
      <c r="I143" s="61"/>
      <c r="M143" s="36">
        <f t="shared" si="56"/>
        <v>-325283.13750000001</v>
      </c>
      <c r="N143" s="90">
        <f>N42</f>
        <v>44255</v>
      </c>
      <c r="O143" s="90">
        <f t="shared" si="72"/>
        <v>44255</v>
      </c>
      <c r="P143" s="3">
        <f t="shared" si="73"/>
        <v>1</v>
      </c>
      <c r="Q143" s="61">
        <f t="shared" ref="Q143:AB143" si="76">-SUM(Q42:Q52)*$E$143</f>
        <v>0</v>
      </c>
      <c r="R143" s="61">
        <f t="shared" si="76"/>
        <v>0</v>
      </c>
      <c r="S143" s="207">
        <f t="shared" si="76"/>
        <v>0</v>
      </c>
      <c r="T143" s="61">
        <f t="shared" si="76"/>
        <v>0</v>
      </c>
      <c r="U143" s="61">
        <f t="shared" si="76"/>
        <v>0</v>
      </c>
      <c r="V143" s="61">
        <f t="shared" si="76"/>
        <v>0</v>
      </c>
      <c r="W143" s="61">
        <f t="shared" si="76"/>
        <v>0</v>
      </c>
      <c r="X143" s="61">
        <f t="shared" si="76"/>
        <v>0</v>
      </c>
      <c r="Y143" s="61">
        <f t="shared" si="76"/>
        <v>0</v>
      </c>
      <c r="Z143" s="61">
        <f t="shared" si="76"/>
        <v>0</v>
      </c>
      <c r="AA143" s="61">
        <f t="shared" si="76"/>
        <v>0</v>
      </c>
      <c r="AB143" s="61">
        <f t="shared" si="76"/>
        <v>0</v>
      </c>
      <c r="AC143" s="207">
        <f t="shared" ref="AC143:AU143" si="77">-SUM(AC42:AC53)*$E$143</f>
        <v>0</v>
      </c>
      <c r="AD143" s="61">
        <f t="shared" si="77"/>
        <v>-47299.125</v>
      </c>
      <c r="AE143" s="61">
        <f t="shared" si="77"/>
        <v>-41918.549999999996</v>
      </c>
      <c r="AF143" s="61">
        <f t="shared" si="77"/>
        <v>0</v>
      </c>
      <c r="AG143" s="61">
        <f t="shared" si="77"/>
        <v>-40853.549999999996</v>
      </c>
      <c r="AH143" s="61">
        <f t="shared" si="77"/>
        <v>0</v>
      </c>
      <c r="AI143" s="61">
        <f t="shared" si="77"/>
        <v>-41617.125</v>
      </c>
      <c r="AJ143" s="61">
        <f t="shared" si="77"/>
        <v>0</v>
      </c>
      <c r="AK143" s="61">
        <f t="shared" si="77"/>
        <v>0</v>
      </c>
      <c r="AL143" s="61">
        <f t="shared" si="77"/>
        <v>0</v>
      </c>
      <c r="AM143" s="61">
        <f t="shared" si="77"/>
        <v>-79309.837499999994</v>
      </c>
      <c r="AN143" s="61">
        <f t="shared" si="77"/>
        <v>-56074.95</v>
      </c>
      <c r="AO143" s="61">
        <f t="shared" si="77"/>
        <v>-18210</v>
      </c>
      <c r="AP143" s="61">
        <f t="shared" si="77"/>
        <v>0</v>
      </c>
      <c r="AQ143" s="61">
        <f t="shared" si="77"/>
        <v>0</v>
      </c>
      <c r="AR143" s="61">
        <f t="shared" si="77"/>
        <v>0</v>
      </c>
      <c r="AS143" s="61">
        <f t="shared" si="77"/>
        <v>0</v>
      </c>
      <c r="AT143" s="61">
        <f t="shared" si="77"/>
        <v>0</v>
      </c>
      <c r="AU143" s="61">
        <f t="shared" si="77"/>
        <v>0</v>
      </c>
      <c r="AV143" s="103">
        <f t="shared" si="70"/>
        <v>-325283.13749999995</v>
      </c>
      <c r="AW143" s="36">
        <f t="shared" si="71"/>
        <v>0</v>
      </c>
    </row>
    <row r="144" spans="1:49" x14ac:dyDescent="0.25">
      <c r="A144" s="13"/>
      <c r="B144" s="63"/>
      <c r="C144" s="13" t="s">
        <v>336</v>
      </c>
      <c r="E144" s="50">
        <v>3.5000000000000001E-3</v>
      </c>
      <c r="F144" s="61">
        <f>E144*SUM($M$55)</f>
        <v>75899.398750000008</v>
      </c>
      <c r="G144" s="88">
        <v>1</v>
      </c>
      <c r="H144" s="61"/>
      <c r="I144" s="61"/>
      <c r="M144" s="36">
        <f t="shared" si="56"/>
        <v>-75899.398750000008</v>
      </c>
      <c r="N144" s="90">
        <f>N143</f>
        <v>44255</v>
      </c>
      <c r="O144" s="90">
        <f t="shared" si="72"/>
        <v>44255</v>
      </c>
      <c r="P144" s="3">
        <f t="shared" si="73"/>
        <v>1</v>
      </c>
      <c r="Q144" s="61">
        <f t="shared" ref="Q144:AB144" si="78">-SUM(Q42:Q52)*$E$144</f>
        <v>0</v>
      </c>
      <c r="R144" s="61">
        <f t="shared" si="78"/>
        <v>0</v>
      </c>
      <c r="S144" s="207">
        <f t="shared" si="78"/>
        <v>0</v>
      </c>
      <c r="T144" s="61">
        <f t="shared" si="78"/>
        <v>0</v>
      </c>
      <c r="U144" s="61">
        <f t="shared" si="78"/>
        <v>0</v>
      </c>
      <c r="V144" s="61">
        <f t="shared" si="78"/>
        <v>0</v>
      </c>
      <c r="W144" s="61">
        <f t="shared" si="78"/>
        <v>0</v>
      </c>
      <c r="X144" s="61">
        <f t="shared" si="78"/>
        <v>0</v>
      </c>
      <c r="Y144" s="61">
        <f t="shared" si="78"/>
        <v>0</v>
      </c>
      <c r="Z144" s="61">
        <f t="shared" si="78"/>
        <v>0</v>
      </c>
      <c r="AA144" s="61">
        <f t="shared" si="78"/>
        <v>0</v>
      </c>
      <c r="AB144" s="61">
        <f t="shared" si="78"/>
        <v>0</v>
      </c>
      <c r="AC144" s="207">
        <f t="shared" ref="AC144:AU144" si="79">-SUM(AC42:AC53)*$E$144</f>
        <v>0</v>
      </c>
      <c r="AD144" s="61">
        <f t="shared" si="79"/>
        <v>-11036.4625</v>
      </c>
      <c r="AE144" s="61">
        <f t="shared" si="79"/>
        <v>-9780.9950000000008</v>
      </c>
      <c r="AF144" s="61">
        <f t="shared" si="79"/>
        <v>0</v>
      </c>
      <c r="AG144" s="61">
        <f t="shared" si="79"/>
        <v>-9532.4950000000008</v>
      </c>
      <c r="AH144" s="61">
        <f t="shared" si="79"/>
        <v>0</v>
      </c>
      <c r="AI144" s="61">
        <f t="shared" si="79"/>
        <v>-9710.6625000000004</v>
      </c>
      <c r="AJ144" s="61">
        <f t="shared" si="79"/>
        <v>0</v>
      </c>
      <c r="AK144" s="61">
        <f t="shared" si="79"/>
        <v>0</v>
      </c>
      <c r="AL144" s="61">
        <f t="shared" si="79"/>
        <v>0</v>
      </c>
      <c r="AM144" s="61">
        <f t="shared" si="79"/>
        <v>-18505.62875</v>
      </c>
      <c r="AN144" s="61">
        <f t="shared" si="79"/>
        <v>-13084.155000000001</v>
      </c>
      <c r="AO144" s="61">
        <f t="shared" si="79"/>
        <v>-4249</v>
      </c>
      <c r="AP144" s="61">
        <f t="shared" si="79"/>
        <v>0</v>
      </c>
      <c r="AQ144" s="61">
        <f t="shared" si="79"/>
        <v>0</v>
      </c>
      <c r="AR144" s="61">
        <f t="shared" si="79"/>
        <v>0</v>
      </c>
      <c r="AS144" s="61">
        <f t="shared" si="79"/>
        <v>0</v>
      </c>
      <c r="AT144" s="61">
        <f t="shared" si="79"/>
        <v>0</v>
      </c>
      <c r="AU144" s="61">
        <f t="shared" si="79"/>
        <v>0</v>
      </c>
      <c r="AV144" s="103">
        <f t="shared" si="70"/>
        <v>-75899.398749999993</v>
      </c>
      <c r="AW144" s="36">
        <f t="shared" si="71"/>
        <v>0</v>
      </c>
    </row>
    <row r="145" spans="1:49" x14ac:dyDescent="0.25">
      <c r="A145" s="13"/>
      <c r="B145" s="63"/>
      <c r="C145" s="13" t="s">
        <v>337</v>
      </c>
      <c r="E145" s="50">
        <v>0</v>
      </c>
      <c r="F145" s="60">
        <f>SUM($F$55)*E145</f>
        <v>0</v>
      </c>
      <c r="G145" s="88">
        <v>1</v>
      </c>
      <c r="H145" s="61"/>
      <c r="I145" s="61"/>
      <c r="M145" s="36">
        <f t="shared" si="56"/>
        <v>0</v>
      </c>
      <c r="N145" s="89">
        <v>43524</v>
      </c>
      <c r="O145" s="90">
        <f t="shared" si="72"/>
        <v>43524</v>
      </c>
      <c r="P145" s="3">
        <f t="shared" si="73"/>
        <v>1</v>
      </c>
      <c r="Q145" s="61">
        <f t="shared" ref="Q145:AU146" si="80">IF(OR(Q$41&lt;$N145,Q$41&gt;$O145),0,$M145/$P145)</f>
        <v>0</v>
      </c>
      <c r="R145" s="61">
        <f t="shared" si="80"/>
        <v>0</v>
      </c>
      <c r="S145" s="207">
        <f t="shared" si="80"/>
        <v>0</v>
      </c>
      <c r="T145" s="61">
        <f t="shared" si="80"/>
        <v>0</v>
      </c>
      <c r="U145" s="61">
        <f t="shared" si="80"/>
        <v>0</v>
      </c>
      <c r="V145" s="61">
        <f t="shared" si="80"/>
        <v>0</v>
      </c>
      <c r="W145" s="61">
        <f t="shared" si="80"/>
        <v>0</v>
      </c>
      <c r="X145" s="61">
        <f t="shared" si="80"/>
        <v>0</v>
      </c>
      <c r="Y145" s="61">
        <f t="shared" si="80"/>
        <v>0</v>
      </c>
      <c r="Z145" s="61">
        <f t="shared" si="80"/>
        <v>0</v>
      </c>
      <c r="AA145" s="61">
        <f t="shared" si="80"/>
        <v>0</v>
      </c>
      <c r="AB145" s="61">
        <f t="shared" si="80"/>
        <v>0</v>
      </c>
      <c r="AC145" s="207">
        <f t="shared" si="80"/>
        <v>0</v>
      </c>
      <c r="AD145" s="61">
        <f t="shared" si="80"/>
        <v>0</v>
      </c>
      <c r="AE145" s="61">
        <f t="shared" si="80"/>
        <v>0</v>
      </c>
      <c r="AF145" s="61">
        <f t="shared" si="80"/>
        <v>0</v>
      </c>
      <c r="AG145" s="61">
        <f t="shared" si="80"/>
        <v>0</v>
      </c>
      <c r="AH145" s="61">
        <f t="shared" si="80"/>
        <v>0</v>
      </c>
      <c r="AI145" s="61">
        <f t="shared" si="80"/>
        <v>0</v>
      </c>
      <c r="AJ145" s="61">
        <f t="shared" si="80"/>
        <v>0</v>
      </c>
      <c r="AK145" s="61">
        <f t="shared" si="80"/>
        <v>0</v>
      </c>
      <c r="AL145" s="61">
        <f t="shared" si="80"/>
        <v>0</v>
      </c>
      <c r="AM145" s="61">
        <f t="shared" si="80"/>
        <v>0</v>
      </c>
      <c r="AN145" s="61">
        <f t="shared" si="80"/>
        <v>0</v>
      </c>
      <c r="AO145" s="61">
        <f t="shared" si="80"/>
        <v>0</v>
      </c>
      <c r="AP145" s="61">
        <f t="shared" si="80"/>
        <v>0</v>
      </c>
      <c r="AQ145" s="61">
        <f t="shared" si="80"/>
        <v>0</v>
      </c>
      <c r="AR145" s="61">
        <f t="shared" si="80"/>
        <v>0</v>
      </c>
      <c r="AS145" s="61">
        <f t="shared" si="80"/>
        <v>0</v>
      </c>
      <c r="AT145" s="61">
        <f t="shared" si="80"/>
        <v>0</v>
      </c>
      <c r="AU145" s="61">
        <f t="shared" si="80"/>
        <v>0</v>
      </c>
      <c r="AV145" s="103">
        <f t="shared" si="70"/>
        <v>0</v>
      </c>
      <c r="AW145" s="36">
        <f t="shared" si="71"/>
        <v>0</v>
      </c>
    </row>
    <row r="146" spans="1:49" x14ac:dyDescent="0.25">
      <c r="A146" s="13"/>
      <c r="B146" s="63"/>
      <c r="C146" s="13" t="s">
        <v>338</v>
      </c>
      <c r="E146" s="50">
        <v>0</v>
      </c>
      <c r="F146" s="60">
        <f>SUM($F$55)*E146</f>
        <v>0</v>
      </c>
      <c r="G146" s="88">
        <v>1</v>
      </c>
      <c r="H146" s="61"/>
      <c r="I146" s="61"/>
      <c r="M146" s="36">
        <f t="shared" si="56"/>
        <v>0</v>
      </c>
      <c r="N146" s="89">
        <f>N145</f>
        <v>43524</v>
      </c>
      <c r="O146" s="90">
        <f t="shared" si="72"/>
        <v>43524</v>
      </c>
      <c r="P146" s="3">
        <f t="shared" si="73"/>
        <v>1</v>
      </c>
      <c r="Q146" s="61">
        <f t="shared" si="80"/>
        <v>0</v>
      </c>
      <c r="R146" s="61">
        <f t="shared" si="80"/>
        <v>0</v>
      </c>
      <c r="S146" s="207">
        <f t="shared" si="80"/>
        <v>0</v>
      </c>
      <c r="T146" s="61">
        <f t="shared" si="80"/>
        <v>0</v>
      </c>
      <c r="U146" s="61">
        <f t="shared" si="80"/>
        <v>0</v>
      </c>
      <c r="V146" s="61">
        <f t="shared" si="80"/>
        <v>0</v>
      </c>
      <c r="W146" s="61">
        <f t="shared" si="80"/>
        <v>0</v>
      </c>
      <c r="X146" s="61">
        <f t="shared" si="80"/>
        <v>0</v>
      </c>
      <c r="Y146" s="61">
        <f t="shared" si="80"/>
        <v>0</v>
      </c>
      <c r="Z146" s="61">
        <f t="shared" si="80"/>
        <v>0</v>
      </c>
      <c r="AA146" s="61">
        <f t="shared" si="80"/>
        <v>0</v>
      </c>
      <c r="AB146" s="61">
        <f t="shared" si="80"/>
        <v>0</v>
      </c>
      <c r="AC146" s="207">
        <f t="shared" si="80"/>
        <v>0</v>
      </c>
      <c r="AD146" s="61">
        <f t="shared" si="80"/>
        <v>0</v>
      </c>
      <c r="AE146" s="61">
        <f t="shared" si="80"/>
        <v>0</v>
      </c>
      <c r="AF146" s="61">
        <f t="shared" si="80"/>
        <v>0</v>
      </c>
      <c r="AG146" s="61">
        <f t="shared" si="80"/>
        <v>0</v>
      </c>
      <c r="AH146" s="61">
        <f t="shared" si="80"/>
        <v>0</v>
      </c>
      <c r="AI146" s="61">
        <f t="shared" si="80"/>
        <v>0</v>
      </c>
      <c r="AJ146" s="61">
        <f t="shared" si="80"/>
        <v>0</v>
      </c>
      <c r="AK146" s="61">
        <f t="shared" si="80"/>
        <v>0</v>
      </c>
      <c r="AL146" s="61">
        <f t="shared" si="80"/>
        <v>0</v>
      </c>
      <c r="AM146" s="61">
        <f t="shared" si="80"/>
        <v>0</v>
      </c>
      <c r="AN146" s="61">
        <f t="shared" si="80"/>
        <v>0</v>
      </c>
      <c r="AO146" s="61">
        <f t="shared" si="80"/>
        <v>0</v>
      </c>
      <c r="AP146" s="61">
        <f t="shared" si="80"/>
        <v>0</v>
      </c>
      <c r="AQ146" s="61">
        <f t="shared" si="80"/>
        <v>0</v>
      </c>
      <c r="AR146" s="61">
        <f t="shared" si="80"/>
        <v>0</v>
      </c>
      <c r="AS146" s="61">
        <f t="shared" si="80"/>
        <v>0</v>
      </c>
      <c r="AT146" s="61">
        <f t="shared" si="80"/>
        <v>0</v>
      </c>
      <c r="AU146" s="61">
        <f t="shared" si="80"/>
        <v>0</v>
      </c>
      <c r="AV146" s="103">
        <f t="shared" si="70"/>
        <v>0</v>
      </c>
      <c r="AW146" s="36">
        <f t="shared" si="71"/>
        <v>0</v>
      </c>
    </row>
    <row r="147" spans="1:49" x14ac:dyDescent="0.25">
      <c r="A147" s="13"/>
      <c r="B147" s="63"/>
      <c r="C147" s="13"/>
      <c r="E147" s="134"/>
      <c r="F147" s="61"/>
      <c r="G147" s="93"/>
      <c r="H147" s="61"/>
      <c r="I147" s="61"/>
      <c r="M147" s="36"/>
      <c r="N147" s="90"/>
      <c r="O147" s="90"/>
      <c r="Q147" s="61"/>
      <c r="R147" s="61"/>
      <c r="S147" s="207"/>
      <c r="T147" s="61"/>
      <c r="U147" s="61"/>
      <c r="V147" s="61"/>
      <c r="W147" s="61"/>
      <c r="X147" s="61"/>
      <c r="Y147" s="61"/>
      <c r="Z147" s="61"/>
      <c r="AA147" s="61"/>
      <c r="AB147" s="61"/>
      <c r="AC147" s="207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103">
        <f t="shared" si="70"/>
        <v>0</v>
      </c>
      <c r="AW147" s="36">
        <f t="shared" si="71"/>
        <v>0</v>
      </c>
    </row>
    <row r="148" spans="1:49" x14ac:dyDescent="0.25">
      <c r="A148" s="13"/>
      <c r="B148" s="63"/>
      <c r="C148" s="13" t="s">
        <v>339</v>
      </c>
      <c r="E148" s="190">
        <v>2.785E-2</v>
      </c>
      <c r="F148" s="61">
        <f>-SUM(Q148:AU148)</f>
        <v>69625</v>
      </c>
      <c r="G148" s="93"/>
      <c r="H148" s="61"/>
      <c r="I148" s="61"/>
      <c r="M148" s="36">
        <f t="shared" si="56"/>
        <v>-69625</v>
      </c>
      <c r="N148" s="90"/>
      <c r="O148" s="90"/>
      <c r="Q148" s="61">
        <f>-5000000*$E$148*(6/12)</f>
        <v>-69625</v>
      </c>
      <c r="R148" s="61"/>
      <c r="S148" s="207"/>
      <c r="T148" s="61"/>
      <c r="U148" s="61"/>
      <c r="V148" s="61"/>
      <c r="W148" s="61"/>
      <c r="X148" s="61"/>
      <c r="Y148" s="61"/>
      <c r="Z148" s="61"/>
      <c r="AA148" s="61"/>
      <c r="AB148" s="61"/>
      <c r="AC148" s="207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103">
        <f t="shared" si="70"/>
        <v>-69625</v>
      </c>
      <c r="AW148" s="36">
        <f t="shared" si="71"/>
        <v>0</v>
      </c>
    </row>
    <row r="149" spans="1:49" x14ac:dyDescent="0.25">
      <c r="A149" s="13"/>
      <c r="B149" s="63"/>
      <c r="C149" s="13" t="s">
        <v>243</v>
      </c>
      <c r="E149" s="50">
        <f>C21</f>
        <v>0.01</v>
      </c>
      <c r="F149" s="61">
        <f>E149*D14</f>
        <v>115000</v>
      </c>
      <c r="G149" s="88">
        <v>1</v>
      </c>
      <c r="H149" s="61"/>
      <c r="I149" s="61"/>
      <c r="M149" s="36">
        <f t="shared" si="56"/>
        <v>-115000</v>
      </c>
      <c r="N149" s="89">
        <v>43982</v>
      </c>
      <c r="O149" s="90">
        <f>EOMONTH(N149,G149-1)</f>
        <v>43982</v>
      </c>
      <c r="P149" s="3">
        <f>ROUND((O149-N149)/365*12,0)+1</f>
        <v>1</v>
      </c>
      <c r="Q149" s="61">
        <f t="shared" ref="Q149:AU149" si="81">IF(OR(Q$41&lt;$N149,Q$41&gt;$O149),0,$M149/$P149)</f>
        <v>0</v>
      </c>
      <c r="R149" s="61">
        <f t="shared" si="81"/>
        <v>0</v>
      </c>
      <c r="S149" s="207">
        <f t="shared" si="81"/>
        <v>0</v>
      </c>
      <c r="T149" s="61">
        <f t="shared" si="81"/>
        <v>0</v>
      </c>
      <c r="U149" s="61">
        <f t="shared" si="81"/>
        <v>-115000</v>
      </c>
      <c r="V149" s="61">
        <f t="shared" si="81"/>
        <v>0</v>
      </c>
      <c r="W149" s="61">
        <f t="shared" si="81"/>
        <v>0</v>
      </c>
      <c r="X149" s="61">
        <f t="shared" si="81"/>
        <v>0</v>
      </c>
      <c r="Y149" s="61">
        <f t="shared" si="81"/>
        <v>0</v>
      </c>
      <c r="Z149" s="61">
        <f t="shared" si="81"/>
        <v>0</v>
      </c>
      <c r="AA149" s="61">
        <f t="shared" si="81"/>
        <v>0</v>
      </c>
      <c r="AB149" s="61">
        <f t="shared" si="81"/>
        <v>0</v>
      </c>
      <c r="AC149" s="207">
        <f t="shared" si="81"/>
        <v>0</v>
      </c>
      <c r="AD149" s="61">
        <f t="shared" si="81"/>
        <v>0</v>
      </c>
      <c r="AE149" s="61">
        <f t="shared" si="81"/>
        <v>0</v>
      </c>
      <c r="AF149" s="61">
        <f t="shared" si="81"/>
        <v>0</v>
      </c>
      <c r="AG149" s="61">
        <f t="shared" si="81"/>
        <v>0</v>
      </c>
      <c r="AH149" s="61">
        <f t="shared" si="81"/>
        <v>0</v>
      </c>
      <c r="AI149" s="61">
        <f t="shared" si="81"/>
        <v>0</v>
      </c>
      <c r="AJ149" s="61">
        <f t="shared" si="81"/>
        <v>0</v>
      </c>
      <c r="AK149" s="61">
        <f t="shared" si="81"/>
        <v>0</v>
      </c>
      <c r="AL149" s="61">
        <f t="shared" si="81"/>
        <v>0</v>
      </c>
      <c r="AM149" s="61">
        <f t="shared" si="81"/>
        <v>0</v>
      </c>
      <c r="AN149" s="61">
        <f t="shared" si="81"/>
        <v>0</v>
      </c>
      <c r="AO149" s="61">
        <f t="shared" si="81"/>
        <v>0</v>
      </c>
      <c r="AP149" s="61">
        <f t="shared" si="81"/>
        <v>0</v>
      </c>
      <c r="AQ149" s="61">
        <f t="shared" si="81"/>
        <v>0</v>
      </c>
      <c r="AR149" s="61">
        <f t="shared" si="81"/>
        <v>0</v>
      </c>
      <c r="AS149" s="61">
        <f t="shared" si="81"/>
        <v>0</v>
      </c>
      <c r="AT149" s="61">
        <f t="shared" si="81"/>
        <v>0</v>
      </c>
      <c r="AU149" s="61">
        <f t="shared" si="81"/>
        <v>0</v>
      </c>
      <c r="AV149" s="103">
        <f t="shared" si="70"/>
        <v>-115000</v>
      </c>
      <c r="AW149" s="36">
        <f t="shared" si="71"/>
        <v>0</v>
      </c>
    </row>
    <row r="150" spans="1:49" x14ac:dyDescent="0.25">
      <c r="A150" s="13"/>
      <c r="B150" s="63"/>
      <c r="C150" s="13" t="s">
        <v>244</v>
      </c>
      <c r="E150" s="57">
        <f>C22</f>
        <v>0.02</v>
      </c>
      <c r="F150" s="61">
        <f>E150*D14</f>
        <v>230000</v>
      </c>
      <c r="G150" s="88">
        <v>1</v>
      </c>
      <c r="H150" s="61"/>
      <c r="I150" s="61"/>
      <c r="M150" s="36">
        <f t="shared" si="56"/>
        <v>-230000</v>
      </c>
      <c r="N150" s="89">
        <v>44530</v>
      </c>
      <c r="O150" s="90">
        <f>N150</f>
        <v>44530</v>
      </c>
      <c r="P150" s="3">
        <f>ROUND((O150-N150)/365*12,0)+1</f>
        <v>1</v>
      </c>
      <c r="Q150" s="61">
        <f t="shared" ref="Q150:AU150" si="82">IF(OR(Q$41&lt;$O150,Q$41&gt;$O150),0,$M$150)</f>
        <v>0</v>
      </c>
      <c r="R150" s="61">
        <f t="shared" si="82"/>
        <v>0</v>
      </c>
      <c r="S150" s="207">
        <f t="shared" si="82"/>
        <v>0</v>
      </c>
      <c r="T150" s="61">
        <f t="shared" si="82"/>
        <v>0</v>
      </c>
      <c r="U150" s="61">
        <f t="shared" si="82"/>
        <v>0</v>
      </c>
      <c r="V150" s="61">
        <f t="shared" si="82"/>
        <v>0</v>
      </c>
      <c r="W150" s="61">
        <f t="shared" si="82"/>
        <v>0</v>
      </c>
      <c r="X150" s="61">
        <f t="shared" si="82"/>
        <v>0</v>
      </c>
      <c r="Y150" s="61">
        <f t="shared" si="82"/>
        <v>0</v>
      </c>
      <c r="Z150" s="61">
        <f t="shared" si="82"/>
        <v>0</v>
      </c>
      <c r="AA150" s="61">
        <f t="shared" si="82"/>
        <v>0</v>
      </c>
      <c r="AB150" s="61">
        <f t="shared" si="82"/>
        <v>0</v>
      </c>
      <c r="AC150" s="207">
        <f t="shared" si="82"/>
        <v>0</v>
      </c>
      <c r="AD150" s="61">
        <f t="shared" si="82"/>
        <v>0</v>
      </c>
      <c r="AE150" s="61">
        <f t="shared" si="82"/>
        <v>0</v>
      </c>
      <c r="AF150" s="61">
        <f t="shared" si="82"/>
        <v>0</v>
      </c>
      <c r="AG150" s="61">
        <f t="shared" si="82"/>
        <v>0</v>
      </c>
      <c r="AH150" s="61">
        <f t="shared" si="82"/>
        <v>0</v>
      </c>
      <c r="AI150" s="61">
        <f t="shared" si="82"/>
        <v>0</v>
      </c>
      <c r="AJ150" s="61">
        <f t="shared" si="82"/>
        <v>0</v>
      </c>
      <c r="AK150" s="61">
        <f t="shared" si="82"/>
        <v>0</v>
      </c>
      <c r="AL150" s="61">
        <f t="shared" si="82"/>
        <v>0</v>
      </c>
      <c r="AM150" s="61">
        <f t="shared" si="82"/>
        <v>-230000</v>
      </c>
      <c r="AN150" s="61">
        <f t="shared" si="82"/>
        <v>0</v>
      </c>
      <c r="AO150" s="61">
        <f t="shared" si="82"/>
        <v>0</v>
      </c>
      <c r="AP150" s="61">
        <f t="shared" si="82"/>
        <v>0</v>
      </c>
      <c r="AQ150" s="61">
        <f t="shared" si="82"/>
        <v>0</v>
      </c>
      <c r="AR150" s="61">
        <f t="shared" si="82"/>
        <v>0</v>
      </c>
      <c r="AS150" s="61">
        <f t="shared" si="82"/>
        <v>0</v>
      </c>
      <c r="AT150" s="61">
        <f t="shared" si="82"/>
        <v>0</v>
      </c>
      <c r="AU150" s="61">
        <f t="shared" si="82"/>
        <v>0</v>
      </c>
      <c r="AV150" s="103">
        <f t="shared" si="70"/>
        <v>-230000</v>
      </c>
      <c r="AW150" s="36">
        <f t="shared" si="71"/>
        <v>0</v>
      </c>
    </row>
    <row r="151" spans="1:49" x14ac:dyDescent="0.25">
      <c r="A151" s="13"/>
      <c r="B151" s="63"/>
      <c r="C151" s="13" t="s">
        <v>340</v>
      </c>
      <c r="E151" s="50">
        <v>0</v>
      </c>
      <c r="F151" s="61">
        <f>-SUM(Q151:AU151)</f>
        <v>0</v>
      </c>
      <c r="G151" s="93"/>
      <c r="H151" s="61"/>
      <c r="I151" s="61"/>
      <c r="M151" s="36">
        <f>-F151</f>
        <v>0</v>
      </c>
      <c r="N151" s="90"/>
      <c r="O151" s="90"/>
      <c r="P151" s="3">
        <f>ROUND((O151-N151)/365*12,0)+1</f>
        <v>1</v>
      </c>
      <c r="Q151" s="61"/>
      <c r="R151" s="61">
        <f>IF(R41&gt;$N$150,0,-AVERAGE(O175:Q175)*($E$151/4))</f>
        <v>0</v>
      </c>
      <c r="S151" s="207">
        <f>IF(S41&gt;$N$150,0,-AVERAGE(P175:R175)*($E$151/4))</f>
        <v>0</v>
      </c>
      <c r="T151" s="61"/>
      <c r="U151" s="61"/>
      <c r="V151" s="61">
        <f>IF(V41&gt;$N$150,0,-AVERAGE(S175:U175)*($E$151/4))</f>
        <v>0</v>
      </c>
      <c r="W151" s="61">
        <f>IF(W41&gt;$N$150,0,-AVERAGE(T175:V175)*($E$151/4))</f>
        <v>0</v>
      </c>
      <c r="X151" s="61"/>
      <c r="Y151" s="61"/>
      <c r="Z151" s="61">
        <f>IF(Z41&gt;$N$150,0,-AVERAGE(W175:Y175)*($E$151/4))</f>
        <v>0</v>
      </c>
      <c r="AA151" s="61"/>
      <c r="AB151" s="61"/>
      <c r="AC151" s="207">
        <f>IF(AC41&gt;$N$150,0,-AVERAGE(Z175:AB175)*($E$151/4))</f>
        <v>0</v>
      </c>
      <c r="AD151" s="61"/>
      <c r="AE151" s="61"/>
      <c r="AF151" s="61">
        <f>IF(AF41&gt;$N$150,0,-AVERAGE(AC175:AE175)*($E$151/4))</f>
        <v>0</v>
      </c>
      <c r="AG151" s="61"/>
      <c r="AH151" s="61"/>
      <c r="AI151" s="61">
        <f>IF(AI41&gt;$N$150,0,-AVERAGE(AF175:AH175)*($E$151/4))</f>
        <v>0</v>
      </c>
      <c r="AJ151" s="61"/>
      <c r="AK151" s="61"/>
      <c r="AL151" s="61">
        <f>IF(AL41&gt;$N$150,0,-AVERAGE(AI175:AK175)*($E$151/4))</f>
        <v>0</v>
      </c>
      <c r="AM151" s="61"/>
      <c r="AN151" s="61">
        <f>IF(AN41&gt;$N$150,0,-AVERAGE(AK175:AM175)*($E$151/4))</f>
        <v>0</v>
      </c>
      <c r="AO151" s="61"/>
      <c r="AP151" s="61"/>
      <c r="AQ151" s="61">
        <f>IF(AQ41&gt;$N$150,0,-AVERAGE(AN175:AP175)*($E$151/4))</f>
        <v>0</v>
      </c>
      <c r="AR151" s="61"/>
      <c r="AS151" s="61"/>
      <c r="AT151" s="61">
        <f>IF(AT41&gt;$N$150,0,-AVERAGE(AQ175:AS175)*($E$151/4))</f>
        <v>0</v>
      </c>
      <c r="AU151" s="61"/>
      <c r="AV151" s="103">
        <f t="shared" si="70"/>
        <v>0</v>
      </c>
      <c r="AW151" s="36">
        <f t="shared" si="71"/>
        <v>0</v>
      </c>
    </row>
    <row r="152" spans="1:49" x14ac:dyDescent="0.25">
      <c r="A152" s="13"/>
      <c r="B152" s="63"/>
      <c r="C152" s="13"/>
      <c r="I152" s="2"/>
      <c r="AV152" s="103">
        <f t="shared" si="70"/>
        <v>0</v>
      </c>
      <c r="AW152" s="36">
        <f t="shared" si="71"/>
        <v>0</v>
      </c>
    </row>
    <row r="153" spans="1:49" ht="14.25" thickBot="1" x14ac:dyDescent="0.3">
      <c r="A153" s="13"/>
      <c r="B153" s="63"/>
      <c r="C153" s="13"/>
      <c r="F153" s="120">
        <f>SUM(F141:F151)</f>
        <v>847307.53625</v>
      </c>
      <c r="H153" s="107"/>
      <c r="I153" s="107"/>
      <c r="K153" s="70" t="s">
        <v>341</v>
      </c>
      <c r="M153" s="36">
        <f>SUM(M62:M134,M140:M147)</f>
        <v>-16766728.308999995</v>
      </c>
      <c r="Q153" s="61"/>
      <c r="R153" s="61"/>
      <c r="S153" s="207"/>
      <c r="T153" s="61"/>
      <c r="U153" s="61"/>
      <c r="V153" s="61"/>
      <c r="W153" s="61"/>
      <c r="X153" s="61"/>
      <c r="Y153" s="61"/>
      <c r="Z153" s="61"/>
      <c r="AA153" s="61"/>
      <c r="AB153" s="61"/>
      <c r="AC153" s="207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103">
        <f t="shared" si="70"/>
        <v>0</v>
      </c>
      <c r="AW153" s="36"/>
    </row>
    <row r="154" spans="1:49" ht="15" thickTop="1" thickBot="1" x14ac:dyDescent="0.3">
      <c r="A154" s="13"/>
      <c r="B154" s="63"/>
      <c r="G154" s="107"/>
      <c r="I154" s="2"/>
      <c r="K154" s="70"/>
      <c r="O154" s="134">
        <f>XIRR(Q154:AU154,Q41:AU41)</f>
        <v>0.20867473483085633</v>
      </c>
      <c r="P154" s="36">
        <f>SUM(Q154:AU154)</f>
        <v>4449189.1910000043</v>
      </c>
      <c r="Q154" s="94">
        <f t="shared" ref="Q154:AU154" si="83">SUM(Q42:Q153)</f>
        <v>-9243039.1699999999</v>
      </c>
      <c r="R154" s="94">
        <f t="shared" si="83"/>
        <v>-80766.666666666672</v>
      </c>
      <c r="S154" s="102">
        <f t="shared" si="83"/>
        <v>-80766.666666666672</v>
      </c>
      <c r="T154" s="94">
        <f t="shared" si="83"/>
        <v>-80766.666666666672</v>
      </c>
      <c r="U154" s="94">
        <f t="shared" si="83"/>
        <v>-521703.51141666697</v>
      </c>
      <c r="V154" s="94">
        <f t="shared" si="83"/>
        <v>-471703.51141666697</v>
      </c>
      <c r="W154" s="94">
        <f t="shared" si="83"/>
        <v>-971703.51141666679</v>
      </c>
      <c r="X154" s="94">
        <f t="shared" si="83"/>
        <v>-971703.51141666679</v>
      </c>
      <c r="Y154" s="94">
        <f t="shared" si="83"/>
        <v>-871703.51141666679</v>
      </c>
      <c r="Z154" s="94">
        <f t="shared" si="83"/>
        <v>-871703.51141666679</v>
      </c>
      <c r="AA154" s="94">
        <f t="shared" si="83"/>
        <v>-871703.51141666679</v>
      </c>
      <c r="AB154" s="94">
        <f t="shared" si="83"/>
        <v>-771703.51141666679</v>
      </c>
      <c r="AC154" s="102">
        <f t="shared" si="83"/>
        <v>-686864.62141666666</v>
      </c>
      <c r="AD154" s="94">
        <f t="shared" si="83"/>
        <v>3094939.4125000001</v>
      </c>
      <c r="AE154" s="94">
        <f t="shared" si="83"/>
        <v>2741370.4550000001</v>
      </c>
      <c r="AF154" s="94">
        <f t="shared" si="83"/>
        <v>-1500</v>
      </c>
      <c r="AG154" s="94">
        <f t="shared" si="83"/>
        <v>2671683.9550000001</v>
      </c>
      <c r="AH154" s="94">
        <f t="shared" si="83"/>
        <v>-1500</v>
      </c>
      <c r="AI154" s="94">
        <f t="shared" si="83"/>
        <v>2721647.2124999999</v>
      </c>
      <c r="AJ154" s="94">
        <f t="shared" si="83"/>
        <v>-1500</v>
      </c>
      <c r="AK154" s="94">
        <f t="shared" si="83"/>
        <v>-1500</v>
      </c>
      <c r="AL154" s="94">
        <f t="shared" si="83"/>
        <v>-1500</v>
      </c>
      <c r="AM154" s="94">
        <f t="shared" si="83"/>
        <v>4958007.0337499995</v>
      </c>
      <c r="AN154" s="94">
        <f t="shared" si="83"/>
        <v>3667670.895</v>
      </c>
      <c r="AO154" s="94">
        <f t="shared" si="83"/>
        <v>1098702.1100000001</v>
      </c>
      <c r="AP154" s="94">
        <f t="shared" si="83"/>
        <v>-1500</v>
      </c>
      <c r="AQ154" s="94">
        <f t="shared" si="83"/>
        <v>0</v>
      </c>
      <c r="AR154" s="94">
        <f t="shared" si="83"/>
        <v>0</v>
      </c>
      <c r="AS154" s="94">
        <f t="shared" si="83"/>
        <v>0</v>
      </c>
      <c r="AT154" s="94">
        <f t="shared" si="83"/>
        <v>0</v>
      </c>
      <c r="AU154" s="94">
        <f t="shared" si="83"/>
        <v>0</v>
      </c>
      <c r="AV154" s="135">
        <f t="shared" si="70"/>
        <v>4449189.1910000043</v>
      </c>
      <c r="AW154" s="36"/>
    </row>
    <row r="155" spans="1:49" ht="14.25" thickTop="1" x14ac:dyDescent="0.25">
      <c r="A155" s="13"/>
      <c r="B155" s="63"/>
      <c r="C155" s="63" t="s">
        <v>342</v>
      </c>
      <c r="F155" s="23">
        <f>-SUM(Q173:AU173)</f>
        <v>458766.85099436494</v>
      </c>
      <c r="G155" s="107"/>
      <c r="H155" s="23"/>
      <c r="I155" s="23"/>
      <c r="K155" s="70"/>
      <c r="L155" s="36"/>
      <c r="O155" s="3" t="s">
        <v>343</v>
      </c>
      <c r="P155" s="36">
        <f>P154+O173</f>
        <v>3990422.3400056395</v>
      </c>
      <c r="Q155" s="61"/>
      <c r="R155" s="61"/>
      <c r="S155" s="207"/>
      <c r="T155" s="61"/>
      <c r="U155" s="61"/>
      <c r="V155" s="61"/>
      <c r="W155" s="61"/>
      <c r="X155" s="61"/>
      <c r="Y155" s="61"/>
      <c r="Z155" s="61"/>
      <c r="AA155" s="61"/>
      <c r="AB155" s="61"/>
      <c r="AC155" s="207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W155" s="36">
        <f>SUM(Q155:AU155)-M155</f>
        <v>0</v>
      </c>
    </row>
    <row r="156" spans="1:49" x14ac:dyDescent="0.25">
      <c r="A156" s="13"/>
      <c r="B156" s="63"/>
      <c r="G156" s="107"/>
      <c r="I156" s="2"/>
      <c r="K156" s="70" t="str">
        <f>C155</f>
        <v>Bank Interest</v>
      </c>
      <c r="L156" s="36"/>
      <c r="M156" s="36">
        <f>F155</f>
        <v>458766.85099436494</v>
      </c>
      <c r="P156" s="134">
        <f>XIRR(Q154:AU154,Q41:AU41)</f>
        <v>0.20867473483085633</v>
      </c>
      <c r="R156" s="61"/>
      <c r="S156" s="207"/>
      <c r="T156" s="61"/>
      <c r="U156" s="61"/>
      <c r="V156" s="61"/>
      <c r="W156" s="61"/>
      <c r="X156" s="61"/>
      <c r="Y156" s="61"/>
      <c r="Z156" s="61"/>
      <c r="AA156" s="61"/>
      <c r="AB156" s="61"/>
      <c r="AC156" s="207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</row>
    <row r="157" spans="1:49" ht="14.25" thickBot="1" x14ac:dyDescent="0.3">
      <c r="A157" s="13"/>
      <c r="B157" s="63"/>
      <c r="C157" s="63" t="s">
        <v>11</v>
      </c>
      <c r="F157" s="114">
        <f>F155+F153+F139+F111+F98+F89+F73</f>
        <v>17695120.159994364</v>
      </c>
      <c r="G157" s="107"/>
      <c r="H157" s="23"/>
      <c r="I157" s="23"/>
      <c r="K157" s="70" t="s">
        <v>344</v>
      </c>
      <c r="L157" s="36"/>
      <c r="M157" s="36">
        <f>SUM(M148:M151,M135:M138)</f>
        <v>-469625</v>
      </c>
      <c r="N157" s="70"/>
      <c r="O157" s="70"/>
    </row>
    <row r="158" spans="1:49" ht="15" thickTop="1" thickBot="1" x14ac:dyDescent="0.3">
      <c r="A158" s="13"/>
      <c r="B158" s="63"/>
      <c r="C158" s="63" t="s">
        <v>345</v>
      </c>
      <c r="F158" s="136">
        <f>(M58)-F73-F98-F111-F139-F153-F155-F89</f>
        <v>3990422.3400056353</v>
      </c>
      <c r="G158" s="107"/>
      <c r="H158" s="23"/>
      <c r="I158" s="23"/>
      <c r="K158" s="70"/>
      <c r="L158" s="36"/>
      <c r="M158" s="36"/>
      <c r="N158" s="137" t="s">
        <v>346</v>
      </c>
      <c r="O158" s="70" t="s">
        <v>347</v>
      </c>
      <c r="Q158" s="61">
        <f>P162</f>
        <v>0</v>
      </c>
      <c r="R158" s="61">
        <f>Q162</f>
        <v>-9243039.1699999999</v>
      </c>
      <c r="S158" s="207">
        <f>R162</f>
        <v>-9323805.836666666</v>
      </c>
      <c r="T158" s="61">
        <f>S162</f>
        <v>-9404572.503333332</v>
      </c>
      <c r="U158" s="61">
        <f t="shared" ref="U158:AU158" si="84">T162</f>
        <v>-9485339.1699999981</v>
      </c>
      <c r="V158" s="61">
        <f t="shared" si="84"/>
        <v>-5400000</v>
      </c>
      <c r="W158" s="61">
        <f t="shared" si="84"/>
        <v>-5400000</v>
      </c>
      <c r="X158" s="61">
        <f t="shared" si="84"/>
        <v>-5400000</v>
      </c>
      <c r="Y158" s="61">
        <f t="shared" si="84"/>
        <v>-5400000</v>
      </c>
      <c r="Z158" s="61">
        <f t="shared" si="84"/>
        <v>-5400000</v>
      </c>
      <c r="AA158" s="61">
        <f t="shared" si="84"/>
        <v>-5400000</v>
      </c>
      <c r="AB158" s="61">
        <f t="shared" si="84"/>
        <v>-5400000</v>
      </c>
      <c r="AC158" s="207">
        <f t="shared" si="84"/>
        <v>-5400000</v>
      </c>
      <c r="AD158" s="61">
        <f t="shared" si="84"/>
        <v>-5400000</v>
      </c>
      <c r="AE158" s="61">
        <f t="shared" si="84"/>
        <v>-5400000</v>
      </c>
      <c r="AF158" s="61">
        <f t="shared" si="84"/>
        <v>-5400000</v>
      </c>
      <c r="AG158" s="61">
        <f t="shared" si="84"/>
        <v>-5400000</v>
      </c>
      <c r="AH158" s="61">
        <f t="shared" si="84"/>
        <v>-5400000</v>
      </c>
      <c r="AI158" s="61">
        <f t="shared" si="84"/>
        <v>-5400000</v>
      </c>
      <c r="AJ158" s="61">
        <f t="shared" si="84"/>
        <v>-5400000</v>
      </c>
      <c r="AK158" s="61">
        <f t="shared" si="84"/>
        <v>-5400000</v>
      </c>
      <c r="AL158" s="61">
        <f t="shared" si="84"/>
        <v>-5400000</v>
      </c>
      <c r="AM158" s="61">
        <f t="shared" si="84"/>
        <v>-5400000</v>
      </c>
      <c r="AN158" s="61">
        <f t="shared" si="84"/>
        <v>-774450.6649943674</v>
      </c>
      <c r="AO158" s="61">
        <f t="shared" si="84"/>
        <v>2893220.2300056326</v>
      </c>
      <c r="AP158" s="61">
        <f t="shared" si="84"/>
        <v>3991922.3400056325</v>
      </c>
      <c r="AQ158" s="61">
        <f t="shared" si="84"/>
        <v>3990422.3400056325</v>
      </c>
      <c r="AR158" s="61">
        <f t="shared" si="84"/>
        <v>3990422.3400056325</v>
      </c>
      <c r="AS158" s="61">
        <f t="shared" si="84"/>
        <v>3990422.3400056325</v>
      </c>
      <c r="AT158" s="61">
        <f t="shared" si="84"/>
        <v>3990422.3400056325</v>
      </c>
      <c r="AU158" s="61">
        <f t="shared" si="84"/>
        <v>3990422.3400056325</v>
      </c>
    </row>
    <row r="159" spans="1:49" ht="14.25" thickTop="1" x14ac:dyDescent="0.25">
      <c r="A159" s="13"/>
      <c r="B159" s="63"/>
      <c r="C159" s="63"/>
      <c r="F159" s="23"/>
      <c r="G159" s="107"/>
      <c r="I159" s="2"/>
      <c r="K159" s="70"/>
      <c r="L159" s="36"/>
      <c r="M159" s="36"/>
      <c r="N159" s="70"/>
      <c r="O159" s="70" t="s">
        <v>348</v>
      </c>
      <c r="P159" s="61"/>
      <c r="Q159" s="61">
        <f>IF(Q154&gt;0,0,MAX(Q154,-$C$24-SUM($P$160:P160)))</f>
        <v>-9243039.1699999999</v>
      </c>
      <c r="R159" s="61">
        <f>IF(R154&gt;0,0,MAX(R154,-$C$24-SUM($P$160:Q160)))</f>
        <v>-80766.666666666672</v>
      </c>
      <c r="S159" s="207">
        <f>IF(S154&gt;0,0,MAX(S154,-$C$24-SUM($P$160:R160)))</f>
        <v>-80766.666666666672</v>
      </c>
      <c r="T159" s="61">
        <f>IF(T154&gt;0,0,MAX(T154,-$C$24-SUM($P$160:S160)))</f>
        <v>-80766.666666666672</v>
      </c>
      <c r="U159" s="61">
        <f>IF(U154&gt;0,0,MAX(U154,-$C$25-SUM($P$159:T160)))</f>
        <v>4085339.1699999981</v>
      </c>
      <c r="V159" s="61">
        <f>IF(V154&gt;0,0,MAX(V154,-$C$25-SUM($P$159:U160)))</f>
        <v>0</v>
      </c>
      <c r="W159" s="61">
        <f>IF(W154&gt;0,0,MAX(W154,-$C$25-SUM($P$159:V160)))</f>
        <v>0</v>
      </c>
      <c r="X159" s="61">
        <f>IF(X154&gt;0,0,MAX(X154,-$C$25-SUM($P$159:W160)))</f>
        <v>0</v>
      </c>
      <c r="Y159" s="61">
        <f>IF(Y154&gt;0,0,MAX(Y154,-$C$25-SUM($P$159:X160)))</f>
        <v>0</v>
      </c>
      <c r="Z159" s="61">
        <f>IF(Z154&gt;0,0,MAX(Z154,-$C$25-SUM($P$159:Y160)))</f>
        <v>0</v>
      </c>
      <c r="AA159" s="61">
        <f>IF(AA154&gt;0,0,MAX(AA154,-$C$25-SUM($P$159:Z160)))</f>
        <v>0</v>
      </c>
      <c r="AB159" s="61">
        <f>IF(AB154&gt;0,0,MAX(AB154,-$C$25-SUM($P$159:AA160)))</f>
        <v>0</v>
      </c>
      <c r="AC159" s="207">
        <f>IF(AC154&gt;0,0,MAX(AC154,-$C$25-SUM($P$159:AB160)))</f>
        <v>0</v>
      </c>
      <c r="AD159" s="61">
        <f>IF(AD154&gt;0,0,MAX(AD154,-$C$25-SUM($P$159:AC160)))</f>
        <v>0</v>
      </c>
      <c r="AE159" s="61">
        <f>IF(AE154&gt;0,0,MAX(AE154,-$C$25-SUM($P$159:AD160)))</f>
        <v>0</v>
      </c>
      <c r="AF159" s="61">
        <f>IF(AF154&gt;0,0,MAX(AF154,-$C$25-SUM($P$159:AE160)))</f>
        <v>0</v>
      </c>
      <c r="AG159" s="61">
        <f>IF(AG154&gt;0,0,MAX(AG154,-$C$25-SUM($P$159:AF160)))</f>
        <v>0</v>
      </c>
      <c r="AH159" s="61">
        <f>IF(AH154&gt;0,0,MAX(AH154,-$C$25-SUM($P$159:AG160)))</f>
        <v>0</v>
      </c>
      <c r="AI159" s="61">
        <f>IF(AI154&gt;0,0,MAX(AI154,-$C$25-SUM($P$159:AH160)))</f>
        <v>0</v>
      </c>
      <c r="AJ159" s="61">
        <f>IF(AJ154&gt;0,0,MAX(AJ154,-$C$25-SUM($P$159:AI160)))</f>
        <v>0</v>
      </c>
      <c r="AK159" s="61">
        <f>IF(AK154&gt;0,0,MAX(AK154,-$C$25-SUM($P$159:AJ160)))</f>
        <v>0</v>
      </c>
      <c r="AL159" s="61">
        <f>IF(AL154&gt;0,0,MAX(AL154,-$C$25-SUM($P$159:AK160)))</f>
        <v>0</v>
      </c>
      <c r="AM159" s="61">
        <f>IF(AM154&gt;0,0,MAX(AM154,-$C$25-SUM($P$159:AL160)))</f>
        <v>0</v>
      </c>
      <c r="AN159" s="61">
        <f>IF(AN154&gt;0,0,MAX(AN154,-$C$25-SUM($P$159:AM160)))</f>
        <v>0</v>
      </c>
      <c r="AO159" s="61">
        <f>IF(AO154&gt;0,0,MAX(AO154,-$C$25-SUM($P$159:AN160)))</f>
        <v>0</v>
      </c>
      <c r="AP159" s="61">
        <f>IF(AP154&gt;0,0,MAX(AP154,-$C$25-SUM($P$159:AO160)))</f>
        <v>-1500</v>
      </c>
      <c r="AQ159" s="61">
        <f>IF(AQ154&gt;0,0,MAX(AQ154,-$C$25-SUM($P$159:AP160)))</f>
        <v>0</v>
      </c>
      <c r="AR159" s="61">
        <f>IF(AR154&gt;0,0,MAX(AR154,-$C$25-SUM($P$159:AQ160)))</f>
        <v>0</v>
      </c>
      <c r="AS159" s="61">
        <f>IF(AS154&gt;0,0,MAX(AS154,-$C$25-SUM($P$159:AR160)))</f>
        <v>0</v>
      </c>
      <c r="AT159" s="61">
        <f>IF(AT154&gt;0,0,MAX(AT154,-$C$25-SUM($P$159:AS160)))</f>
        <v>0</v>
      </c>
      <c r="AU159" s="61">
        <f>IF(AU154&gt;0,0,MAX(AU154,-$C$25-SUM($P$159:AT160)))</f>
        <v>0</v>
      </c>
    </row>
    <row r="160" spans="1:49" x14ac:dyDescent="0.25">
      <c r="A160" s="13"/>
      <c r="B160" s="63"/>
      <c r="C160" s="63"/>
      <c r="D160" s="138"/>
      <c r="F160" s="23">
        <f>F157-F155-F149-F150</f>
        <v>16891353.309</v>
      </c>
      <c r="G160" s="107"/>
      <c r="H160" s="23"/>
      <c r="I160" s="23"/>
      <c r="K160" s="70"/>
      <c r="L160" s="36"/>
      <c r="M160" s="36"/>
      <c r="N160" s="70"/>
      <c r="O160" s="70" t="s">
        <v>349</v>
      </c>
      <c r="Q160" s="36">
        <f t="shared" ref="Q160:AU160" si="85">IF(OR(Q41&lt;$N$150,Q154&lt;0),0,Q154-Q169)</f>
        <v>0</v>
      </c>
      <c r="R160" s="36">
        <f t="shared" si="85"/>
        <v>0</v>
      </c>
      <c r="S160" s="209">
        <f t="shared" si="85"/>
        <v>0</v>
      </c>
      <c r="T160" s="36">
        <f t="shared" si="85"/>
        <v>0</v>
      </c>
      <c r="U160" s="36">
        <f t="shared" si="85"/>
        <v>0</v>
      </c>
      <c r="V160" s="36">
        <f t="shared" si="85"/>
        <v>0</v>
      </c>
      <c r="W160" s="36">
        <f t="shared" si="85"/>
        <v>0</v>
      </c>
      <c r="X160" s="36">
        <f t="shared" si="85"/>
        <v>0</v>
      </c>
      <c r="Y160" s="36">
        <f t="shared" si="85"/>
        <v>0</v>
      </c>
      <c r="Z160" s="36">
        <f t="shared" si="85"/>
        <v>0</v>
      </c>
      <c r="AA160" s="36">
        <f t="shared" si="85"/>
        <v>0</v>
      </c>
      <c r="AB160" s="36">
        <f t="shared" si="85"/>
        <v>0</v>
      </c>
      <c r="AC160" s="209">
        <f t="shared" si="85"/>
        <v>0</v>
      </c>
      <c r="AD160" s="36">
        <f t="shared" si="85"/>
        <v>0</v>
      </c>
      <c r="AE160" s="36">
        <f t="shared" si="85"/>
        <v>0</v>
      </c>
      <c r="AF160" s="36">
        <f t="shared" si="85"/>
        <v>0</v>
      </c>
      <c r="AG160" s="36">
        <f t="shared" si="85"/>
        <v>0</v>
      </c>
      <c r="AH160" s="36">
        <f t="shared" si="85"/>
        <v>0</v>
      </c>
      <c r="AI160" s="36">
        <f t="shared" si="85"/>
        <v>0</v>
      </c>
      <c r="AJ160" s="36">
        <f t="shared" si="85"/>
        <v>0</v>
      </c>
      <c r="AK160" s="36">
        <f t="shared" si="85"/>
        <v>0</v>
      </c>
      <c r="AL160" s="36">
        <f t="shared" si="85"/>
        <v>0</v>
      </c>
      <c r="AM160" s="36">
        <f t="shared" si="85"/>
        <v>4625549.3350056326</v>
      </c>
      <c r="AN160" s="36">
        <f t="shared" si="85"/>
        <v>3667670.895</v>
      </c>
      <c r="AO160" s="36">
        <f t="shared" si="85"/>
        <v>1098702.1100000001</v>
      </c>
      <c r="AP160" s="36">
        <f t="shared" si="85"/>
        <v>0</v>
      </c>
      <c r="AQ160" s="36">
        <f t="shared" si="85"/>
        <v>0</v>
      </c>
      <c r="AR160" s="36">
        <f t="shared" si="85"/>
        <v>0</v>
      </c>
      <c r="AS160" s="36">
        <f t="shared" si="85"/>
        <v>0</v>
      </c>
      <c r="AT160" s="36">
        <f t="shared" si="85"/>
        <v>0</v>
      </c>
      <c r="AU160" s="36">
        <f t="shared" si="85"/>
        <v>0</v>
      </c>
    </row>
    <row r="161" spans="1:49" x14ac:dyDescent="0.25">
      <c r="A161" s="13"/>
      <c r="B161" s="63"/>
      <c r="F161" s="155"/>
      <c r="G161" s="107"/>
      <c r="I161" s="2"/>
      <c r="K161" s="70"/>
      <c r="L161" s="36"/>
      <c r="N161" s="70"/>
      <c r="O161" s="70"/>
      <c r="Q161" s="139"/>
      <c r="R161" s="139"/>
      <c r="S161" s="210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210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</row>
    <row r="162" spans="1:49" ht="14.25" thickBot="1" x14ac:dyDescent="0.3">
      <c r="A162" s="13"/>
      <c r="B162" s="63"/>
      <c r="C162" s="13"/>
      <c r="F162" s="156"/>
      <c r="G162" s="23"/>
      <c r="H162" s="23"/>
      <c r="I162" s="23"/>
      <c r="K162" s="70" t="s">
        <v>11</v>
      </c>
      <c r="M162" s="140">
        <f>SUM(M153,-M156+M160,M157)</f>
        <v>-17695120.15999436</v>
      </c>
      <c r="N162" s="70"/>
      <c r="O162" s="70" t="s">
        <v>350</v>
      </c>
      <c r="Q162" s="141">
        <f>SUM(Q158:Q161)</f>
        <v>-9243039.1699999999</v>
      </c>
      <c r="R162" s="141">
        <f t="shared" ref="R162:AU162" si="86">SUM(R158:R161)</f>
        <v>-9323805.836666666</v>
      </c>
      <c r="S162" s="211">
        <f t="shared" si="86"/>
        <v>-9404572.503333332</v>
      </c>
      <c r="T162" s="141">
        <f t="shared" si="86"/>
        <v>-9485339.1699999981</v>
      </c>
      <c r="U162" s="141">
        <f t="shared" si="86"/>
        <v>-5400000</v>
      </c>
      <c r="V162" s="141">
        <f t="shared" si="86"/>
        <v>-5400000</v>
      </c>
      <c r="W162" s="141">
        <f t="shared" si="86"/>
        <v>-5400000</v>
      </c>
      <c r="X162" s="141">
        <f t="shared" si="86"/>
        <v>-5400000</v>
      </c>
      <c r="Y162" s="141">
        <f t="shared" si="86"/>
        <v>-5400000</v>
      </c>
      <c r="Z162" s="141">
        <f t="shared" si="86"/>
        <v>-5400000</v>
      </c>
      <c r="AA162" s="141">
        <f t="shared" si="86"/>
        <v>-5400000</v>
      </c>
      <c r="AB162" s="141">
        <f t="shared" si="86"/>
        <v>-5400000</v>
      </c>
      <c r="AC162" s="211">
        <f t="shared" si="86"/>
        <v>-5400000</v>
      </c>
      <c r="AD162" s="141">
        <f t="shared" si="86"/>
        <v>-5400000</v>
      </c>
      <c r="AE162" s="141">
        <f t="shared" si="86"/>
        <v>-5400000</v>
      </c>
      <c r="AF162" s="141">
        <f t="shared" si="86"/>
        <v>-5400000</v>
      </c>
      <c r="AG162" s="141">
        <f t="shared" si="86"/>
        <v>-5400000</v>
      </c>
      <c r="AH162" s="141">
        <f t="shared" si="86"/>
        <v>-5400000</v>
      </c>
      <c r="AI162" s="141">
        <f t="shared" si="86"/>
        <v>-5400000</v>
      </c>
      <c r="AJ162" s="141">
        <f t="shared" si="86"/>
        <v>-5400000</v>
      </c>
      <c r="AK162" s="141">
        <f t="shared" si="86"/>
        <v>-5400000</v>
      </c>
      <c r="AL162" s="141">
        <f t="shared" si="86"/>
        <v>-5400000</v>
      </c>
      <c r="AM162" s="141">
        <f t="shared" si="86"/>
        <v>-774450.6649943674</v>
      </c>
      <c r="AN162" s="141">
        <f t="shared" si="86"/>
        <v>2893220.2300056326</v>
      </c>
      <c r="AO162" s="141">
        <f t="shared" si="86"/>
        <v>3991922.3400056325</v>
      </c>
      <c r="AP162" s="141">
        <f t="shared" si="86"/>
        <v>3990422.3400056325</v>
      </c>
      <c r="AQ162" s="141">
        <f t="shared" si="86"/>
        <v>3990422.3400056325</v>
      </c>
      <c r="AR162" s="141">
        <f t="shared" si="86"/>
        <v>3990422.3400056325</v>
      </c>
      <c r="AS162" s="141">
        <f t="shared" si="86"/>
        <v>3990422.3400056325</v>
      </c>
      <c r="AT162" s="141">
        <f t="shared" si="86"/>
        <v>3990422.3400056325</v>
      </c>
      <c r="AU162" s="141">
        <f t="shared" si="86"/>
        <v>3990422.3400056325</v>
      </c>
    </row>
    <row r="163" spans="1:49" ht="14.25" thickTop="1" x14ac:dyDescent="0.25">
      <c r="A163" s="13"/>
      <c r="C163" s="13"/>
      <c r="E163" s="142"/>
      <c r="F163" s="157"/>
      <c r="G163" s="23"/>
      <c r="H163" s="23"/>
      <c r="I163" s="23"/>
      <c r="AW163" s="36"/>
    </row>
    <row r="164" spans="1:49" x14ac:dyDescent="0.25">
      <c r="A164" s="13"/>
      <c r="C164" s="52"/>
      <c r="D164" s="21"/>
      <c r="E164" s="21"/>
      <c r="F164" s="158"/>
      <c r="G164" s="23"/>
      <c r="H164" s="23"/>
      <c r="I164" s="23"/>
      <c r="N164" s="36">
        <f>MIN(Q167:AW167)+D19</f>
        <v>-11371043.384336323</v>
      </c>
      <c r="Q164" s="36">
        <f>Q159+Q160</f>
        <v>-9243039.1699999999</v>
      </c>
      <c r="R164" s="36">
        <f t="shared" ref="R164:AU164" si="87">R159+R160</f>
        <v>-80766.666666666672</v>
      </c>
      <c r="S164" s="209">
        <f t="shared" si="87"/>
        <v>-80766.666666666672</v>
      </c>
      <c r="T164" s="36">
        <f t="shared" si="87"/>
        <v>-80766.666666666672</v>
      </c>
      <c r="U164" s="36">
        <f t="shared" si="87"/>
        <v>4085339.1699999981</v>
      </c>
      <c r="V164" s="36">
        <f t="shared" si="87"/>
        <v>0</v>
      </c>
      <c r="W164" s="36">
        <f t="shared" si="87"/>
        <v>0</v>
      </c>
      <c r="X164" s="36">
        <f t="shared" si="87"/>
        <v>0</v>
      </c>
      <c r="Y164" s="36">
        <f t="shared" si="87"/>
        <v>0</v>
      </c>
      <c r="Z164" s="36">
        <f t="shared" si="87"/>
        <v>0</v>
      </c>
      <c r="AA164" s="36">
        <f t="shared" si="87"/>
        <v>0</v>
      </c>
      <c r="AB164" s="36">
        <f t="shared" si="87"/>
        <v>0</v>
      </c>
      <c r="AC164" s="209">
        <f t="shared" si="87"/>
        <v>0</v>
      </c>
      <c r="AD164" s="36">
        <f t="shared" si="87"/>
        <v>0</v>
      </c>
      <c r="AE164" s="36">
        <f t="shared" si="87"/>
        <v>0</v>
      </c>
      <c r="AF164" s="36">
        <f t="shared" si="87"/>
        <v>0</v>
      </c>
      <c r="AG164" s="36">
        <f t="shared" si="87"/>
        <v>0</v>
      </c>
      <c r="AH164" s="36">
        <f t="shared" si="87"/>
        <v>0</v>
      </c>
      <c r="AI164" s="36">
        <f t="shared" si="87"/>
        <v>0</v>
      </c>
      <c r="AJ164" s="36">
        <f t="shared" si="87"/>
        <v>0</v>
      </c>
      <c r="AK164" s="36">
        <f t="shared" si="87"/>
        <v>0</v>
      </c>
      <c r="AL164" s="36">
        <f t="shared" si="87"/>
        <v>0</v>
      </c>
      <c r="AM164" s="36">
        <f t="shared" si="87"/>
        <v>4625549.3350056326</v>
      </c>
      <c r="AN164" s="36">
        <f t="shared" si="87"/>
        <v>3667670.895</v>
      </c>
      <c r="AO164" s="36">
        <f t="shared" si="87"/>
        <v>1098702.1100000001</v>
      </c>
      <c r="AP164" s="36">
        <f t="shared" si="87"/>
        <v>-1500</v>
      </c>
      <c r="AQ164" s="36">
        <f t="shared" si="87"/>
        <v>0</v>
      </c>
      <c r="AR164" s="36">
        <f t="shared" si="87"/>
        <v>0</v>
      </c>
      <c r="AS164" s="36">
        <f t="shared" si="87"/>
        <v>0</v>
      </c>
      <c r="AT164" s="36">
        <f t="shared" si="87"/>
        <v>0</v>
      </c>
      <c r="AU164" s="36">
        <f t="shared" si="87"/>
        <v>0</v>
      </c>
      <c r="AV164" s="36"/>
    </row>
    <row r="165" spans="1:49" x14ac:dyDescent="0.25">
      <c r="A165" s="13"/>
      <c r="B165" s="2"/>
      <c r="C165" s="21"/>
      <c r="D165" s="21"/>
      <c r="E165" s="21"/>
      <c r="F165" s="159"/>
      <c r="I165" s="2"/>
      <c r="M165" s="36"/>
    </row>
    <row r="166" spans="1:49" x14ac:dyDescent="0.25">
      <c r="A166" s="13"/>
      <c r="B166" s="2"/>
      <c r="C166" s="52"/>
      <c r="D166" s="21"/>
      <c r="E166" s="21"/>
      <c r="F166" s="158"/>
      <c r="I166" s="2"/>
      <c r="N166" s="70" t="s">
        <v>351</v>
      </c>
    </row>
    <row r="167" spans="1:49" x14ac:dyDescent="0.25">
      <c r="A167" s="13"/>
      <c r="B167" s="2"/>
      <c r="F167" s="155"/>
      <c r="H167" s="155"/>
      <c r="I167" s="2"/>
      <c r="O167" s="3" t="s">
        <v>352</v>
      </c>
      <c r="P167" s="61"/>
      <c r="Q167" s="61">
        <f t="shared" ref="Q167:AU167" si="88">P170</f>
        <v>0</v>
      </c>
      <c r="R167" s="61">
        <f t="shared" si="88"/>
        <v>0</v>
      </c>
      <c r="S167" s="207">
        <f t="shared" si="88"/>
        <v>0</v>
      </c>
      <c r="T167" s="61">
        <f t="shared" si="88"/>
        <v>0</v>
      </c>
      <c r="U167" s="61">
        <f t="shared" si="88"/>
        <v>0</v>
      </c>
      <c r="V167" s="61">
        <f t="shared" si="88"/>
        <v>-4607042.6814166652</v>
      </c>
      <c r="W167" s="61">
        <f t="shared" si="88"/>
        <v>-5099347.5006025946</v>
      </c>
      <c r="X167" s="61">
        <f t="shared" si="88"/>
        <v>-6093853.7587153325</v>
      </c>
      <c r="Y167" s="61">
        <f t="shared" si="88"/>
        <v>-7092807.1493854653</v>
      </c>
      <c r="Z167" s="61">
        <f t="shared" si="88"/>
        <v>-7996227.5588508341</v>
      </c>
      <c r="AA167" s="61">
        <f t="shared" si="88"/>
        <v>-8903687.7923828438</v>
      </c>
      <c r="AB167" s="61">
        <f t="shared" si="88"/>
        <v>-9816970.0940772593</v>
      </c>
      <c r="AC167" s="207">
        <f t="shared" si="88"/>
        <v>-10634517.277264826</v>
      </c>
      <c r="AD167" s="61">
        <f t="shared" si="88"/>
        <v>-11371043.384336323</v>
      </c>
      <c r="AE167" s="61">
        <f t="shared" si="88"/>
        <v>-8329204.915977804</v>
      </c>
      <c r="AF167" s="61">
        <f t="shared" si="88"/>
        <v>-5626730.5085995672</v>
      </c>
      <c r="AG167" s="61">
        <f t="shared" si="88"/>
        <v>-5655841.1089337738</v>
      </c>
      <c r="AH167" s="61">
        <f t="shared" si="88"/>
        <v>-3011910.6011930443</v>
      </c>
      <c r="AI167" s="61">
        <f t="shared" si="88"/>
        <v>-3028190.1716247192</v>
      </c>
      <c r="AJ167" s="61">
        <f t="shared" si="88"/>
        <v>-321402.41408473905</v>
      </c>
      <c r="AK167" s="61">
        <f t="shared" si="88"/>
        <v>-324479.54908137349</v>
      </c>
      <c r="AL167" s="61">
        <f t="shared" si="88"/>
        <v>-327622.98444204673</v>
      </c>
      <c r="AM167" s="61">
        <f t="shared" si="88"/>
        <v>-330782.34078399703</v>
      </c>
      <c r="AN167" s="61">
        <f t="shared" si="88"/>
        <v>0</v>
      </c>
      <c r="AO167" s="61">
        <f t="shared" si="88"/>
        <v>0</v>
      </c>
      <c r="AP167" s="61">
        <f t="shared" si="88"/>
        <v>0</v>
      </c>
      <c r="AQ167" s="61">
        <f t="shared" si="88"/>
        <v>0</v>
      </c>
      <c r="AR167" s="61">
        <f t="shared" si="88"/>
        <v>0</v>
      </c>
      <c r="AS167" s="61">
        <f t="shared" si="88"/>
        <v>0</v>
      </c>
      <c r="AT167" s="61">
        <f t="shared" si="88"/>
        <v>0</v>
      </c>
      <c r="AU167" s="61">
        <f t="shared" si="88"/>
        <v>0</v>
      </c>
    </row>
    <row r="168" spans="1:49" x14ac:dyDescent="0.25">
      <c r="A168" s="13"/>
      <c r="B168" s="2"/>
      <c r="C168" s="13"/>
      <c r="I168" s="2"/>
      <c r="N168" s="3">
        <f>D148</f>
        <v>0</v>
      </c>
      <c r="O168" s="36">
        <f>SUM(P168:AU168)</f>
        <v>-458766.85099436494</v>
      </c>
      <c r="P168" s="61"/>
      <c r="Q168" s="61">
        <f t="shared" ref="Q168:AU168" si="89">IF(Q41&gt;$N$150,0,SUM(P173))</f>
        <v>0</v>
      </c>
      <c r="R168" s="61">
        <f t="shared" si="89"/>
        <v>0</v>
      </c>
      <c r="S168" s="207">
        <f t="shared" si="89"/>
        <v>0</v>
      </c>
      <c r="T168" s="61">
        <f t="shared" si="89"/>
        <v>0</v>
      </c>
      <c r="U168" s="61">
        <f t="shared" si="89"/>
        <v>0</v>
      </c>
      <c r="V168" s="61">
        <f t="shared" si="89"/>
        <v>-20601.307769261879</v>
      </c>
      <c r="W168" s="61">
        <f t="shared" si="89"/>
        <v>-22802.746696070659</v>
      </c>
      <c r="X168" s="61">
        <f t="shared" si="89"/>
        <v>-27249.879253465897</v>
      </c>
      <c r="Y168" s="61">
        <f t="shared" si="89"/>
        <v>-31716.898048701983</v>
      </c>
      <c r="Z168" s="61">
        <f t="shared" si="89"/>
        <v>-35756.722115342833</v>
      </c>
      <c r="AA168" s="61">
        <f t="shared" si="89"/>
        <v>-41578.7902777489</v>
      </c>
      <c r="AB168" s="61">
        <f t="shared" si="89"/>
        <v>-45843.671770900328</v>
      </c>
      <c r="AC168" s="207">
        <f t="shared" si="89"/>
        <v>-49661.485654828408</v>
      </c>
      <c r="AD168" s="61">
        <f t="shared" si="89"/>
        <v>-53100.944141480591</v>
      </c>
      <c r="AE168" s="61">
        <f t="shared" si="89"/>
        <v>-38896.04762176337</v>
      </c>
      <c r="AF168" s="61">
        <f t="shared" si="89"/>
        <v>-27610.600334206865</v>
      </c>
      <c r="AG168" s="61">
        <f t="shared" si="89"/>
        <v>-27753.44725927075</v>
      </c>
      <c r="AH168" s="61">
        <f t="shared" si="89"/>
        <v>-14779.570431675013</v>
      </c>
      <c r="AI168" s="61">
        <f t="shared" si="89"/>
        <v>-14859.454960019595</v>
      </c>
      <c r="AJ168" s="61">
        <f t="shared" si="89"/>
        <v>-1577.1349966344239</v>
      </c>
      <c r="AK168" s="61">
        <f t="shared" si="89"/>
        <v>-1643.4353606732218</v>
      </c>
      <c r="AL168" s="61">
        <f t="shared" si="89"/>
        <v>-1659.356341950305</v>
      </c>
      <c r="AM168" s="61">
        <f t="shared" si="89"/>
        <v>-1675.3579603697951</v>
      </c>
      <c r="AN168" s="61">
        <f t="shared" si="89"/>
        <v>0</v>
      </c>
      <c r="AO168" s="61">
        <f t="shared" si="89"/>
        <v>0</v>
      </c>
      <c r="AP168" s="61">
        <f t="shared" si="89"/>
        <v>0</v>
      </c>
      <c r="AQ168" s="61">
        <f t="shared" si="89"/>
        <v>0</v>
      </c>
      <c r="AR168" s="61">
        <f t="shared" si="89"/>
        <v>0</v>
      </c>
      <c r="AS168" s="61">
        <f t="shared" si="89"/>
        <v>0</v>
      </c>
      <c r="AT168" s="61">
        <f t="shared" si="89"/>
        <v>0</v>
      </c>
      <c r="AU168" s="61">
        <f t="shared" si="89"/>
        <v>0</v>
      </c>
    </row>
    <row r="169" spans="1:49" x14ac:dyDescent="0.25">
      <c r="A169" s="13"/>
      <c r="B169" s="2"/>
      <c r="C169" s="143"/>
      <c r="I169" s="2"/>
      <c r="P169" s="61"/>
      <c r="Q169" s="61">
        <f>IF(Q154&gt;-Q167,-Q167,Q154-Q159)</f>
        <v>0</v>
      </c>
      <c r="R169" s="61">
        <f t="shared" ref="R169:AB169" si="90">IF(R154&gt;-R167,-R167,R154-R159)</f>
        <v>0</v>
      </c>
      <c r="S169" s="207">
        <f t="shared" si="90"/>
        <v>0</v>
      </c>
      <c r="T169" s="61">
        <f t="shared" si="90"/>
        <v>0</v>
      </c>
      <c r="U169" s="61">
        <f t="shared" si="90"/>
        <v>-4607042.6814166652</v>
      </c>
      <c r="V169" s="61">
        <f t="shared" si="90"/>
        <v>-471703.51141666697</v>
      </c>
      <c r="W169" s="61">
        <f t="shared" si="90"/>
        <v>-971703.51141666679</v>
      </c>
      <c r="X169" s="61">
        <f t="shared" si="90"/>
        <v>-971703.51141666679</v>
      </c>
      <c r="Y169" s="61">
        <f t="shared" si="90"/>
        <v>-871703.51141666679</v>
      </c>
      <c r="Z169" s="61">
        <f t="shared" si="90"/>
        <v>-871703.51141666679</v>
      </c>
      <c r="AA169" s="61">
        <f t="shared" si="90"/>
        <v>-871703.51141666679</v>
      </c>
      <c r="AB169" s="61">
        <f t="shared" si="90"/>
        <v>-771703.51141666679</v>
      </c>
      <c r="AC169" s="207">
        <f t="shared" ref="AC169:AL169" si="91">IF(AC154&gt;-AC167,-AC167-AC168,AC154-AC159)</f>
        <v>-686864.62141666666</v>
      </c>
      <c r="AD169" s="61">
        <f t="shared" si="91"/>
        <v>3094939.4125000001</v>
      </c>
      <c r="AE169" s="61">
        <f t="shared" si="91"/>
        <v>2741370.4550000001</v>
      </c>
      <c r="AF169" s="61">
        <f t="shared" si="91"/>
        <v>-1500</v>
      </c>
      <c r="AG169" s="61">
        <f t="shared" si="91"/>
        <v>2671683.9550000001</v>
      </c>
      <c r="AH169" s="61">
        <f t="shared" si="91"/>
        <v>-1500</v>
      </c>
      <c r="AI169" s="61">
        <f t="shared" si="91"/>
        <v>2721647.2124999999</v>
      </c>
      <c r="AJ169" s="61">
        <f t="shared" si="91"/>
        <v>-1500</v>
      </c>
      <c r="AK169" s="61">
        <f t="shared" si="91"/>
        <v>-1500</v>
      </c>
      <c r="AL169" s="61">
        <f t="shared" si="91"/>
        <v>-1500</v>
      </c>
      <c r="AM169" s="61">
        <f>IF(AM154&gt;-AM167,-AM167-AM168,AM154-AM159)</f>
        <v>332457.69874436682</v>
      </c>
      <c r="AN169" s="61">
        <f t="shared" ref="AN169:AP169" si="92">IF(AN154&gt;-AN167,-AN167-AN168,AN154-AN159)</f>
        <v>0</v>
      </c>
      <c r="AO169" s="61">
        <f t="shared" si="92"/>
        <v>0</v>
      </c>
      <c r="AP169" s="61">
        <f t="shared" si="92"/>
        <v>0</v>
      </c>
      <c r="AQ169" s="61">
        <f>IF(AQ154&gt;-AQ167,-AQ167,AQ154-AQ159)</f>
        <v>0</v>
      </c>
      <c r="AR169" s="61">
        <f>IF(AR154&gt;-AR167,-AR167,AR154-AR159)</f>
        <v>0</v>
      </c>
      <c r="AS169" s="61">
        <f>IF(AS154&gt;-AS167,-AS167,AS154-AS159)</f>
        <v>0</v>
      </c>
      <c r="AT169" s="61">
        <f>IF(AT154&gt;-AT167,-AT167,AT154-AT159)</f>
        <v>0</v>
      </c>
      <c r="AU169" s="61">
        <f>IF(AU154&gt;-AU167,-AU167,AU154-AU159)</f>
        <v>0</v>
      </c>
    </row>
    <row r="170" spans="1:49" ht="14.25" thickBot="1" x14ac:dyDescent="0.3">
      <c r="A170" s="13"/>
      <c r="B170" s="63"/>
      <c r="C170" s="143"/>
      <c r="I170" s="2"/>
      <c r="O170" s="3" t="s">
        <v>353</v>
      </c>
      <c r="P170" s="94">
        <f t="shared" ref="P170:AU170" si="93">SUM(P167:P169)</f>
        <v>0</v>
      </c>
      <c r="Q170" s="94">
        <f t="shared" si="93"/>
        <v>0</v>
      </c>
      <c r="R170" s="94">
        <f t="shared" si="93"/>
        <v>0</v>
      </c>
      <c r="S170" s="102">
        <f t="shared" si="93"/>
        <v>0</v>
      </c>
      <c r="T170" s="94">
        <f t="shared" si="93"/>
        <v>0</v>
      </c>
      <c r="U170" s="94">
        <f t="shared" si="93"/>
        <v>-4607042.6814166652</v>
      </c>
      <c r="V170" s="94">
        <f t="shared" si="93"/>
        <v>-5099347.5006025946</v>
      </c>
      <c r="W170" s="94">
        <f t="shared" si="93"/>
        <v>-6093853.7587153325</v>
      </c>
      <c r="X170" s="94">
        <f t="shared" si="93"/>
        <v>-7092807.1493854653</v>
      </c>
      <c r="Y170" s="94">
        <f t="shared" si="93"/>
        <v>-7996227.5588508341</v>
      </c>
      <c r="Z170" s="94">
        <f t="shared" si="93"/>
        <v>-8903687.7923828438</v>
      </c>
      <c r="AA170" s="94">
        <f t="shared" si="93"/>
        <v>-9816970.0940772593</v>
      </c>
      <c r="AB170" s="94">
        <f t="shared" si="93"/>
        <v>-10634517.277264826</v>
      </c>
      <c r="AC170" s="102">
        <f t="shared" si="93"/>
        <v>-11371043.384336323</v>
      </c>
      <c r="AD170" s="94">
        <f t="shared" si="93"/>
        <v>-8329204.915977804</v>
      </c>
      <c r="AE170" s="94">
        <f t="shared" si="93"/>
        <v>-5626730.5085995672</v>
      </c>
      <c r="AF170" s="94">
        <f t="shared" si="93"/>
        <v>-5655841.1089337738</v>
      </c>
      <c r="AG170" s="94">
        <f t="shared" si="93"/>
        <v>-3011910.6011930443</v>
      </c>
      <c r="AH170" s="94">
        <f t="shared" si="93"/>
        <v>-3028190.1716247192</v>
      </c>
      <c r="AI170" s="94">
        <f t="shared" si="93"/>
        <v>-321402.41408473905</v>
      </c>
      <c r="AJ170" s="94">
        <f t="shared" si="93"/>
        <v>-324479.54908137349</v>
      </c>
      <c r="AK170" s="94">
        <f t="shared" si="93"/>
        <v>-327622.98444204673</v>
      </c>
      <c r="AL170" s="94">
        <f t="shared" si="93"/>
        <v>-330782.34078399703</v>
      </c>
      <c r="AM170" s="94">
        <f t="shared" si="93"/>
        <v>0</v>
      </c>
      <c r="AN170" s="94">
        <f t="shared" si="93"/>
        <v>0</v>
      </c>
      <c r="AO170" s="94">
        <f t="shared" si="93"/>
        <v>0</v>
      </c>
      <c r="AP170" s="94">
        <f t="shared" si="93"/>
        <v>0</v>
      </c>
      <c r="AQ170" s="94">
        <f t="shared" si="93"/>
        <v>0</v>
      </c>
      <c r="AR170" s="94">
        <f t="shared" si="93"/>
        <v>0</v>
      </c>
      <c r="AS170" s="94">
        <f t="shared" si="93"/>
        <v>0</v>
      </c>
      <c r="AT170" s="94">
        <f t="shared" si="93"/>
        <v>0</v>
      </c>
      <c r="AU170" s="94">
        <f t="shared" si="93"/>
        <v>0</v>
      </c>
    </row>
    <row r="171" spans="1:49" ht="14.25" thickTop="1" x14ac:dyDescent="0.25">
      <c r="A171" s="13"/>
      <c r="B171" s="63"/>
      <c r="C171" s="13"/>
      <c r="I171" s="2"/>
      <c r="N171" s="144" t="s">
        <v>354</v>
      </c>
      <c r="P171" s="61"/>
      <c r="Q171" s="57">
        <v>7.4999999999999997E-3</v>
      </c>
      <c r="R171" s="57">
        <v>7.4999999999999997E-3</v>
      </c>
      <c r="S171" s="212">
        <v>7.4999999999999997E-3</v>
      </c>
      <c r="T171" s="57">
        <v>7.4999999999999997E-3</v>
      </c>
      <c r="U171" s="57">
        <v>0.01</v>
      </c>
      <c r="V171" s="57">
        <v>0.01</v>
      </c>
      <c r="W171" s="57">
        <v>0.01</v>
      </c>
      <c r="X171" s="57">
        <v>0.01</v>
      </c>
      <c r="Y171" s="57">
        <v>0.01</v>
      </c>
      <c r="Z171" s="57">
        <v>1.2500000000000001E-2</v>
      </c>
      <c r="AA171" s="57">
        <v>1.2500000000000001E-2</v>
      </c>
      <c r="AB171" s="57">
        <v>1.2500000000000001E-2</v>
      </c>
      <c r="AC171" s="212">
        <v>1.2500000000000001E-2</v>
      </c>
      <c r="AD171" s="57">
        <v>1.2500000000000001E-2</v>
      </c>
      <c r="AE171" s="57">
        <v>1.55E-2</v>
      </c>
      <c r="AF171" s="57">
        <v>1.55E-2</v>
      </c>
      <c r="AG171" s="57">
        <v>1.55E-2</v>
      </c>
      <c r="AH171" s="57">
        <v>1.55E-2</v>
      </c>
      <c r="AI171" s="57">
        <v>1.55E-2</v>
      </c>
      <c r="AJ171" s="57">
        <v>1.7500000000000002E-2</v>
      </c>
      <c r="AK171" s="57">
        <v>1.7500000000000002E-2</v>
      </c>
      <c r="AL171" s="57">
        <v>1.7500000000000002E-2</v>
      </c>
      <c r="AM171" s="57">
        <v>1.7500000000000002E-2</v>
      </c>
      <c r="AN171" s="57">
        <v>1.7500000000000002E-2</v>
      </c>
      <c r="AO171" s="57">
        <v>0.02</v>
      </c>
      <c r="AP171" s="57">
        <v>0.02</v>
      </c>
      <c r="AQ171" s="57">
        <v>0.02</v>
      </c>
      <c r="AR171" s="57">
        <v>0.02</v>
      </c>
      <c r="AS171" s="57">
        <v>0.02</v>
      </c>
      <c r="AT171" s="57">
        <v>0.02</v>
      </c>
      <c r="AU171" s="57">
        <v>0.02</v>
      </c>
    </row>
    <row r="172" spans="1:49" s="146" customFormat="1" x14ac:dyDescent="0.25">
      <c r="A172" s="145"/>
      <c r="N172" s="146" t="s">
        <v>242</v>
      </c>
      <c r="O172" s="146">
        <f>C20</f>
        <v>4.4999999999999998E-2</v>
      </c>
      <c r="P172" s="57"/>
      <c r="Q172" s="57">
        <f>O172</f>
        <v>4.4999999999999998E-2</v>
      </c>
      <c r="R172" s="57">
        <f>Q172</f>
        <v>4.4999999999999998E-2</v>
      </c>
      <c r="S172" s="212">
        <f t="shared" ref="S172:AU172" si="94">R172</f>
        <v>4.4999999999999998E-2</v>
      </c>
      <c r="T172" s="57">
        <f t="shared" si="94"/>
        <v>4.4999999999999998E-2</v>
      </c>
      <c r="U172" s="57">
        <f t="shared" si="94"/>
        <v>4.4999999999999998E-2</v>
      </c>
      <c r="V172" s="57">
        <f t="shared" si="94"/>
        <v>4.4999999999999998E-2</v>
      </c>
      <c r="W172" s="57">
        <f t="shared" si="94"/>
        <v>4.4999999999999998E-2</v>
      </c>
      <c r="X172" s="57">
        <f t="shared" si="94"/>
        <v>4.4999999999999998E-2</v>
      </c>
      <c r="Y172" s="57">
        <f t="shared" si="94"/>
        <v>4.4999999999999998E-2</v>
      </c>
      <c r="Z172" s="57">
        <f t="shared" si="94"/>
        <v>4.4999999999999998E-2</v>
      </c>
      <c r="AA172" s="57">
        <f t="shared" si="94"/>
        <v>4.4999999999999998E-2</v>
      </c>
      <c r="AB172" s="57">
        <f t="shared" si="94"/>
        <v>4.4999999999999998E-2</v>
      </c>
      <c r="AC172" s="212">
        <f t="shared" si="94"/>
        <v>4.4999999999999998E-2</v>
      </c>
      <c r="AD172" s="57">
        <f t="shared" si="94"/>
        <v>4.4999999999999998E-2</v>
      </c>
      <c r="AE172" s="57">
        <f t="shared" si="94"/>
        <v>4.4999999999999998E-2</v>
      </c>
      <c r="AF172" s="57">
        <f t="shared" si="94"/>
        <v>4.4999999999999998E-2</v>
      </c>
      <c r="AG172" s="57">
        <f t="shared" si="94"/>
        <v>4.4999999999999998E-2</v>
      </c>
      <c r="AH172" s="57">
        <f t="shared" si="94"/>
        <v>4.4999999999999998E-2</v>
      </c>
      <c r="AI172" s="57">
        <f t="shared" si="94"/>
        <v>4.4999999999999998E-2</v>
      </c>
      <c r="AJ172" s="57">
        <f t="shared" si="94"/>
        <v>4.4999999999999998E-2</v>
      </c>
      <c r="AK172" s="57">
        <f t="shared" si="94"/>
        <v>4.4999999999999998E-2</v>
      </c>
      <c r="AL172" s="57">
        <f t="shared" si="94"/>
        <v>4.4999999999999998E-2</v>
      </c>
      <c r="AM172" s="57">
        <f t="shared" si="94"/>
        <v>4.4999999999999998E-2</v>
      </c>
      <c r="AN172" s="57">
        <f t="shared" si="94"/>
        <v>4.4999999999999998E-2</v>
      </c>
      <c r="AO172" s="57">
        <f t="shared" si="94"/>
        <v>4.4999999999999998E-2</v>
      </c>
      <c r="AP172" s="57">
        <f t="shared" si="94"/>
        <v>4.4999999999999998E-2</v>
      </c>
      <c r="AQ172" s="57">
        <f t="shared" si="94"/>
        <v>4.4999999999999998E-2</v>
      </c>
      <c r="AR172" s="57">
        <f t="shared" si="94"/>
        <v>4.4999999999999998E-2</v>
      </c>
      <c r="AS172" s="57">
        <f t="shared" si="94"/>
        <v>4.4999999999999998E-2</v>
      </c>
      <c r="AT172" s="57">
        <f t="shared" si="94"/>
        <v>4.4999999999999998E-2</v>
      </c>
      <c r="AU172" s="57">
        <f t="shared" si="94"/>
        <v>4.4999999999999998E-2</v>
      </c>
    </row>
    <row r="173" spans="1:49" x14ac:dyDescent="0.25">
      <c r="A173" s="13"/>
      <c r="B173" s="63"/>
      <c r="C173" s="13"/>
      <c r="I173" s="2"/>
      <c r="N173" s="3" t="s">
        <v>355</v>
      </c>
      <c r="O173" s="36">
        <f>SUM(P173:AU173)</f>
        <v>-458766.85099436494</v>
      </c>
      <c r="P173" s="61">
        <f>P170*$E$189/12</f>
        <v>0</v>
      </c>
      <c r="Q173" s="61">
        <f>Q170*((1+Q172+Q171)^(1/12)-1)</f>
        <v>0</v>
      </c>
      <c r="R173" s="61">
        <f>R170*((1+R172+R171)^(1/12)-1)</f>
        <v>0</v>
      </c>
      <c r="S173" s="207">
        <f t="shared" ref="S173:AU173" si="95">S170*((1+S172+S171)^(1/12)-1)</f>
        <v>0</v>
      </c>
      <c r="T173" s="61">
        <f t="shared" si="95"/>
        <v>0</v>
      </c>
      <c r="U173" s="61">
        <f t="shared" si="95"/>
        <v>-20601.307769261879</v>
      </c>
      <c r="V173" s="61">
        <f t="shared" si="95"/>
        <v>-22802.746696070659</v>
      </c>
      <c r="W173" s="61">
        <f t="shared" si="95"/>
        <v>-27249.879253465897</v>
      </c>
      <c r="X173" s="61">
        <f t="shared" si="95"/>
        <v>-31716.898048701983</v>
      </c>
      <c r="Y173" s="61">
        <f t="shared" si="95"/>
        <v>-35756.722115342833</v>
      </c>
      <c r="Z173" s="61">
        <f t="shared" si="95"/>
        <v>-41578.7902777489</v>
      </c>
      <c r="AA173" s="61">
        <f t="shared" si="95"/>
        <v>-45843.671770900328</v>
      </c>
      <c r="AB173" s="61">
        <f t="shared" si="95"/>
        <v>-49661.485654828408</v>
      </c>
      <c r="AC173" s="207">
        <f t="shared" si="95"/>
        <v>-53100.944141480591</v>
      </c>
      <c r="AD173" s="61">
        <f t="shared" si="95"/>
        <v>-38896.04762176337</v>
      </c>
      <c r="AE173" s="61">
        <f t="shared" si="95"/>
        <v>-27610.600334206865</v>
      </c>
      <c r="AF173" s="61">
        <f t="shared" si="95"/>
        <v>-27753.44725927075</v>
      </c>
      <c r="AG173" s="61">
        <f t="shared" si="95"/>
        <v>-14779.570431675013</v>
      </c>
      <c r="AH173" s="61">
        <f t="shared" si="95"/>
        <v>-14859.454960019595</v>
      </c>
      <c r="AI173" s="61">
        <f t="shared" si="95"/>
        <v>-1577.1349966344239</v>
      </c>
      <c r="AJ173" s="61">
        <f t="shared" si="95"/>
        <v>-1643.4353606732218</v>
      </c>
      <c r="AK173" s="61">
        <f t="shared" si="95"/>
        <v>-1659.356341950305</v>
      </c>
      <c r="AL173" s="61">
        <f t="shared" si="95"/>
        <v>-1675.3579603697951</v>
      </c>
      <c r="AM173" s="61">
        <f t="shared" si="95"/>
        <v>0</v>
      </c>
      <c r="AN173" s="61">
        <f t="shared" si="95"/>
        <v>0</v>
      </c>
      <c r="AO173" s="61">
        <f t="shared" si="95"/>
        <v>0</v>
      </c>
      <c r="AP173" s="61">
        <f t="shared" si="95"/>
        <v>0</v>
      </c>
      <c r="AQ173" s="61">
        <f t="shared" si="95"/>
        <v>0</v>
      </c>
      <c r="AR173" s="61">
        <f t="shared" si="95"/>
        <v>0</v>
      </c>
      <c r="AS173" s="61">
        <f t="shared" si="95"/>
        <v>0</v>
      </c>
      <c r="AT173" s="61">
        <f t="shared" si="95"/>
        <v>0</v>
      </c>
      <c r="AU173" s="61">
        <f t="shared" si="95"/>
        <v>0</v>
      </c>
    </row>
    <row r="174" spans="1:49" x14ac:dyDescent="0.25">
      <c r="A174" s="13"/>
      <c r="B174" s="63"/>
      <c r="C174" s="13"/>
      <c r="Q174" s="61"/>
      <c r="R174" s="61"/>
      <c r="S174" s="207"/>
      <c r="T174" s="61"/>
      <c r="U174" s="61"/>
      <c r="V174" s="61"/>
      <c r="W174" s="61"/>
      <c r="X174" s="61"/>
      <c r="Y174" s="61"/>
      <c r="Z174" s="61"/>
      <c r="AA174" s="61"/>
      <c r="AB174" s="61"/>
      <c r="AC174" s="207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</row>
    <row r="175" spans="1:49" ht="14.25" thickBot="1" x14ac:dyDescent="0.3">
      <c r="A175" s="13"/>
      <c r="B175" s="147"/>
      <c r="C175" s="13"/>
      <c r="N175" s="148" t="s">
        <v>356</v>
      </c>
      <c r="O175" s="149"/>
      <c r="P175" s="149"/>
      <c r="Q175" s="94">
        <f t="shared" ref="Q175:AU175" si="96">IF(AND(Q41&lt;$O$150,Q41&gt;$N$149),($D$17+Q170),0)</f>
        <v>0</v>
      </c>
      <c r="R175" s="94">
        <f t="shared" si="96"/>
        <v>0</v>
      </c>
      <c r="S175" s="102">
        <f t="shared" si="96"/>
        <v>0</v>
      </c>
      <c r="T175" s="94">
        <f t="shared" si="96"/>
        <v>0</v>
      </c>
      <c r="U175" s="94">
        <f t="shared" si="96"/>
        <v>0</v>
      </c>
      <c r="V175" s="94">
        <f t="shared" si="96"/>
        <v>6393990.0243974058</v>
      </c>
      <c r="W175" s="94">
        <f t="shared" si="96"/>
        <v>5399483.7662846679</v>
      </c>
      <c r="X175" s="94">
        <f t="shared" si="96"/>
        <v>4400530.3756145351</v>
      </c>
      <c r="Y175" s="94">
        <f t="shared" si="96"/>
        <v>3497109.9661491662</v>
      </c>
      <c r="Z175" s="94">
        <f t="shared" si="96"/>
        <v>2589649.7326171566</v>
      </c>
      <c r="AA175" s="94">
        <f t="shared" si="96"/>
        <v>1676367.4309227411</v>
      </c>
      <c r="AB175" s="94">
        <f t="shared" si="96"/>
        <v>858820.24773517437</v>
      </c>
      <c r="AC175" s="102">
        <f t="shared" si="96"/>
        <v>122294.14066367783</v>
      </c>
      <c r="AD175" s="94">
        <f t="shared" si="96"/>
        <v>3164132.6090221964</v>
      </c>
      <c r="AE175" s="94">
        <f t="shared" si="96"/>
        <v>5866607.0164004331</v>
      </c>
      <c r="AF175" s="94">
        <f t="shared" si="96"/>
        <v>5837496.4160662265</v>
      </c>
      <c r="AG175" s="94">
        <f t="shared" si="96"/>
        <v>8481426.923806956</v>
      </c>
      <c r="AH175" s="94">
        <f t="shared" si="96"/>
        <v>8465147.3533752821</v>
      </c>
      <c r="AI175" s="94">
        <f t="shared" si="96"/>
        <v>11171935.110915262</v>
      </c>
      <c r="AJ175" s="94">
        <f t="shared" si="96"/>
        <v>11168857.975918626</v>
      </c>
      <c r="AK175" s="94">
        <f t="shared" si="96"/>
        <v>11165714.540557954</v>
      </c>
      <c r="AL175" s="94">
        <f t="shared" si="96"/>
        <v>11162555.184216004</v>
      </c>
      <c r="AM175" s="94">
        <f t="shared" si="96"/>
        <v>0</v>
      </c>
      <c r="AN175" s="94">
        <f t="shared" si="96"/>
        <v>0</v>
      </c>
      <c r="AO175" s="94">
        <f t="shared" si="96"/>
        <v>0</v>
      </c>
      <c r="AP175" s="94">
        <f t="shared" si="96"/>
        <v>0</v>
      </c>
      <c r="AQ175" s="94">
        <f t="shared" si="96"/>
        <v>0</v>
      </c>
      <c r="AR175" s="94">
        <f t="shared" si="96"/>
        <v>0</v>
      </c>
      <c r="AS175" s="94">
        <f t="shared" si="96"/>
        <v>0</v>
      </c>
      <c r="AT175" s="94">
        <f t="shared" si="96"/>
        <v>0</v>
      </c>
      <c r="AU175" s="94">
        <f t="shared" si="96"/>
        <v>0</v>
      </c>
    </row>
    <row r="176" spans="1:49" ht="14.25" thickTop="1" x14ac:dyDescent="0.25">
      <c r="A176" s="13"/>
      <c r="B176" s="63"/>
      <c r="C176" s="13"/>
      <c r="J176" s="150"/>
      <c r="Q176" s="61"/>
      <c r="R176" s="61"/>
      <c r="S176" s="207"/>
      <c r="T176" s="61"/>
      <c r="U176" s="61"/>
      <c r="V176" s="61"/>
      <c r="W176" s="61"/>
      <c r="X176" s="61"/>
      <c r="Y176" s="61"/>
      <c r="Z176" s="61"/>
      <c r="AA176" s="61"/>
      <c r="AB176" s="61"/>
      <c r="AC176" s="207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</row>
    <row r="177" spans="1:47" ht="14.25" thickBot="1" x14ac:dyDescent="0.3">
      <c r="A177" s="13"/>
      <c r="B177" s="63"/>
      <c r="C177" s="13"/>
      <c r="P177" s="146"/>
      <c r="Q177" s="36"/>
      <c r="R177" s="36"/>
      <c r="S177" s="209"/>
      <c r="T177" s="36"/>
      <c r="U177" s="36"/>
      <c r="V177" s="36"/>
      <c r="W177" s="36"/>
      <c r="X177" s="36"/>
      <c r="Y177" s="36"/>
      <c r="Z177" s="36"/>
      <c r="AA177" s="36"/>
      <c r="AB177" s="36"/>
      <c r="AC177" s="209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 spans="1:47" ht="14.25" thickBot="1" x14ac:dyDescent="0.3">
      <c r="A178" s="13"/>
      <c r="B178" s="63"/>
      <c r="C178" s="13"/>
      <c r="J178" s="70"/>
      <c r="K178" s="173">
        <f>XIRR(Q178:AU178,Q41:AU41)</f>
        <v>0.29954790472984316</v>
      </c>
      <c r="L178" s="174">
        <f>SUM(Q178:AU178)</f>
        <v>3990422.3400056325</v>
      </c>
      <c r="N178" s="148" t="s">
        <v>357</v>
      </c>
      <c r="O178" s="149"/>
      <c r="P178" s="149"/>
      <c r="Q178" s="140">
        <f t="shared" ref="Q178:AU178" si="97">Q164</f>
        <v>-9243039.1699999999</v>
      </c>
      <c r="R178" s="140">
        <f t="shared" si="97"/>
        <v>-80766.666666666672</v>
      </c>
      <c r="S178" s="213">
        <f t="shared" si="97"/>
        <v>-80766.666666666672</v>
      </c>
      <c r="T178" s="140">
        <f t="shared" si="97"/>
        <v>-80766.666666666672</v>
      </c>
      <c r="U178" s="140">
        <f t="shared" si="97"/>
        <v>4085339.1699999981</v>
      </c>
      <c r="V178" s="140">
        <f t="shared" si="97"/>
        <v>0</v>
      </c>
      <c r="W178" s="140">
        <f t="shared" si="97"/>
        <v>0</v>
      </c>
      <c r="X178" s="140">
        <f t="shared" si="97"/>
        <v>0</v>
      </c>
      <c r="Y178" s="140">
        <f t="shared" si="97"/>
        <v>0</v>
      </c>
      <c r="Z178" s="140">
        <f t="shared" si="97"/>
        <v>0</v>
      </c>
      <c r="AA178" s="140">
        <f t="shared" si="97"/>
        <v>0</v>
      </c>
      <c r="AB178" s="140">
        <f t="shared" si="97"/>
        <v>0</v>
      </c>
      <c r="AC178" s="213">
        <f t="shared" si="97"/>
        <v>0</v>
      </c>
      <c r="AD178" s="140">
        <f t="shared" si="97"/>
        <v>0</v>
      </c>
      <c r="AE178" s="140">
        <f t="shared" si="97"/>
        <v>0</v>
      </c>
      <c r="AF178" s="140">
        <f t="shared" si="97"/>
        <v>0</v>
      </c>
      <c r="AG178" s="140">
        <f t="shared" si="97"/>
        <v>0</v>
      </c>
      <c r="AH178" s="140">
        <f t="shared" si="97"/>
        <v>0</v>
      </c>
      <c r="AI178" s="140">
        <f t="shared" si="97"/>
        <v>0</v>
      </c>
      <c r="AJ178" s="140">
        <f t="shared" si="97"/>
        <v>0</v>
      </c>
      <c r="AK178" s="140">
        <f t="shared" si="97"/>
        <v>0</v>
      </c>
      <c r="AL178" s="140">
        <f t="shared" si="97"/>
        <v>0</v>
      </c>
      <c r="AM178" s="140">
        <f t="shared" si="97"/>
        <v>4625549.3350056326</v>
      </c>
      <c r="AN178" s="140">
        <f t="shared" si="97"/>
        <v>3667670.895</v>
      </c>
      <c r="AO178" s="140">
        <f t="shared" si="97"/>
        <v>1098702.1100000001</v>
      </c>
      <c r="AP178" s="140">
        <f t="shared" si="97"/>
        <v>-1500</v>
      </c>
      <c r="AQ178" s="140">
        <f t="shared" si="97"/>
        <v>0</v>
      </c>
      <c r="AR178" s="140">
        <f t="shared" si="97"/>
        <v>0</v>
      </c>
      <c r="AS178" s="140">
        <f t="shared" si="97"/>
        <v>0</v>
      </c>
      <c r="AT178" s="140">
        <f t="shared" si="97"/>
        <v>0</v>
      </c>
      <c r="AU178" s="140">
        <f t="shared" si="97"/>
        <v>0</v>
      </c>
    </row>
    <row r="179" spans="1:47" x14ac:dyDescent="0.25">
      <c r="A179" s="13"/>
      <c r="B179" s="63"/>
      <c r="C179" s="13"/>
      <c r="J179" s="70"/>
    </row>
    <row r="180" spans="1:47" x14ac:dyDescent="0.25">
      <c r="H180" s="151"/>
      <c r="I180" s="151"/>
      <c r="J180" s="151"/>
    </row>
    <row r="190" spans="1:47" x14ac:dyDescent="0.25">
      <c r="A190" s="13"/>
      <c r="B190" s="2"/>
      <c r="H190" s="70"/>
    </row>
    <row r="191" spans="1:47" x14ac:dyDescent="0.25">
      <c r="A191" s="13"/>
      <c r="B191" s="2"/>
      <c r="H191" s="70"/>
    </row>
    <row r="192" spans="1:47" x14ac:dyDescent="0.25">
      <c r="G192" s="151"/>
      <c r="H192" s="151"/>
    </row>
    <row r="193" spans="1:10" x14ac:dyDescent="0.25">
      <c r="G193" s="151"/>
      <c r="H193" s="151"/>
    </row>
    <row r="194" spans="1:10" x14ac:dyDescent="0.25">
      <c r="G194" s="151"/>
      <c r="H194" s="151"/>
    </row>
    <row r="195" spans="1:10" x14ac:dyDescent="0.25">
      <c r="G195" s="151"/>
      <c r="H195" s="151"/>
    </row>
    <row r="196" spans="1:10" x14ac:dyDescent="0.25">
      <c r="G196" s="151"/>
      <c r="H196" s="151"/>
    </row>
    <row r="197" spans="1:10" x14ac:dyDescent="0.25">
      <c r="A197" s="2"/>
      <c r="B197" s="2"/>
      <c r="E197" s="3"/>
      <c r="F197" s="3"/>
      <c r="G197" s="151"/>
      <c r="H197" s="151"/>
      <c r="I197" s="151"/>
      <c r="J197" s="151"/>
    </row>
    <row r="198" spans="1:10" x14ac:dyDescent="0.25">
      <c r="A198" s="13"/>
      <c r="B198" s="2"/>
      <c r="G198" s="151"/>
      <c r="H198" s="151"/>
      <c r="I198" s="151"/>
      <c r="J198" s="151"/>
    </row>
  </sheetData>
  <mergeCells count="3">
    <mergeCell ref="B1:C1"/>
    <mergeCell ref="B2:C2"/>
    <mergeCell ref="C3:D3"/>
  </mergeCells>
  <dataValidations disablePrompts="1" count="3">
    <dataValidation type="list" allowBlank="1" showInputMessage="1" showErrorMessage="1" sqref="A42:A53">
      <formula1>"Leasehold, Freehold"</formula1>
    </dataValidation>
    <dataValidation type="list" allowBlank="1" showInputMessage="1" showErrorMessage="1" sqref="D63">
      <formula1>"Yes,No"</formula1>
    </dataValidation>
    <dataValidation type="list" allowBlank="1" showInputMessage="1" showErrorMessage="1" sqref="N75:N88 N91:N97 N99:N110 N60 O147 N42:N54 N114:N151 N62:N72">
      <formula1>$Q$41:$AU$41</formula1>
    </dataValidation>
  </dataValidations>
  <pageMargins left="0.25" right="0.25" top="0.75" bottom="0.75" header="0.3" footer="0.3"/>
  <pageSetup paperSize="8" scale="23" orientation="landscape" r:id="rId1"/>
  <headerFooter alignWithMargins="0">
    <oddHeader>&amp;L&amp;"Tahoma,Bold"&amp;10&amp;A</oddHeader>
    <oddFooter>&amp;L&amp;F&amp;R&amp;D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76"/>
  <sheetViews>
    <sheetView workbookViewId="0"/>
  </sheetViews>
  <sheetFormatPr defaultRowHeight="15" x14ac:dyDescent="0.25"/>
  <cols>
    <col min="1" max="1" width="36.42578125" customWidth="1"/>
    <col min="3" max="3" width="38.42578125" customWidth="1"/>
    <col min="4" max="4" width="14.85546875" style="204" customWidth="1"/>
    <col min="8" max="8" width="15.85546875" customWidth="1"/>
    <col min="9" max="9" width="11.140625" customWidth="1"/>
    <col min="10" max="10" width="22.28515625" customWidth="1"/>
    <col min="11" max="11" width="56.140625" customWidth="1"/>
  </cols>
  <sheetData>
    <row r="1" spans="1:14" x14ac:dyDescent="0.25">
      <c r="A1" s="172" t="s">
        <v>358</v>
      </c>
      <c r="B1" s="172" t="s">
        <v>359</v>
      </c>
      <c r="C1" s="172" t="s">
        <v>360</v>
      </c>
    </row>
    <row r="2" spans="1:14" x14ac:dyDescent="0.25">
      <c r="A2" s="170" t="s">
        <v>361</v>
      </c>
      <c r="B2" s="170" t="s">
        <v>362</v>
      </c>
      <c r="C2" s="170" t="s">
        <v>363</v>
      </c>
      <c r="D2" s="204" t="s">
        <v>364</v>
      </c>
      <c r="E2" s="170" t="s">
        <v>365</v>
      </c>
      <c r="F2" s="170" t="s">
        <v>366</v>
      </c>
      <c r="G2" s="170" t="s">
        <v>367</v>
      </c>
      <c r="H2" s="170" t="s">
        <v>368</v>
      </c>
      <c r="I2" s="170" t="s">
        <v>369</v>
      </c>
      <c r="J2" s="170" t="s">
        <v>370</v>
      </c>
      <c r="K2" s="170" t="s">
        <v>371</v>
      </c>
      <c r="L2" s="170" t="s">
        <v>372</v>
      </c>
      <c r="M2" s="170" t="s">
        <v>373</v>
      </c>
      <c r="N2" t="s">
        <v>374</v>
      </c>
    </row>
    <row r="3" spans="1:14" x14ac:dyDescent="0.25">
      <c r="A3" t="s">
        <v>375</v>
      </c>
      <c r="B3" t="s">
        <v>376</v>
      </c>
      <c r="C3" t="s">
        <v>377</v>
      </c>
      <c r="D3" s="204">
        <v>8150000</v>
      </c>
      <c r="E3">
        <v>0</v>
      </c>
      <c r="F3">
        <v>191</v>
      </c>
      <c r="G3" t="s">
        <v>378</v>
      </c>
      <c r="H3" s="171">
        <v>43385</v>
      </c>
      <c r="I3" t="s">
        <v>376</v>
      </c>
      <c r="J3" t="s">
        <v>379</v>
      </c>
      <c r="K3" t="s">
        <v>380</v>
      </c>
      <c r="L3">
        <v>2</v>
      </c>
      <c r="M3" t="s">
        <v>381</v>
      </c>
      <c r="N3">
        <v>1.1000000000000001</v>
      </c>
    </row>
    <row r="4" spans="1:14" x14ac:dyDescent="0.25">
      <c r="A4" t="s">
        <v>375</v>
      </c>
      <c r="B4" t="s">
        <v>382</v>
      </c>
      <c r="C4" t="s">
        <v>383</v>
      </c>
      <c r="D4" s="204">
        <v>397000</v>
      </c>
      <c r="E4">
        <v>0</v>
      </c>
      <c r="F4">
        <v>193</v>
      </c>
      <c r="G4" t="s">
        <v>378</v>
      </c>
      <c r="H4" s="171">
        <v>43385</v>
      </c>
      <c r="I4" t="s">
        <v>382</v>
      </c>
      <c r="J4" t="s">
        <v>379</v>
      </c>
      <c r="K4" t="s">
        <v>380</v>
      </c>
      <c r="L4">
        <v>2</v>
      </c>
      <c r="M4" t="s">
        <v>381</v>
      </c>
      <c r="N4">
        <v>1.2</v>
      </c>
    </row>
    <row r="5" spans="1:14" x14ac:dyDescent="0.25">
      <c r="A5" t="s">
        <v>375</v>
      </c>
      <c r="B5" t="s">
        <v>384</v>
      </c>
      <c r="C5" t="s">
        <v>385</v>
      </c>
      <c r="D5" s="204">
        <v>17248.54</v>
      </c>
      <c r="E5">
        <v>0</v>
      </c>
      <c r="F5">
        <v>254</v>
      </c>
      <c r="G5" t="s">
        <v>378</v>
      </c>
      <c r="H5" s="171">
        <v>43385</v>
      </c>
      <c r="I5" t="s">
        <v>384</v>
      </c>
      <c r="J5" t="s">
        <v>386</v>
      </c>
      <c r="K5" t="s">
        <v>387</v>
      </c>
      <c r="L5">
        <v>2</v>
      </c>
      <c r="M5" t="s">
        <v>381</v>
      </c>
      <c r="N5">
        <v>1.4</v>
      </c>
    </row>
    <row r="6" spans="1:14" x14ac:dyDescent="0.25">
      <c r="A6" t="s">
        <v>375</v>
      </c>
      <c r="B6" t="s">
        <v>388</v>
      </c>
      <c r="C6" t="s">
        <v>389</v>
      </c>
      <c r="D6" s="204">
        <v>40750</v>
      </c>
      <c r="E6">
        <v>0</v>
      </c>
      <c r="F6">
        <v>256</v>
      </c>
      <c r="G6" t="s">
        <v>378</v>
      </c>
      <c r="H6" s="171">
        <v>43385</v>
      </c>
      <c r="I6" t="s">
        <v>388</v>
      </c>
      <c r="J6" t="s">
        <v>386</v>
      </c>
      <c r="K6" t="s">
        <v>390</v>
      </c>
      <c r="L6">
        <v>2</v>
      </c>
      <c r="M6" t="s">
        <v>381</v>
      </c>
      <c r="N6">
        <v>1.3</v>
      </c>
    </row>
    <row r="7" spans="1:14" x14ac:dyDescent="0.25">
      <c r="A7" t="s">
        <v>375</v>
      </c>
      <c r="B7" t="s">
        <v>391</v>
      </c>
      <c r="C7" t="s">
        <v>392</v>
      </c>
      <c r="D7" s="204">
        <v>495</v>
      </c>
      <c r="E7">
        <v>0</v>
      </c>
      <c r="F7">
        <v>192</v>
      </c>
      <c r="G7" t="s">
        <v>378</v>
      </c>
      <c r="H7" s="171">
        <v>43385</v>
      </c>
      <c r="I7" t="s">
        <v>391</v>
      </c>
      <c r="J7" t="s">
        <v>379</v>
      </c>
      <c r="K7" t="s">
        <v>380</v>
      </c>
      <c r="L7">
        <v>2</v>
      </c>
      <c r="M7" t="s">
        <v>381</v>
      </c>
      <c r="N7">
        <v>1.4</v>
      </c>
    </row>
    <row r="8" spans="1:14" x14ac:dyDescent="0.25">
      <c r="A8" t="s">
        <v>375</v>
      </c>
      <c r="B8" t="s">
        <v>393</v>
      </c>
      <c r="C8" t="s">
        <v>394</v>
      </c>
      <c r="D8" s="204">
        <v>12885</v>
      </c>
      <c r="E8">
        <v>0</v>
      </c>
      <c r="F8">
        <v>257</v>
      </c>
      <c r="G8" t="s">
        <v>378</v>
      </c>
      <c r="H8" s="171">
        <v>43385</v>
      </c>
      <c r="I8" t="s">
        <v>393</v>
      </c>
      <c r="J8" t="s">
        <v>386</v>
      </c>
      <c r="K8" t="s">
        <v>395</v>
      </c>
      <c r="L8">
        <v>2</v>
      </c>
      <c r="M8" t="s">
        <v>381</v>
      </c>
      <c r="N8">
        <v>1.8</v>
      </c>
    </row>
    <row r="9" spans="1:14" x14ac:dyDescent="0.25">
      <c r="A9" t="s">
        <v>375</v>
      </c>
      <c r="B9" t="s">
        <v>393</v>
      </c>
      <c r="C9" t="s">
        <v>394</v>
      </c>
      <c r="D9" s="204">
        <v>3945</v>
      </c>
      <c r="E9">
        <v>0</v>
      </c>
      <c r="F9">
        <v>253</v>
      </c>
      <c r="G9" t="s">
        <v>378</v>
      </c>
      <c r="H9" s="171">
        <v>43385</v>
      </c>
      <c r="I9" t="s">
        <v>393</v>
      </c>
      <c r="J9" t="s">
        <v>386</v>
      </c>
      <c r="K9" t="s">
        <v>396</v>
      </c>
      <c r="L9">
        <v>2</v>
      </c>
      <c r="M9" t="s">
        <v>381</v>
      </c>
      <c r="N9">
        <v>1.8</v>
      </c>
    </row>
    <row r="10" spans="1:14" x14ac:dyDescent="0.25">
      <c r="A10" t="s">
        <v>375</v>
      </c>
      <c r="B10" t="s">
        <v>393</v>
      </c>
      <c r="C10" t="s">
        <v>394</v>
      </c>
      <c r="D10" s="204">
        <v>2915</v>
      </c>
      <c r="E10">
        <v>0</v>
      </c>
      <c r="F10">
        <v>255</v>
      </c>
      <c r="G10" t="s">
        <v>378</v>
      </c>
      <c r="H10" s="171">
        <v>43385</v>
      </c>
      <c r="I10" t="s">
        <v>393</v>
      </c>
      <c r="J10" t="s">
        <v>386</v>
      </c>
      <c r="K10" t="s">
        <v>397</v>
      </c>
      <c r="L10">
        <v>2</v>
      </c>
      <c r="M10" t="s">
        <v>381</v>
      </c>
      <c r="N10">
        <v>1.8</v>
      </c>
    </row>
    <row r="11" spans="1:14" x14ac:dyDescent="0.25">
      <c r="A11" t="s">
        <v>375</v>
      </c>
      <c r="B11" t="s">
        <v>398</v>
      </c>
      <c r="C11" t="s">
        <v>399</v>
      </c>
      <c r="D11" s="204">
        <v>3820</v>
      </c>
      <c r="E11">
        <v>0</v>
      </c>
      <c r="F11">
        <v>266</v>
      </c>
      <c r="G11" t="s">
        <v>378</v>
      </c>
      <c r="H11" s="171">
        <v>43497</v>
      </c>
      <c r="I11" t="s">
        <v>398</v>
      </c>
      <c r="J11" t="s">
        <v>400</v>
      </c>
      <c r="K11" t="s">
        <v>401</v>
      </c>
      <c r="L11">
        <v>2</v>
      </c>
      <c r="M11" t="s">
        <v>381</v>
      </c>
      <c r="N11">
        <v>1.6</v>
      </c>
    </row>
    <row r="12" spans="1:14" x14ac:dyDescent="0.25">
      <c r="A12" t="s">
        <v>375</v>
      </c>
      <c r="B12" t="s">
        <v>402</v>
      </c>
      <c r="C12" t="s">
        <v>403</v>
      </c>
      <c r="D12" s="204">
        <v>41.32</v>
      </c>
      <c r="E12">
        <v>0</v>
      </c>
      <c r="F12">
        <v>471</v>
      </c>
      <c r="G12" t="s">
        <v>378</v>
      </c>
      <c r="H12" s="171">
        <v>43616</v>
      </c>
      <c r="I12" t="s">
        <v>402</v>
      </c>
      <c r="J12" t="s">
        <v>400</v>
      </c>
      <c r="K12" t="s">
        <v>404</v>
      </c>
      <c r="L12">
        <v>2</v>
      </c>
      <c r="M12" t="s">
        <v>381</v>
      </c>
      <c r="N12">
        <v>1.9</v>
      </c>
    </row>
    <row r="13" spans="1:14" x14ac:dyDescent="0.25">
      <c r="A13" t="s">
        <v>375</v>
      </c>
      <c r="B13" t="s">
        <v>402</v>
      </c>
      <c r="C13" t="s">
        <v>403</v>
      </c>
      <c r="D13" s="204">
        <v>41.32</v>
      </c>
      <c r="E13">
        <v>0</v>
      </c>
      <c r="F13">
        <v>566</v>
      </c>
      <c r="G13" t="s">
        <v>378</v>
      </c>
      <c r="H13" s="171">
        <v>43677</v>
      </c>
      <c r="I13" t="s">
        <v>402</v>
      </c>
      <c r="J13" t="s">
        <v>400</v>
      </c>
      <c r="K13" t="s">
        <v>405</v>
      </c>
      <c r="L13">
        <v>2</v>
      </c>
      <c r="M13" t="s">
        <v>381</v>
      </c>
      <c r="N13">
        <v>1.9</v>
      </c>
    </row>
    <row r="14" spans="1:14" x14ac:dyDescent="0.25">
      <c r="A14" t="s">
        <v>375</v>
      </c>
      <c r="B14" t="s">
        <v>402</v>
      </c>
      <c r="C14" t="s">
        <v>403</v>
      </c>
      <c r="D14" s="204">
        <v>41.32</v>
      </c>
      <c r="E14">
        <v>0</v>
      </c>
      <c r="F14">
        <v>607</v>
      </c>
      <c r="G14" t="s">
        <v>378</v>
      </c>
      <c r="H14" s="171">
        <v>43708</v>
      </c>
      <c r="I14" t="s">
        <v>402</v>
      </c>
      <c r="J14" t="s">
        <v>400</v>
      </c>
      <c r="K14" t="s">
        <v>406</v>
      </c>
      <c r="L14">
        <v>2</v>
      </c>
      <c r="M14" t="s">
        <v>381</v>
      </c>
      <c r="N14">
        <v>1.9</v>
      </c>
    </row>
    <row r="15" spans="1:14" x14ac:dyDescent="0.25">
      <c r="A15" t="s">
        <v>375</v>
      </c>
      <c r="B15" t="s">
        <v>402</v>
      </c>
      <c r="C15" t="s">
        <v>403</v>
      </c>
      <c r="D15" s="204">
        <v>41.32</v>
      </c>
      <c r="E15">
        <v>0</v>
      </c>
      <c r="F15">
        <v>681</v>
      </c>
      <c r="G15" t="s">
        <v>378</v>
      </c>
      <c r="H15" s="171">
        <v>43769</v>
      </c>
      <c r="I15" t="s">
        <v>402</v>
      </c>
      <c r="J15" t="s">
        <v>407</v>
      </c>
      <c r="K15" t="s">
        <v>405</v>
      </c>
      <c r="L15">
        <v>2</v>
      </c>
      <c r="M15" t="s">
        <v>381</v>
      </c>
      <c r="N15">
        <v>1.9</v>
      </c>
    </row>
    <row r="16" spans="1:14" x14ac:dyDescent="0.25">
      <c r="A16" t="s">
        <v>375</v>
      </c>
      <c r="B16" t="s">
        <v>402</v>
      </c>
      <c r="C16" t="s">
        <v>403</v>
      </c>
      <c r="D16" s="204">
        <v>41.32</v>
      </c>
      <c r="E16">
        <v>0</v>
      </c>
      <c r="F16">
        <v>685</v>
      </c>
      <c r="G16" t="s">
        <v>378</v>
      </c>
      <c r="H16" s="171">
        <v>43830</v>
      </c>
      <c r="I16" t="s">
        <v>402</v>
      </c>
      <c r="J16" t="s">
        <v>407</v>
      </c>
      <c r="K16" t="s">
        <v>405</v>
      </c>
      <c r="L16">
        <v>2</v>
      </c>
      <c r="M16" t="s">
        <v>381</v>
      </c>
      <c r="N16">
        <v>1.9</v>
      </c>
    </row>
    <row r="17" spans="1:14" x14ac:dyDescent="0.25">
      <c r="A17" t="s">
        <v>375</v>
      </c>
      <c r="B17" t="s">
        <v>402</v>
      </c>
      <c r="C17" t="s">
        <v>403</v>
      </c>
      <c r="D17" s="204">
        <v>39.99</v>
      </c>
      <c r="E17">
        <v>0</v>
      </c>
      <c r="F17">
        <v>469</v>
      </c>
      <c r="G17" t="s">
        <v>378</v>
      </c>
      <c r="H17" s="171">
        <v>43585</v>
      </c>
      <c r="I17" t="s">
        <v>402</v>
      </c>
      <c r="J17" t="s">
        <v>400</v>
      </c>
      <c r="K17" t="s">
        <v>408</v>
      </c>
      <c r="L17">
        <v>2</v>
      </c>
      <c r="M17" t="s">
        <v>381</v>
      </c>
      <c r="N17">
        <v>1.9</v>
      </c>
    </row>
    <row r="18" spans="1:14" x14ac:dyDescent="0.25">
      <c r="A18" t="s">
        <v>375</v>
      </c>
      <c r="B18" t="s">
        <v>402</v>
      </c>
      <c r="C18" t="s">
        <v>403</v>
      </c>
      <c r="D18" s="204">
        <v>39.99</v>
      </c>
      <c r="E18">
        <v>0</v>
      </c>
      <c r="F18">
        <v>473</v>
      </c>
      <c r="G18" t="s">
        <v>378</v>
      </c>
      <c r="H18" s="171">
        <v>43646</v>
      </c>
      <c r="I18" t="s">
        <v>402</v>
      </c>
      <c r="J18" t="s">
        <v>400</v>
      </c>
      <c r="K18" t="s">
        <v>404</v>
      </c>
      <c r="L18">
        <v>2</v>
      </c>
      <c r="M18" t="s">
        <v>381</v>
      </c>
      <c r="N18">
        <v>1.9</v>
      </c>
    </row>
    <row r="19" spans="1:14" x14ac:dyDescent="0.25">
      <c r="A19" t="s">
        <v>375</v>
      </c>
      <c r="B19" t="s">
        <v>402</v>
      </c>
      <c r="C19" t="s">
        <v>403</v>
      </c>
      <c r="D19" s="204">
        <v>39.99</v>
      </c>
      <c r="E19">
        <v>0</v>
      </c>
      <c r="F19">
        <v>609</v>
      </c>
      <c r="G19" t="s">
        <v>378</v>
      </c>
      <c r="H19" s="171">
        <v>43738</v>
      </c>
      <c r="I19" t="s">
        <v>402</v>
      </c>
      <c r="J19" t="s">
        <v>400</v>
      </c>
      <c r="K19" t="s">
        <v>406</v>
      </c>
      <c r="L19">
        <v>2</v>
      </c>
      <c r="M19" t="s">
        <v>381</v>
      </c>
      <c r="N19">
        <v>1.9</v>
      </c>
    </row>
    <row r="20" spans="1:14" x14ac:dyDescent="0.25">
      <c r="A20" t="s">
        <v>375</v>
      </c>
      <c r="B20" t="s">
        <v>402</v>
      </c>
      <c r="C20" t="s">
        <v>403</v>
      </c>
      <c r="D20" s="204">
        <v>39.99</v>
      </c>
      <c r="E20">
        <v>0</v>
      </c>
      <c r="F20">
        <v>683</v>
      </c>
      <c r="G20" t="s">
        <v>378</v>
      </c>
      <c r="H20" s="171">
        <v>43799</v>
      </c>
      <c r="I20" t="s">
        <v>402</v>
      </c>
      <c r="J20" t="s">
        <v>407</v>
      </c>
      <c r="K20" t="s">
        <v>405</v>
      </c>
      <c r="L20">
        <v>2</v>
      </c>
      <c r="M20" t="s">
        <v>381</v>
      </c>
      <c r="N20">
        <v>1.9</v>
      </c>
    </row>
    <row r="21" spans="1:14" x14ac:dyDescent="0.25">
      <c r="A21" t="s">
        <v>375</v>
      </c>
      <c r="B21" t="s">
        <v>409</v>
      </c>
      <c r="C21" t="s">
        <v>410</v>
      </c>
      <c r="D21" s="204">
        <v>2276.4</v>
      </c>
      <c r="E21">
        <v>0</v>
      </c>
      <c r="F21">
        <v>736</v>
      </c>
      <c r="G21" t="s">
        <v>378</v>
      </c>
      <c r="H21" s="171">
        <v>43867</v>
      </c>
      <c r="I21" t="s">
        <v>409</v>
      </c>
      <c r="J21" t="s">
        <v>411</v>
      </c>
      <c r="K21" t="s">
        <v>412</v>
      </c>
      <c r="L21">
        <v>2</v>
      </c>
      <c r="M21" t="s">
        <v>381</v>
      </c>
      <c r="N21">
        <v>2</v>
      </c>
    </row>
    <row r="22" spans="1:14" x14ac:dyDescent="0.25">
      <c r="A22" t="s">
        <v>375</v>
      </c>
      <c r="B22" t="s">
        <v>402</v>
      </c>
      <c r="C22" t="s">
        <v>403</v>
      </c>
      <c r="D22" s="204">
        <v>43.44</v>
      </c>
      <c r="E22">
        <v>0</v>
      </c>
      <c r="F22">
        <v>319</v>
      </c>
      <c r="G22" t="s">
        <v>413</v>
      </c>
      <c r="H22" s="171">
        <v>43536</v>
      </c>
      <c r="I22" t="s">
        <v>414</v>
      </c>
      <c r="J22" t="s">
        <v>415</v>
      </c>
      <c r="K22" t="s">
        <v>416</v>
      </c>
      <c r="L22">
        <v>2</v>
      </c>
      <c r="M22" t="s">
        <v>381</v>
      </c>
      <c r="N22">
        <v>1.9</v>
      </c>
    </row>
    <row r="23" spans="1:14" x14ac:dyDescent="0.25">
      <c r="A23" t="s">
        <v>375</v>
      </c>
      <c r="B23" t="s">
        <v>417</v>
      </c>
      <c r="C23" t="s">
        <v>418</v>
      </c>
      <c r="D23" s="204">
        <v>650</v>
      </c>
      <c r="E23">
        <v>0</v>
      </c>
      <c r="F23">
        <v>692</v>
      </c>
      <c r="G23" t="s">
        <v>413</v>
      </c>
      <c r="H23" s="171">
        <v>43781</v>
      </c>
      <c r="I23" t="s">
        <v>419</v>
      </c>
      <c r="J23" t="s">
        <v>420</v>
      </c>
      <c r="K23" t="s">
        <v>421</v>
      </c>
      <c r="L23">
        <v>2</v>
      </c>
      <c r="M23" t="s">
        <v>422</v>
      </c>
      <c r="N23">
        <v>2.1</v>
      </c>
    </row>
    <row r="24" spans="1:14" x14ac:dyDescent="0.25">
      <c r="A24" t="s">
        <v>375</v>
      </c>
      <c r="B24" t="s">
        <v>423</v>
      </c>
      <c r="C24" t="s">
        <v>424</v>
      </c>
      <c r="D24" s="204">
        <v>11400</v>
      </c>
      <c r="E24">
        <v>0</v>
      </c>
      <c r="F24">
        <v>711</v>
      </c>
      <c r="G24" t="s">
        <v>413</v>
      </c>
      <c r="H24" s="171">
        <v>43838</v>
      </c>
      <c r="I24" t="s">
        <v>425</v>
      </c>
      <c r="J24" t="s">
        <v>426</v>
      </c>
      <c r="K24" t="s">
        <v>427</v>
      </c>
      <c r="L24">
        <v>2</v>
      </c>
      <c r="M24" t="s">
        <v>422</v>
      </c>
      <c r="N24">
        <v>2.1</v>
      </c>
    </row>
    <row r="25" spans="1:14" x14ac:dyDescent="0.25">
      <c r="A25" t="s">
        <v>375</v>
      </c>
      <c r="B25" t="s">
        <v>428</v>
      </c>
      <c r="C25" t="s">
        <v>429</v>
      </c>
      <c r="D25" s="204">
        <v>10800</v>
      </c>
      <c r="E25">
        <v>0</v>
      </c>
      <c r="F25">
        <v>710</v>
      </c>
      <c r="G25" t="s">
        <v>413</v>
      </c>
      <c r="H25" s="171">
        <v>43808</v>
      </c>
      <c r="I25" t="s">
        <v>425</v>
      </c>
      <c r="J25" t="s">
        <v>430</v>
      </c>
      <c r="K25" t="s">
        <v>431</v>
      </c>
      <c r="L25">
        <v>2</v>
      </c>
      <c r="M25" t="s">
        <v>422</v>
      </c>
      <c r="N25">
        <v>2.1</v>
      </c>
    </row>
    <row r="26" spans="1:14" x14ac:dyDescent="0.25">
      <c r="A26" t="s">
        <v>375</v>
      </c>
      <c r="B26" t="s">
        <v>428</v>
      </c>
      <c r="C26" t="s">
        <v>429</v>
      </c>
      <c r="D26" s="204">
        <v>7380</v>
      </c>
      <c r="E26">
        <v>0</v>
      </c>
      <c r="F26">
        <v>690</v>
      </c>
      <c r="G26" t="s">
        <v>413</v>
      </c>
      <c r="H26" s="171">
        <v>43770</v>
      </c>
      <c r="I26" t="s">
        <v>425</v>
      </c>
      <c r="J26" t="s">
        <v>432</v>
      </c>
      <c r="K26" t="s">
        <v>433</v>
      </c>
      <c r="L26">
        <v>2</v>
      </c>
      <c r="M26" t="s">
        <v>422</v>
      </c>
      <c r="N26">
        <v>2.1</v>
      </c>
    </row>
    <row r="27" spans="1:14" x14ac:dyDescent="0.25">
      <c r="A27" t="s">
        <v>375</v>
      </c>
      <c r="B27" t="s">
        <v>428</v>
      </c>
      <c r="C27" t="s">
        <v>429</v>
      </c>
      <c r="D27" s="204">
        <v>2400</v>
      </c>
      <c r="E27">
        <v>0</v>
      </c>
      <c r="F27">
        <v>712</v>
      </c>
      <c r="G27" t="s">
        <v>413</v>
      </c>
      <c r="H27" s="171">
        <v>43850</v>
      </c>
      <c r="I27" t="s">
        <v>425</v>
      </c>
      <c r="J27" t="s">
        <v>434</v>
      </c>
      <c r="K27" t="s">
        <v>435</v>
      </c>
      <c r="L27">
        <v>2</v>
      </c>
      <c r="M27" t="s">
        <v>422</v>
      </c>
      <c r="N27">
        <v>2.1</v>
      </c>
    </row>
    <row r="28" spans="1:14" x14ac:dyDescent="0.25">
      <c r="A28" t="s">
        <v>375</v>
      </c>
      <c r="B28" t="s">
        <v>436</v>
      </c>
      <c r="C28" t="s">
        <v>437</v>
      </c>
      <c r="D28" s="204">
        <v>5250</v>
      </c>
      <c r="E28">
        <v>0</v>
      </c>
      <c r="F28">
        <v>674</v>
      </c>
      <c r="G28" t="s">
        <v>413</v>
      </c>
      <c r="H28" s="171">
        <v>43769</v>
      </c>
      <c r="I28" t="s">
        <v>438</v>
      </c>
      <c r="J28" t="s">
        <v>439</v>
      </c>
      <c r="K28" t="s">
        <v>440</v>
      </c>
      <c r="L28">
        <v>2</v>
      </c>
      <c r="M28" t="s">
        <v>422</v>
      </c>
      <c r="N28">
        <v>2.7</v>
      </c>
    </row>
    <row r="29" spans="1:14" x14ac:dyDescent="0.25">
      <c r="A29" t="s">
        <v>375</v>
      </c>
      <c r="B29" t="s">
        <v>441</v>
      </c>
      <c r="C29" t="s">
        <v>442</v>
      </c>
      <c r="D29" s="204">
        <v>5076</v>
      </c>
      <c r="E29">
        <v>0</v>
      </c>
      <c r="F29">
        <v>717</v>
      </c>
      <c r="G29" t="s">
        <v>413</v>
      </c>
      <c r="H29" s="171">
        <v>43831</v>
      </c>
      <c r="I29" t="s">
        <v>443</v>
      </c>
      <c r="J29" t="s">
        <v>444</v>
      </c>
      <c r="K29" t="s">
        <v>445</v>
      </c>
      <c r="L29">
        <v>2</v>
      </c>
      <c r="M29" t="s">
        <v>422</v>
      </c>
      <c r="N29">
        <v>2.9</v>
      </c>
    </row>
    <row r="30" spans="1:14" x14ac:dyDescent="0.25">
      <c r="A30" t="s">
        <v>375</v>
      </c>
      <c r="B30" t="s">
        <v>446</v>
      </c>
      <c r="C30" t="s">
        <v>447</v>
      </c>
      <c r="D30" s="204">
        <v>1897</v>
      </c>
      <c r="E30">
        <v>0</v>
      </c>
      <c r="F30">
        <v>719</v>
      </c>
      <c r="G30" t="s">
        <v>413</v>
      </c>
      <c r="H30" s="171">
        <v>43859</v>
      </c>
      <c r="I30" t="s">
        <v>448</v>
      </c>
      <c r="J30" t="s">
        <v>449</v>
      </c>
      <c r="K30" t="s">
        <v>450</v>
      </c>
      <c r="L30">
        <v>2</v>
      </c>
      <c r="M30" t="s">
        <v>422</v>
      </c>
      <c r="N30">
        <v>2</v>
      </c>
    </row>
    <row r="31" spans="1:14" x14ac:dyDescent="0.25">
      <c r="A31" t="s">
        <v>375</v>
      </c>
      <c r="B31" t="s">
        <v>451</v>
      </c>
      <c r="C31" t="s">
        <v>452</v>
      </c>
      <c r="D31" s="204">
        <v>28400</v>
      </c>
      <c r="E31">
        <v>0</v>
      </c>
      <c r="F31">
        <v>662</v>
      </c>
      <c r="G31" t="s">
        <v>413</v>
      </c>
      <c r="H31" s="171">
        <v>43739</v>
      </c>
      <c r="I31" t="s">
        <v>453</v>
      </c>
      <c r="J31" t="s">
        <v>454</v>
      </c>
      <c r="K31" t="s">
        <v>455</v>
      </c>
      <c r="L31">
        <v>2</v>
      </c>
      <c r="M31" t="s">
        <v>422</v>
      </c>
      <c r="N31">
        <v>2.5</v>
      </c>
    </row>
    <row r="32" spans="1:14" x14ac:dyDescent="0.25">
      <c r="A32" t="s">
        <v>375</v>
      </c>
      <c r="B32" t="s">
        <v>451</v>
      </c>
      <c r="C32" t="s">
        <v>452</v>
      </c>
      <c r="D32" s="204">
        <v>3548.05</v>
      </c>
      <c r="E32">
        <v>0</v>
      </c>
      <c r="F32">
        <v>709</v>
      </c>
      <c r="G32" t="s">
        <v>413</v>
      </c>
      <c r="H32" s="171">
        <v>43830</v>
      </c>
      <c r="I32" t="s">
        <v>453</v>
      </c>
      <c r="J32" t="s">
        <v>456</v>
      </c>
      <c r="K32" t="s">
        <v>455</v>
      </c>
      <c r="L32">
        <v>2</v>
      </c>
      <c r="M32" t="s">
        <v>422</v>
      </c>
      <c r="N32">
        <v>2.5</v>
      </c>
    </row>
    <row r="33" spans="1:14" x14ac:dyDescent="0.25">
      <c r="A33" t="s">
        <v>375</v>
      </c>
      <c r="B33" t="s">
        <v>451</v>
      </c>
      <c r="C33" t="s">
        <v>452</v>
      </c>
      <c r="D33" s="204">
        <v>3532.45</v>
      </c>
      <c r="E33">
        <v>0</v>
      </c>
      <c r="F33">
        <v>673</v>
      </c>
      <c r="G33" t="s">
        <v>413</v>
      </c>
      <c r="H33" s="171">
        <v>43769</v>
      </c>
      <c r="I33" t="s">
        <v>453</v>
      </c>
      <c r="J33" t="s">
        <v>457</v>
      </c>
      <c r="K33" t="s">
        <v>455</v>
      </c>
      <c r="L33">
        <v>2</v>
      </c>
      <c r="M33" t="s">
        <v>422</v>
      </c>
      <c r="N33">
        <v>2.5</v>
      </c>
    </row>
    <row r="34" spans="1:14" x14ac:dyDescent="0.25">
      <c r="A34" t="s">
        <v>375</v>
      </c>
      <c r="B34" t="s">
        <v>451</v>
      </c>
      <c r="C34" t="s">
        <v>452</v>
      </c>
      <c r="D34" s="204">
        <v>3460</v>
      </c>
      <c r="E34">
        <v>0</v>
      </c>
      <c r="F34">
        <v>442</v>
      </c>
      <c r="G34" t="s">
        <v>413</v>
      </c>
      <c r="H34" s="171">
        <v>43616</v>
      </c>
      <c r="I34" t="s">
        <v>453</v>
      </c>
      <c r="J34" t="s">
        <v>458</v>
      </c>
      <c r="K34" t="s">
        <v>459</v>
      </c>
      <c r="L34">
        <v>2</v>
      </c>
      <c r="M34" t="s">
        <v>422</v>
      </c>
      <c r="N34">
        <v>2.5</v>
      </c>
    </row>
    <row r="35" spans="1:14" x14ac:dyDescent="0.25">
      <c r="A35" t="s">
        <v>375</v>
      </c>
      <c r="B35" t="s">
        <v>417</v>
      </c>
      <c r="C35" t="s">
        <v>418</v>
      </c>
      <c r="D35" s="204">
        <v>864.6</v>
      </c>
      <c r="E35">
        <v>0</v>
      </c>
      <c r="F35">
        <v>625</v>
      </c>
      <c r="G35" t="s">
        <v>413</v>
      </c>
      <c r="H35" s="171">
        <v>43733</v>
      </c>
      <c r="I35" t="s">
        <v>453</v>
      </c>
      <c r="J35" t="s">
        <v>460</v>
      </c>
      <c r="K35" t="s">
        <v>461</v>
      </c>
      <c r="L35">
        <v>2</v>
      </c>
      <c r="M35" t="s">
        <v>422</v>
      </c>
      <c r="N35">
        <v>2.5</v>
      </c>
    </row>
    <row r="36" spans="1:14" x14ac:dyDescent="0.25">
      <c r="A36" t="s">
        <v>375</v>
      </c>
      <c r="B36" t="s">
        <v>393</v>
      </c>
      <c r="C36" t="s">
        <v>394</v>
      </c>
      <c r="D36" s="204">
        <v>6850</v>
      </c>
      <c r="E36">
        <v>0</v>
      </c>
      <c r="F36">
        <v>488</v>
      </c>
      <c r="G36" t="s">
        <v>413</v>
      </c>
      <c r="H36" s="171">
        <v>43642</v>
      </c>
      <c r="I36" t="s">
        <v>462</v>
      </c>
      <c r="J36" t="s">
        <v>463</v>
      </c>
      <c r="K36" t="s">
        <v>464</v>
      </c>
      <c r="L36">
        <v>2</v>
      </c>
      <c r="M36" t="s">
        <v>422</v>
      </c>
      <c r="N36">
        <v>1.8</v>
      </c>
    </row>
    <row r="37" spans="1:14" x14ac:dyDescent="0.25">
      <c r="A37" t="s">
        <v>375</v>
      </c>
      <c r="B37" t="s">
        <v>393</v>
      </c>
      <c r="C37" t="s">
        <v>394</v>
      </c>
      <c r="D37" s="204">
        <v>1000</v>
      </c>
      <c r="E37">
        <v>0</v>
      </c>
      <c r="F37">
        <v>718</v>
      </c>
      <c r="G37" t="s">
        <v>413</v>
      </c>
      <c r="H37" s="171">
        <v>43854</v>
      </c>
      <c r="I37" t="s">
        <v>462</v>
      </c>
      <c r="J37" t="s">
        <v>465</v>
      </c>
      <c r="K37" t="s">
        <v>466</v>
      </c>
      <c r="L37">
        <v>2</v>
      </c>
      <c r="M37" t="s">
        <v>422</v>
      </c>
      <c r="N37">
        <v>1.8</v>
      </c>
    </row>
    <row r="38" spans="1:14" x14ac:dyDescent="0.25">
      <c r="A38" t="s">
        <v>375</v>
      </c>
      <c r="B38" t="s">
        <v>417</v>
      </c>
      <c r="C38" t="s">
        <v>418</v>
      </c>
      <c r="D38" s="204">
        <v>1725.38</v>
      </c>
      <c r="E38">
        <v>0</v>
      </c>
      <c r="F38">
        <v>626</v>
      </c>
      <c r="G38" t="s">
        <v>413</v>
      </c>
      <c r="H38" s="171">
        <v>43738</v>
      </c>
      <c r="I38" t="s">
        <v>467</v>
      </c>
      <c r="J38" t="s">
        <v>468</v>
      </c>
      <c r="K38" t="s">
        <v>469</v>
      </c>
      <c r="L38">
        <v>2</v>
      </c>
      <c r="M38" t="s">
        <v>422</v>
      </c>
      <c r="N38">
        <v>1.8</v>
      </c>
    </row>
    <row r="39" spans="1:14" x14ac:dyDescent="0.25">
      <c r="A39" t="s">
        <v>375</v>
      </c>
      <c r="B39" t="s">
        <v>417</v>
      </c>
      <c r="C39" t="s">
        <v>418</v>
      </c>
      <c r="D39" s="204">
        <v>1600</v>
      </c>
      <c r="E39">
        <v>0</v>
      </c>
      <c r="F39">
        <v>501</v>
      </c>
      <c r="G39" t="s">
        <v>413</v>
      </c>
      <c r="H39" s="171">
        <v>43644</v>
      </c>
      <c r="I39" t="s">
        <v>467</v>
      </c>
      <c r="J39" t="s">
        <v>470</v>
      </c>
      <c r="K39" t="s">
        <v>471</v>
      </c>
      <c r="L39">
        <v>2</v>
      </c>
      <c r="M39" t="s">
        <v>422</v>
      </c>
      <c r="N39">
        <v>1.8</v>
      </c>
    </row>
    <row r="40" spans="1:14" x14ac:dyDescent="0.25">
      <c r="A40" t="s">
        <v>375</v>
      </c>
      <c r="B40" t="s">
        <v>384</v>
      </c>
      <c r="C40" t="s">
        <v>385</v>
      </c>
      <c r="D40" s="204">
        <v>5408</v>
      </c>
      <c r="E40">
        <v>0</v>
      </c>
      <c r="F40">
        <v>215</v>
      </c>
      <c r="G40" t="s">
        <v>413</v>
      </c>
      <c r="H40" s="171">
        <v>43435</v>
      </c>
      <c r="I40" t="s">
        <v>472</v>
      </c>
      <c r="J40" t="s">
        <v>473</v>
      </c>
      <c r="K40" t="s">
        <v>474</v>
      </c>
      <c r="L40">
        <v>2</v>
      </c>
      <c r="M40" t="s">
        <v>422</v>
      </c>
      <c r="N40">
        <v>1.4</v>
      </c>
    </row>
    <row r="41" spans="1:14" x14ac:dyDescent="0.25">
      <c r="A41" t="s">
        <v>375</v>
      </c>
      <c r="B41" t="s">
        <v>384</v>
      </c>
      <c r="C41" t="s">
        <v>385</v>
      </c>
      <c r="D41" s="204">
        <v>3970.23</v>
      </c>
      <c r="E41">
        <v>0</v>
      </c>
      <c r="F41">
        <v>199</v>
      </c>
      <c r="G41" t="s">
        <v>413</v>
      </c>
      <c r="H41" s="171">
        <v>43430</v>
      </c>
      <c r="I41" t="s">
        <v>472</v>
      </c>
      <c r="J41" t="s">
        <v>475</v>
      </c>
      <c r="K41" t="s">
        <v>476</v>
      </c>
      <c r="L41">
        <v>2</v>
      </c>
      <c r="M41" t="s">
        <v>422</v>
      </c>
      <c r="N41">
        <v>1.4</v>
      </c>
    </row>
    <row r="42" spans="1:14" x14ac:dyDescent="0.25">
      <c r="A42" t="s">
        <v>375</v>
      </c>
      <c r="B42" t="s">
        <v>477</v>
      </c>
      <c r="C42" t="s">
        <v>478</v>
      </c>
      <c r="D42" s="204">
        <v>3000</v>
      </c>
      <c r="E42">
        <v>0</v>
      </c>
      <c r="F42">
        <v>184</v>
      </c>
      <c r="G42" t="s">
        <v>413</v>
      </c>
      <c r="H42" s="171">
        <v>43396</v>
      </c>
      <c r="I42" t="s">
        <v>472</v>
      </c>
      <c r="J42" t="s">
        <v>479</v>
      </c>
      <c r="K42" t="s">
        <v>480</v>
      </c>
      <c r="L42">
        <v>2</v>
      </c>
      <c r="M42" t="s">
        <v>422</v>
      </c>
      <c r="N42">
        <v>1.4</v>
      </c>
    </row>
    <row r="43" spans="1:14" x14ac:dyDescent="0.25">
      <c r="A43" t="s">
        <v>375</v>
      </c>
      <c r="B43" t="s">
        <v>481</v>
      </c>
      <c r="C43" t="s">
        <v>482</v>
      </c>
      <c r="D43" s="204">
        <v>500</v>
      </c>
      <c r="E43">
        <v>0</v>
      </c>
      <c r="F43">
        <v>203</v>
      </c>
      <c r="G43" t="s">
        <v>413</v>
      </c>
      <c r="H43" s="171">
        <v>43461</v>
      </c>
      <c r="I43" t="s">
        <v>472</v>
      </c>
      <c r="J43" t="s">
        <v>483</v>
      </c>
      <c r="K43" t="s">
        <v>484</v>
      </c>
      <c r="L43">
        <v>2</v>
      </c>
      <c r="M43" t="s">
        <v>422</v>
      </c>
      <c r="N43">
        <v>1.4</v>
      </c>
    </row>
    <row r="44" spans="1:14" x14ac:dyDescent="0.25">
      <c r="A44" t="s">
        <v>375</v>
      </c>
      <c r="B44" t="s">
        <v>384</v>
      </c>
      <c r="C44" t="s">
        <v>385</v>
      </c>
      <c r="D44" s="204">
        <v>20</v>
      </c>
      <c r="E44">
        <v>0</v>
      </c>
      <c r="F44">
        <v>216</v>
      </c>
      <c r="G44" t="s">
        <v>413</v>
      </c>
      <c r="H44" s="171">
        <v>43435</v>
      </c>
      <c r="I44" t="s">
        <v>472</v>
      </c>
      <c r="J44" t="s">
        <v>473</v>
      </c>
      <c r="K44" t="s">
        <v>485</v>
      </c>
      <c r="L44">
        <v>2</v>
      </c>
      <c r="M44" t="s">
        <v>381</v>
      </c>
      <c r="N44">
        <v>1.4</v>
      </c>
    </row>
    <row r="45" spans="1:14" x14ac:dyDescent="0.25">
      <c r="A45" t="s">
        <v>375</v>
      </c>
      <c r="B45" t="s">
        <v>486</v>
      </c>
      <c r="C45" t="s">
        <v>487</v>
      </c>
      <c r="D45" s="204">
        <v>4995</v>
      </c>
      <c r="E45">
        <v>0</v>
      </c>
      <c r="F45">
        <v>474</v>
      </c>
      <c r="G45" t="s">
        <v>413</v>
      </c>
      <c r="H45" s="171">
        <v>43633</v>
      </c>
      <c r="I45" t="s">
        <v>488</v>
      </c>
      <c r="J45" t="s">
        <v>489</v>
      </c>
      <c r="K45" t="s">
        <v>490</v>
      </c>
      <c r="L45">
        <v>2</v>
      </c>
      <c r="M45" t="s">
        <v>422</v>
      </c>
      <c r="N45">
        <v>4</v>
      </c>
    </row>
    <row r="46" spans="1:14" x14ac:dyDescent="0.25">
      <c r="A46" t="s">
        <v>375</v>
      </c>
      <c r="B46" t="s">
        <v>388</v>
      </c>
      <c r="C46" t="s">
        <v>389</v>
      </c>
      <c r="D46" s="204">
        <v>40750</v>
      </c>
      <c r="E46">
        <v>0</v>
      </c>
      <c r="F46">
        <v>166</v>
      </c>
      <c r="G46" t="s">
        <v>413</v>
      </c>
      <c r="H46" s="171">
        <v>43389</v>
      </c>
      <c r="I46" t="s">
        <v>491</v>
      </c>
      <c r="J46" t="s">
        <v>492</v>
      </c>
      <c r="K46" t="s">
        <v>493</v>
      </c>
      <c r="L46">
        <v>2</v>
      </c>
      <c r="M46" t="s">
        <v>422</v>
      </c>
      <c r="N46">
        <v>1.3</v>
      </c>
    </row>
    <row r="47" spans="1:14" x14ac:dyDescent="0.25">
      <c r="A47" t="s">
        <v>375</v>
      </c>
      <c r="B47" t="s">
        <v>494</v>
      </c>
      <c r="C47" t="s">
        <v>495</v>
      </c>
      <c r="D47" s="204">
        <v>1700</v>
      </c>
      <c r="E47">
        <v>0</v>
      </c>
      <c r="F47">
        <v>377</v>
      </c>
      <c r="G47" t="s">
        <v>413</v>
      </c>
      <c r="H47" s="171">
        <v>43585</v>
      </c>
      <c r="I47" t="s">
        <v>496</v>
      </c>
      <c r="J47" t="s">
        <v>497</v>
      </c>
      <c r="K47" t="s">
        <v>498</v>
      </c>
      <c r="L47">
        <v>2</v>
      </c>
      <c r="M47" t="s">
        <v>422</v>
      </c>
      <c r="N47" s="193">
        <v>3</v>
      </c>
    </row>
    <row r="48" spans="1:14" x14ac:dyDescent="0.25">
      <c r="A48" t="s">
        <v>375</v>
      </c>
      <c r="B48" t="s">
        <v>494</v>
      </c>
      <c r="C48" t="s">
        <v>495</v>
      </c>
      <c r="D48" s="204">
        <v>1550</v>
      </c>
      <c r="E48">
        <v>0</v>
      </c>
      <c r="F48">
        <v>340</v>
      </c>
      <c r="G48" t="s">
        <v>413</v>
      </c>
      <c r="H48" s="171">
        <v>43555</v>
      </c>
      <c r="I48" t="s">
        <v>496</v>
      </c>
      <c r="J48" t="s">
        <v>499</v>
      </c>
      <c r="K48" t="s">
        <v>500</v>
      </c>
      <c r="L48">
        <v>2</v>
      </c>
      <c r="M48" t="s">
        <v>422</v>
      </c>
      <c r="N48" s="193">
        <v>3</v>
      </c>
    </row>
    <row r="49" spans="1:14" x14ac:dyDescent="0.25">
      <c r="A49" t="s">
        <v>375</v>
      </c>
      <c r="B49" t="s">
        <v>494</v>
      </c>
      <c r="C49" t="s">
        <v>495</v>
      </c>
      <c r="D49" s="204">
        <v>833</v>
      </c>
      <c r="E49">
        <v>0</v>
      </c>
      <c r="F49">
        <v>326</v>
      </c>
      <c r="G49" t="s">
        <v>413</v>
      </c>
      <c r="H49" s="171">
        <v>43496</v>
      </c>
      <c r="I49" t="s">
        <v>496</v>
      </c>
      <c r="J49" t="s">
        <v>501</v>
      </c>
      <c r="K49" t="s">
        <v>502</v>
      </c>
      <c r="L49">
        <v>2</v>
      </c>
      <c r="M49" t="s">
        <v>422</v>
      </c>
      <c r="N49" s="193">
        <v>3</v>
      </c>
    </row>
    <row r="50" spans="1:14" x14ac:dyDescent="0.25">
      <c r="A50" t="s">
        <v>375</v>
      </c>
      <c r="B50" t="s">
        <v>494</v>
      </c>
      <c r="C50" t="s">
        <v>495</v>
      </c>
      <c r="D50" s="204">
        <v>500</v>
      </c>
      <c r="E50">
        <v>0</v>
      </c>
      <c r="F50">
        <v>443</v>
      </c>
      <c r="G50" t="s">
        <v>413</v>
      </c>
      <c r="H50" s="171">
        <v>43616</v>
      </c>
      <c r="I50" t="s">
        <v>496</v>
      </c>
      <c r="J50" t="s">
        <v>503</v>
      </c>
      <c r="K50" t="s">
        <v>504</v>
      </c>
      <c r="L50">
        <v>2</v>
      </c>
      <c r="M50" t="s">
        <v>422</v>
      </c>
      <c r="N50" s="193">
        <v>3</v>
      </c>
    </row>
    <row r="51" spans="1:14" x14ac:dyDescent="0.25">
      <c r="A51" t="s">
        <v>375</v>
      </c>
      <c r="B51" t="s">
        <v>494</v>
      </c>
      <c r="C51" t="s">
        <v>495</v>
      </c>
      <c r="D51" s="204">
        <v>380</v>
      </c>
      <c r="E51">
        <v>0</v>
      </c>
      <c r="F51">
        <v>322</v>
      </c>
      <c r="G51" t="s">
        <v>413</v>
      </c>
      <c r="H51" s="171">
        <v>43524</v>
      </c>
      <c r="I51" t="s">
        <v>496</v>
      </c>
      <c r="J51" t="s">
        <v>505</v>
      </c>
      <c r="K51" t="s">
        <v>506</v>
      </c>
      <c r="L51">
        <v>2</v>
      </c>
      <c r="M51" t="s">
        <v>422</v>
      </c>
      <c r="N51" s="193">
        <v>3</v>
      </c>
    </row>
    <row r="52" spans="1:14" x14ac:dyDescent="0.25">
      <c r="A52" t="s">
        <v>375</v>
      </c>
      <c r="B52" t="s">
        <v>398</v>
      </c>
      <c r="C52" t="s">
        <v>399</v>
      </c>
      <c r="D52" s="204">
        <v>35417</v>
      </c>
      <c r="E52">
        <v>0</v>
      </c>
      <c r="F52">
        <v>478</v>
      </c>
      <c r="G52" t="s">
        <v>413</v>
      </c>
      <c r="H52" s="171">
        <v>43644</v>
      </c>
      <c r="I52" t="s">
        <v>507</v>
      </c>
      <c r="J52" t="s">
        <v>508</v>
      </c>
      <c r="K52" t="s">
        <v>509</v>
      </c>
      <c r="L52">
        <v>2</v>
      </c>
      <c r="M52" t="s">
        <v>510</v>
      </c>
      <c r="N52">
        <v>1.5</v>
      </c>
    </row>
    <row r="53" spans="1:14" x14ac:dyDescent="0.25">
      <c r="A53" t="s">
        <v>375</v>
      </c>
      <c r="B53" t="s">
        <v>398</v>
      </c>
      <c r="C53" t="s">
        <v>399</v>
      </c>
      <c r="D53" s="204">
        <v>96</v>
      </c>
      <c r="E53">
        <v>0</v>
      </c>
      <c r="F53">
        <v>575</v>
      </c>
      <c r="G53" t="s">
        <v>413</v>
      </c>
      <c r="H53" s="171">
        <v>43704</v>
      </c>
      <c r="I53" t="s">
        <v>507</v>
      </c>
      <c r="J53" t="s">
        <v>511</v>
      </c>
      <c r="K53" t="s">
        <v>509</v>
      </c>
      <c r="L53">
        <v>2</v>
      </c>
      <c r="M53" t="s">
        <v>381</v>
      </c>
      <c r="N53">
        <v>1.5</v>
      </c>
    </row>
    <row r="54" spans="1:14" x14ac:dyDescent="0.25">
      <c r="A54" t="s">
        <v>375</v>
      </c>
      <c r="B54" t="s">
        <v>398</v>
      </c>
      <c r="C54" t="s">
        <v>399</v>
      </c>
      <c r="D54" s="204">
        <v>20.83</v>
      </c>
      <c r="E54">
        <v>0</v>
      </c>
      <c r="F54">
        <v>576</v>
      </c>
      <c r="G54" t="s">
        <v>413</v>
      </c>
      <c r="H54" s="171">
        <v>43704</v>
      </c>
      <c r="I54" t="s">
        <v>507</v>
      </c>
      <c r="J54" t="s">
        <v>511</v>
      </c>
      <c r="K54" t="s">
        <v>509</v>
      </c>
      <c r="L54">
        <v>2</v>
      </c>
      <c r="M54" t="s">
        <v>422</v>
      </c>
      <c r="N54">
        <v>1.5</v>
      </c>
    </row>
    <row r="55" spans="1:14" x14ac:dyDescent="0.25">
      <c r="A55" t="s">
        <v>375</v>
      </c>
      <c r="B55" t="s">
        <v>398</v>
      </c>
      <c r="C55" t="s">
        <v>399</v>
      </c>
      <c r="D55" s="204">
        <v>16.670000000000002</v>
      </c>
      <c r="E55">
        <v>0</v>
      </c>
      <c r="F55">
        <v>479</v>
      </c>
      <c r="G55" t="s">
        <v>413</v>
      </c>
      <c r="H55" s="171">
        <v>43644</v>
      </c>
      <c r="I55" t="s">
        <v>507</v>
      </c>
      <c r="J55" t="s">
        <v>508</v>
      </c>
      <c r="K55" t="s">
        <v>512</v>
      </c>
      <c r="L55">
        <v>2</v>
      </c>
      <c r="M55" t="s">
        <v>422</v>
      </c>
      <c r="N55">
        <v>1.5</v>
      </c>
    </row>
    <row r="56" spans="1:14" x14ac:dyDescent="0.25">
      <c r="A56" t="s">
        <v>375</v>
      </c>
      <c r="B56" t="s">
        <v>494</v>
      </c>
      <c r="C56" t="s">
        <v>495</v>
      </c>
      <c r="D56" s="204">
        <v>10000</v>
      </c>
      <c r="E56">
        <v>0</v>
      </c>
      <c r="F56">
        <v>587</v>
      </c>
      <c r="G56" t="s">
        <v>413</v>
      </c>
      <c r="H56" s="171">
        <v>43707</v>
      </c>
      <c r="I56" t="s">
        <v>513</v>
      </c>
      <c r="J56" t="s">
        <v>514</v>
      </c>
      <c r="K56" t="s">
        <v>515</v>
      </c>
      <c r="L56">
        <v>2</v>
      </c>
      <c r="M56" t="s">
        <v>422</v>
      </c>
      <c r="N56">
        <v>2.4</v>
      </c>
    </row>
    <row r="57" spans="1:14" x14ac:dyDescent="0.25">
      <c r="A57" t="s">
        <v>375</v>
      </c>
      <c r="B57" t="s">
        <v>494</v>
      </c>
      <c r="C57" t="s">
        <v>495</v>
      </c>
      <c r="D57" s="204">
        <v>10000</v>
      </c>
      <c r="E57">
        <v>0</v>
      </c>
      <c r="F57">
        <v>628</v>
      </c>
      <c r="G57" t="s">
        <v>413</v>
      </c>
      <c r="H57" s="171">
        <v>43738</v>
      </c>
      <c r="I57" t="s">
        <v>513</v>
      </c>
      <c r="J57" t="s">
        <v>516</v>
      </c>
      <c r="K57" t="s">
        <v>515</v>
      </c>
      <c r="L57">
        <v>2</v>
      </c>
      <c r="M57" t="s">
        <v>422</v>
      </c>
      <c r="N57">
        <v>2.4</v>
      </c>
    </row>
    <row r="58" spans="1:14" x14ac:dyDescent="0.25">
      <c r="A58" t="s">
        <v>375</v>
      </c>
      <c r="B58" t="s">
        <v>494</v>
      </c>
      <c r="C58" t="s">
        <v>495</v>
      </c>
      <c r="D58" s="204">
        <v>10000</v>
      </c>
      <c r="E58">
        <v>0</v>
      </c>
      <c r="F58">
        <v>675</v>
      </c>
      <c r="G58" t="s">
        <v>413</v>
      </c>
      <c r="H58" s="171">
        <v>43769</v>
      </c>
      <c r="I58" t="s">
        <v>513</v>
      </c>
      <c r="J58" t="s">
        <v>517</v>
      </c>
      <c r="K58" t="s">
        <v>518</v>
      </c>
      <c r="L58">
        <v>2</v>
      </c>
      <c r="M58" t="s">
        <v>422</v>
      </c>
      <c r="N58">
        <v>2.4</v>
      </c>
    </row>
    <row r="59" spans="1:14" x14ac:dyDescent="0.25">
      <c r="A59" t="s">
        <v>375</v>
      </c>
      <c r="B59" t="s">
        <v>494</v>
      </c>
      <c r="C59" t="s">
        <v>495</v>
      </c>
      <c r="D59" s="204">
        <v>5000</v>
      </c>
      <c r="E59">
        <v>0</v>
      </c>
      <c r="F59">
        <v>503</v>
      </c>
      <c r="G59" t="s">
        <v>413</v>
      </c>
      <c r="H59" s="171">
        <v>43644</v>
      </c>
      <c r="I59" t="s">
        <v>513</v>
      </c>
      <c r="J59" t="s">
        <v>519</v>
      </c>
      <c r="K59" t="s">
        <v>520</v>
      </c>
      <c r="L59">
        <v>2</v>
      </c>
      <c r="M59" t="s">
        <v>422</v>
      </c>
      <c r="N59">
        <v>2.4</v>
      </c>
    </row>
    <row r="60" spans="1:14" x14ac:dyDescent="0.25">
      <c r="A60" t="s">
        <v>375</v>
      </c>
      <c r="B60" t="s">
        <v>494</v>
      </c>
      <c r="C60" t="s">
        <v>495</v>
      </c>
      <c r="D60" s="204">
        <v>5000</v>
      </c>
      <c r="E60">
        <v>0</v>
      </c>
      <c r="F60">
        <v>526</v>
      </c>
      <c r="G60" t="s">
        <v>413</v>
      </c>
      <c r="H60" s="171">
        <v>43677</v>
      </c>
      <c r="I60" t="s">
        <v>513</v>
      </c>
      <c r="J60" t="s">
        <v>521</v>
      </c>
      <c r="K60" t="s">
        <v>522</v>
      </c>
      <c r="L60">
        <v>2</v>
      </c>
      <c r="M60" t="s">
        <v>422</v>
      </c>
      <c r="N60">
        <v>2.4</v>
      </c>
    </row>
    <row r="61" spans="1:14" x14ac:dyDescent="0.25">
      <c r="A61" t="s">
        <v>375</v>
      </c>
      <c r="B61" t="s">
        <v>494</v>
      </c>
      <c r="C61" t="s">
        <v>495</v>
      </c>
      <c r="D61" s="204">
        <v>3500</v>
      </c>
      <c r="E61">
        <v>0</v>
      </c>
      <c r="F61">
        <v>504</v>
      </c>
      <c r="G61" t="s">
        <v>413</v>
      </c>
      <c r="H61" s="171">
        <v>43644</v>
      </c>
      <c r="I61" t="s">
        <v>513</v>
      </c>
      <c r="J61" t="s">
        <v>523</v>
      </c>
      <c r="K61" t="s">
        <v>520</v>
      </c>
      <c r="L61">
        <v>2</v>
      </c>
      <c r="M61" t="s">
        <v>422</v>
      </c>
      <c r="N61">
        <v>2.4</v>
      </c>
    </row>
    <row r="62" spans="1:14" x14ac:dyDescent="0.25">
      <c r="A62" t="s">
        <v>375</v>
      </c>
      <c r="B62" t="s">
        <v>494</v>
      </c>
      <c r="C62" t="s">
        <v>495</v>
      </c>
      <c r="D62" s="204">
        <v>2000</v>
      </c>
      <c r="E62">
        <v>0</v>
      </c>
      <c r="F62">
        <v>527</v>
      </c>
      <c r="G62" t="s">
        <v>413</v>
      </c>
      <c r="H62" s="171">
        <v>43677</v>
      </c>
      <c r="I62" t="s">
        <v>513</v>
      </c>
      <c r="J62" t="s">
        <v>524</v>
      </c>
      <c r="K62" t="s">
        <v>522</v>
      </c>
      <c r="L62">
        <v>2</v>
      </c>
      <c r="M62" t="s">
        <v>422</v>
      </c>
      <c r="N62">
        <v>2.4</v>
      </c>
    </row>
    <row r="63" spans="1:14" x14ac:dyDescent="0.25">
      <c r="A63" t="s">
        <v>375</v>
      </c>
      <c r="B63" t="s">
        <v>494</v>
      </c>
      <c r="C63" t="s">
        <v>495</v>
      </c>
      <c r="D63" s="204">
        <v>1250</v>
      </c>
      <c r="E63">
        <v>0</v>
      </c>
      <c r="F63">
        <v>708</v>
      </c>
      <c r="G63" t="s">
        <v>413</v>
      </c>
      <c r="H63" s="171">
        <v>43830</v>
      </c>
      <c r="I63" t="s">
        <v>513</v>
      </c>
      <c r="J63" t="s">
        <v>525</v>
      </c>
      <c r="K63" t="s">
        <v>526</v>
      </c>
      <c r="L63">
        <v>2</v>
      </c>
      <c r="M63" t="s">
        <v>422</v>
      </c>
      <c r="N63">
        <v>2.4</v>
      </c>
    </row>
    <row r="64" spans="1:14" x14ac:dyDescent="0.25">
      <c r="A64" t="s">
        <v>375</v>
      </c>
      <c r="B64" t="s">
        <v>486</v>
      </c>
      <c r="C64" t="s">
        <v>487</v>
      </c>
      <c r="D64" s="204">
        <v>1667</v>
      </c>
      <c r="E64">
        <v>0</v>
      </c>
      <c r="F64">
        <v>502</v>
      </c>
      <c r="G64" t="s">
        <v>413</v>
      </c>
      <c r="H64" s="171">
        <v>43641</v>
      </c>
      <c r="I64" t="s">
        <v>527</v>
      </c>
      <c r="J64" t="s">
        <v>528</v>
      </c>
      <c r="K64" t="s">
        <v>529</v>
      </c>
      <c r="L64">
        <v>2</v>
      </c>
      <c r="M64" t="s">
        <v>422</v>
      </c>
      <c r="N64">
        <v>4</v>
      </c>
    </row>
    <row r="65" spans="1:14" x14ac:dyDescent="0.25">
      <c r="A65" t="s">
        <v>375</v>
      </c>
      <c r="B65" t="s">
        <v>486</v>
      </c>
      <c r="C65" t="s">
        <v>487</v>
      </c>
      <c r="D65" s="204">
        <v>100</v>
      </c>
      <c r="E65">
        <v>0</v>
      </c>
      <c r="F65">
        <v>318</v>
      </c>
      <c r="G65" t="s">
        <v>413</v>
      </c>
      <c r="H65" s="171">
        <v>43524</v>
      </c>
      <c r="I65" t="s">
        <v>527</v>
      </c>
      <c r="J65" t="s">
        <v>530</v>
      </c>
      <c r="K65" t="s">
        <v>531</v>
      </c>
      <c r="L65">
        <v>2</v>
      </c>
      <c r="M65" t="s">
        <v>422</v>
      </c>
      <c r="N65">
        <v>4</v>
      </c>
    </row>
    <row r="66" spans="1:14" x14ac:dyDescent="0.25">
      <c r="A66" t="s">
        <v>375</v>
      </c>
      <c r="B66" t="s">
        <v>393</v>
      </c>
      <c r="C66" t="s">
        <v>394</v>
      </c>
      <c r="D66" s="204">
        <v>7537</v>
      </c>
      <c r="E66">
        <v>0</v>
      </c>
      <c r="F66">
        <v>489</v>
      </c>
      <c r="G66" t="s">
        <v>413</v>
      </c>
      <c r="H66" s="171">
        <v>43634</v>
      </c>
      <c r="I66" t="s">
        <v>532</v>
      </c>
      <c r="J66" t="s">
        <v>533</v>
      </c>
      <c r="K66" t="s">
        <v>534</v>
      </c>
      <c r="L66">
        <v>2</v>
      </c>
      <c r="M66" t="s">
        <v>422</v>
      </c>
      <c r="N66">
        <v>1.8</v>
      </c>
    </row>
    <row r="67" spans="1:14" x14ac:dyDescent="0.25">
      <c r="A67" t="s">
        <v>375</v>
      </c>
      <c r="B67" t="s">
        <v>446</v>
      </c>
      <c r="C67" t="s">
        <v>447</v>
      </c>
      <c r="D67" s="204">
        <v>875</v>
      </c>
      <c r="E67">
        <v>0</v>
      </c>
      <c r="F67">
        <v>707</v>
      </c>
      <c r="G67" t="s">
        <v>413</v>
      </c>
      <c r="H67" s="171">
        <v>43838</v>
      </c>
      <c r="I67" t="s">
        <v>532</v>
      </c>
      <c r="J67" t="s">
        <v>535</v>
      </c>
      <c r="K67" t="s">
        <v>536</v>
      </c>
      <c r="L67">
        <v>0</v>
      </c>
      <c r="M67" t="s">
        <v>422</v>
      </c>
    </row>
    <row r="68" spans="1:14" x14ac:dyDescent="0.25">
      <c r="A68" t="s">
        <v>375</v>
      </c>
      <c r="B68" t="s">
        <v>393</v>
      </c>
      <c r="C68" t="s">
        <v>394</v>
      </c>
      <c r="D68" s="204">
        <v>800</v>
      </c>
      <c r="E68">
        <v>0</v>
      </c>
      <c r="F68">
        <v>706</v>
      </c>
      <c r="G68" t="s">
        <v>413</v>
      </c>
      <c r="H68" s="171">
        <v>43809</v>
      </c>
      <c r="I68" t="s">
        <v>532</v>
      </c>
      <c r="J68" t="s">
        <v>537</v>
      </c>
      <c r="K68" t="s">
        <v>538</v>
      </c>
      <c r="L68">
        <v>2</v>
      </c>
      <c r="M68" t="s">
        <v>422</v>
      </c>
    </row>
    <row r="69" spans="1:14" x14ac:dyDescent="0.25">
      <c r="A69" t="s">
        <v>375</v>
      </c>
      <c r="B69" t="s">
        <v>398</v>
      </c>
      <c r="C69" t="s">
        <v>399</v>
      </c>
      <c r="D69" s="204">
        <v>3000</v>
      </c>
      <c r="E69">
        <v>0</v>
      </c>
      <c r="F69">
        <v>490</v>
      </c>
      <c r="G69" t="s">
        <v>413</v>
      </c>
      <c r="H69" s="171">
        <v>43644</v>
      </c>
      <c r="I69" t="s">
        <v>539</v>
      </c>
      <c r="J69" t="s">
        <v>540</v>
      </c>
      <c r="K69" t="s">
        <v>541</v>
      </c>
      <c r="L69">
        <v>2</v>
      </c>
      <c r="M69" t="s">
        <v>422</v>
      </c>
      <c r="N69">
        <v>2.8</v>
      </c>
    </row>
    <row r="70" spans="1:14" x14ac:dyDescent="0.25">
      <c r="A70" t="s">
        <v>375</v>
      </c>
      <c r="B70" t="s">
        <v>398</v>
      </c>
      <c r="C70" t="s">
        <v>399</v>
      </c>
      <c r="D70" s="204">
        <v>2400</v>
      </c>
      <c r="E70">
        <v>0</v>
      </c>
      <c r="F70">
        <v>368</v>
      </c>
      <c r="G70" t="s">
        <v>413</v>
      </c>
      <c r="H70" s="171">
        <v>43584</v>
      </c>
      <c r="I70" t="s">
        <v>539</v>
      </c>
      <c r="J70" t="s">
        <v>542</v>
      </c>
      <c r="K70" t="s">
        <v>543</v>
      </c>
      <c r="L70">
        <v>2</v>
      </c>
      <c r="M70" t="s">
        <v>422</v>
      </c>
      <c r="N70">
        <v>2.8</v>
      </c>
    </row>
    <row r="71" spans="1:14" x14ac:dyDescent="0.25">
      <c r="A71" t="s">
        <v>375</v>
      </c>
      <c r="B71" t="s">
        <v>398</v>
      </c>
      <c r="C71" t="s">
        <v>399</v>
      </c>
      <c r="D71" s="204">
        <v>750</v>
      </c>
      <c r="E71">
        <v>0</v>
      </c>
      <c r="F71">
        <v>627</v>
      </c>
      <c r="G71" t="s">
        <v>413</v>
      </c>
      <c r="H71" s="171">
        <v>43732</v>
      </c>
      <c r="I71" t="s">
        <v>539</v>
      </c>
      <c r="J71" t="s">
        <v>544</v>
      </c>
      <c r="K71" t="s">
        <v>545</v>
      </c>
      <c r="L71">
        <v>2</v>
      </c>
      <c r="M71" t="s">
        <v>422</v>
      </c>
    </row>
    <row r="72" spans="1:14" x14ac:dyDescent="0.25">
      <c r="A72" t="s">
        <v>375</v>
      </c>
      <c r="B72" t="s">
        <v>486</v>
      </c>
      <c r="C72" t="s">
        <v>487</v>
      </c>
      <c r="D72" s="204">
        <v>149.5</v>
      </c>
      <c r="E72">
        <v>0</v>
      </c>
      <c r="F72">
        <v>491</v>
      </c>
      <c r="G72" t="s">
        <v>413</v>
      </c>
      <c r="H72" s="171">
        <v>43649</v>
      </c>
      <c r="I72" t="s">
        <v>546</v>
      </c>
      <c r="J72" t="s">
        <v>547</v>
      </c>
      <c r="K72" t="s">
        <v>548</v>
      </c>
      <c r="L72">
        <v>2</v>
      </c>
      <c r="M72" t="s">
        <v>422</v>
      </c>
    </row>
    <row r="73" spans="1:14" x14ac:dyDescent="0.25">
      <c r="A73" t="s">
        <v>375</v>
      </c>
      <c r="B73" t="s">
        <v>486</v>
      </c>
      <c r="C73" t="s">
        <v>487</v>
      </c>
      <c r="D73" s="204">
        <v>75</v>
      </c>
      <c r="E73">
        <v>0</v>
      </c>
      <c r="F73">
        <v>323</v>
      </c>
      <c r="G73" t="s">
        <v>413</v>
      </c>
      <c r="H73" s="171">
        <v>43523</v>
      </c>
      <c r="I73" t="s">
        <v>546</v>
      </c>
      <c r="J73" t="s">
        <v>549</v>
      </c>
      <c r="K73" t="s">
        <v>550</v>
      </c>
      <c r="L73">
        <v>2</v>
      </c>
      <c r="M73" t="s">
        <v>422</v>
      </c>
    </row>
    <row r="74" spans="1:14" x14ac:dyDescent="0.25">
      <c r="A74" t="s">
        <v>375</v>
      </c>
      <c r="B74" t="s">
        <v>551</v>
      </c>
      <c r="C74" t="s">
        <v>552</v>
      </c>
      <c r="D74" s="204">
        <v>6000</v>
      </c>
      <c r="E74">
        <v>0</v>
      </c>
      <c r="F74">
        <v>519</v>
      </c>
      <c r="G74" t="s">
        <v>413</v>
      </c>
      <c r="H74" s="171">
        <v>43675</v>
      </c>
      <c r="I74" t="s">
        <v>553</v>
      </c>
      <c r="J74" t="s">
        <v>554</v>
      </c>
      <c r="K74" t="s">
        <v>555</v>
      </c>
      <c r="L74">
        <v>2</v>
      </c>
      <c r="M74" t="s">
        <v>422</v>
      </c>
      <c r="N74">
        <v>3.1</v>
      </c>
    </row>
    <row r="75" spans="1:14" x14ac:dyDescent="0.25">
      <c r="A75" t="s">
        <v>375</v>
      </c>
      <c r="B75" t="s">
        <v>556</v>
      </c>
      <c r="C75" t="s">
        <v>557</v>
      </c>
      <c r="D75" s="204">
        <v>3700</v>
      </c>
      <c r="E75">
        <v>0</v>
      </c>
      <c r="F75">
        <v>475</v>
      </c>
      <c r="G75" t="s">
        <v>413</v>
      </c>
      <c r="H75" s="171">
        <v>43628</v>
      </c>
      <c r="I75" t="s">
        <v>558</v>
      </c>
      <c r="J75" t="s">
        <v>559</v>
      </c>
      <c r="K75" t="s">
        <v>560</v>
      </c>
      <c r="L75">
        <v>2</v>
      </c>
      <c r="M75" t="s">
        <v>422</v>
      </c>
      <c r="N75">
        <v>3.2</v>
      </c>
    </row>
    <row r="76" spans="1:14" x14ac:dyDescent="0.25">
      <c r="A76" t="s">
        <v>375</v>
      </c>
      <c r="B76" t="s">
        <v>446</v>
      </c>
      <c r="C76" t="s">
        <v>447</v>
      </c>
      <c r="D76" s="204">
        <v>274602.17</v>
      </c>
      <c r="E76">
        <v>0</v>
      </c>
      <c r="F76">
        <v>572</v>
      </c>
      <c r="G76" t="s">
        <v>413</v>
      </c>
      <c r="H76" s="171">
        <v>43692</v>
      </c>
      <c r="I76" t="s">
        <v>561</v>
      </c>
      <c r="J76" t="s">
        <v>562</v>
      </c>
      <c r="K76" t="s">
        <v>563</v>
      </c>
      <c r="L76">
        <v>2</v>
      </c>
      <c r="M76" t="s">
        <v>422</v>
      </c>
      <c r="N7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B9CEBF571E940915AA3E9F7CB0C77" ma:contentTypeVersion="8" ma:contentTypeDescription="Create a new document." ma:contentTypeScope="" ma:versionID="fdaab7420e9b789b90bf8f4d177a7347">
  <xsd:schema xmlns:xsd="http://www.w3.org/2001/XMLSchema" xmlns:xs="http://www.w3.org/2001/XMLSchema" xmlns:p="http://schemas.microsoft.com/office/2006/metadata/properties" xmlns:ns2="4c3f368b-487a-4495-b6a5-755bd60b8d5c" xmlns:ns3="6c0eac1c-7e96-4165-a506-baad0f093d35" targetNamespace="http://schemas.microsoft.com/office/2006/metadata/properties" ma:root="true" ma:fieldsID="47c8461a47798eddf878cfb488147f10" ns2:_="" ns3:_="">
    <xsd:import namespace="4c3f368b-487a-4495-b6a5-755bd60b8d5c"/>
    <xsd:import namespace="6c0eac1c-7e96-4165-a506-baad0f093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f368b-487a-4495-b6a5-755bd60b8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eac1c-7e96-4165-a506-baad0f093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39BC8F-A304-4658-A6D4-1A0C196D01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61730E-5F03-4FF9-9AA1-33D232D3E955}">
  <ds:schemaRefs>
    <ds:schemaRef ds:uri="http://www.w3.org/XML/1998/namespace"/>
    <ds:schemaRef ds:uri="http://purl.org/dc/terms/"/>
    <ds:schemaRef ds:uri="4c3f368b-487a-4495-b6a5-755bd60b8d5c"/>
    <ds:schemaRef ds:uri="http://purl.org/dc/dcmitype/"/>
    <ds:schemaRef ds:uri="http://purl.org/dc/elements/1.1/"/>
    <ds:schemaRef ds:uri="http://schemas.microsoft.com/office/2006/metadata/properties"/>
    <ds:schemaRef ds:uri="6c0eac1c-7e96-4165-a506-baad0f093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955091E-D63A-44B3-95FC-7CF5B1E23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f368b-487a-4495-b6a5-755bd60b8d5c"/>
    <ds:schemaRef ds:uri="6c0eac1c-7e96-4165-a506-baad0f093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109</vt:i4>
      </vt:variant>
    </vt:vector>
  </HeadingPairs>
  <TitlesOfParts>
    <vt:vector size="119" baseType="lpstr">
      <vt:lpstr>Inputs</vt:lpstr>
      <vt:lpstr>Cashflow Dynamic</vt:lpstr>
      <vt:lpstr>Rent Schedule</vt:lpstr>
      <vt:lpstr>Sources and Uses</vt:lpstr>
      <vt:lpstr>Sensitivity Analysis</vt:lpstr>
      <vt:lpstr>Sensitivities &amp; Bank Breakevens</vt:lpstr>
      <vt:lpstr>Credit Tables</vt:lpstr>
      <vt:lpstr>Process</vt:lpstr>
      <vt:lpstr>Chesham</vt:lpstr>
      <vt:lpstr>Costs spent to date</vt:lpstr>
      <vt:lpstr>Acquisition_Costs</vt:lpstr>
      <vt:lpstr>Acquisition_Costs_Equity</vt:lpstr>
      <vt:lpstr>Acquisition_Costs_SnrDebt</vt:lpstr>
      <vt:lpstr>Arrangement_Fee_Equity</vt:lpstr>
      <vt:lpstr>Arrangement_Fee_Percent</vt:lpstr>
      <vt:lpstr>Arrangement_Fee_SnrDebt</vt:lpstr>
      <vt:lpstr>Arrangement_Fee_Value</vt:lpstr>
      <vt:lpstr>Bank_Income_Total</vt:lpstr>
      <vt:lpstr>BBE_Exit_Yield</vt:lpstr>
      <vt:lpstr>BBE_Rent_PA</vt:lpstr>
      <vt:lpstr>Build_Cost_per_Bed</vt:lpstr>
      <vt:lpstr>Cap_Guarantee_Percent_Build_Cost</vt:lpstr>
      <vt:lpstr>Cap_Guarantee_Percent_Loan_Amt</vt:lpstr>
      <vt:lpstr>Cap_Value_Pound_PSF_Bank_BreakEven</vt:lpstr>
      <vt:lpstr>Cap_Value_Pound_PSF_Incl_Guarantee</vt:lpstr>
      <vt:lpstr>Capital_Guarantee</vt:lpstr>
      <vt:lpstr>Construction_Costs</vt:lpstr>
      <vt:lpstr>Construction_Costs_Equity</vt:lpstr>
      <vt:lpstr>Construction_Costs_SnrDebt</vt:lpstr>
      <vt:lpstr>Contingency</vt:lpstr>
      <vt:lpstr>Contingency_Equity</vt:lpstr>
      <vt:lpstr>Contingency_SnrDebt</vt:lpstr>
      <vt:lpstr>Cost_Overrun_Guarantee</vt:lpstr>
      <vt:lpstr>Debt_IRR</vt:lpstr>
      <vt:lpstr>Debt_Yield_Bank_BreakEven</vt:lpstr>
      <vt:lpstr>Debt_Yield_Incl_Guarantee</vt:lpstr>
      <vt:lpstr>Dev_All_In_InterestRate</vt:lpstr>
      <vt:lpstr>Development_Margin</vt:lpstr>
      <vt:lpstr>Development_Period_Mnths</vt:lpstr>
      <vt:lpstr>End_Date</vt:lpstr>
      <vt:lpstr>Equity_IRR</vt:lpstr>
      <vt:lpstr>Equity_Release</vt:lpstr>
      <vt:lpstr>Exit_Fee_Percent</vt:lpstr>
      <vt:lpstr>Exit_Fee_Value</vt:lpstr>
      <vt:lpstr>Free_Cashflow</vt:lpstr>
      <vt:lpstr>Gross_MV</vt:lpstr>
      <vt:lpstr>Gross_Rental</vt:lpstr>
      <vt:lpstr>Gross_Yield</vt:lpstr>
      <vt:lpstr>ICR</vt:lpstr>
      <vt:lpstr>ICR_Bank_BreakEven</vt:lpstr>
      <vt:lpstr>ICR_BBE</vt:lpstr>
      <vt:lpstr>ICR_BBE_Incl_Guarantee</vt:lpstr>
      <vt:lpstr>ICR_Incl_Guarantee</vt:lpstr>
      <vt:lpstr>Interest_pa</vt:lpstr>
      <vt:lpstr>Interest_Roll</vt:lpstr>
      <vt:lpstr>Interest_Rollup_Equity</vt:lpstr>
      <vt:lpstr>Interest_Rollup_SnrDebt</vt:lpstr>
      <vt:lpstr>Interest_Serviced</vt:lpstr>
      <vt:lpstr>Interest_Serviced_From</vt:lpstr>
      <vt:lpstr>Interest_Shortfall_Guarantee_Amount</vt:lpstr>
      <vt:lpstr>Invest_All_In_InterestRate</vt:lpstr>
      <vt:lpstr>Investment_Margin</vt:lpstr>
      <vt:lpstr>Investment_Period_Term</vt:lpstr>
      <vt:lpstr>IRU_PPC_Mnths</vt:lpstr>
      <vt:lpstr>LIBOR</vt:lpstr>
      <vt:lpstr>LTC</vt:lpstr>
      <vt:lpstr>LTC_Bank_BreakEven</vt:lpstr>
      <vt:lpstr>LTC_Incl_Guarantee</vt:lpstr>
      <vt:lpstr>LTNDV_Bank_BreakEven</vt:lpstr>
      <vt:lpstr>LTNDV_Incl_Guarantee</vt:lpstr>
      <vt:lpstr>Marketing_Costs</vt:lpstr>
      <vt:lpstr>Marketing_Lettings_Equity</vt:lpstr>
      <vt:lpstr>Marketing_Lettings_SnrDebt</vt:lpstr>
      <vt:lpstr>NDV</vt:lpstr>
      <vt:lpstr>NDV_per_Bed</vt:lpstr>
      <vt:lpstr>NDV_per_Unit</vt:lpstr>
      <vt:lpstr>NDV_per_Unit_Incl_Guarantee</vt:lpstr>
      <vt:lpstr>Net_MV</vt:lpstr>
      <vt:lpstr>Net_Yield_Rental_Percent</vt:lpstr>
      <vt:lpstr>NIY</vt:lpstr>
      <vt:lpstr>NOI</vt:lpstr>
      <vt:lpstr>NOI_Percent</vt:lpstr>
      <vt:lpstr>Non_UtilFee_Equity</vt:lpstr>
      <vt:lpstr>Non_UtilFee_Percent</vt:lpstr>
      <vt:lpstr>Non_UtilFee_SnrDebt</vt:lpstr>
      <vt:lpstr>Non_Utilisation_Fee_Value</vt:lpstr>
      <vt:lpstr>Other_Costs</vt:lpstr>
      <vt:lpstr>Other_Costs_Equity</vt:lpstr>
      <vt:lpstr>Other_Costs_SnrDebt</vt:lpstr>
      <vt:lpstr>POC</vt:lpstr>
      <vt:lpstr>Practical_Completion_Date</vt:lpstr>
      <vt:lpstr>Professional_Fees</vt:lpstr>
      <vt:lpstr>Professional_Fees_Equity</vt:lpstr>
      <vt:lpstr>Professional_Fees_SnrDebt</vt:lpstr>
      <vt:lpstr>Project_Profit</vt:lpstr>
      <vt:lpstr>Purchasers_Cost_Percent</vt:lpstr>
      <vt:lpstr>Repayment_Type</vt:lpstr>
      <vt:lpstr>Specify_Amort_Amts</vt:lpstr>
      <vt:lpstr>Start_Date</vt:lpstr>
      <vt:lpstr>Term</vt:lpstr>
      <vt:lpstr>Total_Costs</vt:lpstr>
      <vt:lpstr>Total_Costs_InclFees</vt:lpstr>
      <vt:lpstr>Total_Debt</vt:lpstr>
      <vt:lpstr>Total_Equity_Facility</vt:lpstr>
      <vt:lpstr>Total_Equity_Sources_Uses</vt:lpstr>
      <vt:lpstr>Total_Interest</vt:lpstr>
      <vt:lpstr>Total_No_Beds</vt:lpstr>
      <vt:lpstr>Total_ProjectCosts</vt:lpstr>
      <vt:lpstr>Total_SnrDebt_Sources_Uses</vt:lpstr>
      <vt:lpstr>Validation_Acquisition_Costs</vt:lpstr>
      <vt:lpstr>Validation_ContingencyCosts</vt:lpstr>
      <vt:lpstr>Validation_ContsructionCosts</vt:lpstr>
      <vt:lpstr>Validation_MarketingCosts</vt:lpstr>
      <vt:lpstr>Validation_OtherCosts</vt:lpstr>
      <vt:lpstr>Validation_ProfessionalFees</vt:lpstr>
      <vt:lpstr>Validation_Total_Costs</vt:lpstr>
      <vt:lpstr>Validation_Total_Equity</vt:lpstr>
      <vt:lpstr>Validation_Total_Revenue</vt:lpstr>
      <vt:lpstr>Yield_Increments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Shreeya Panchal</dc:creator>
  <cp:keywords/>
  <dc:description/>
  <cp:lastModifiedBy>Christo Joubert</cp:lastModifiedBy>
  <cp:revision/>
  <dcterms:created xsi:type="dcterms:W3CDTF">2020-02-10T09:01:20Z</dcterms:created>
  <dcterms:modified xsi:type="dcterms:W3CDTF">2020-04-14T17:46:26Z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8a70db-6353-4723-9645-3c298b95df56_Enabled">
    <vt:lpwstr>true</vt:lpwstr>
  </property>
  <property fmtid="{D5CDD505-2E9C-101B-9397-08002B2CF9AE}" pid="3" name="MSIP_Label_eb8a70db-6353-4723-9645-3c298b95df56_SetDate">
    <vt:lpwstr>2020-02-13T14:32:14Z</vt:lpwstr>
  </property>
  <property fmtid="{D5CDD505-2E9C-101B-9397-08002B2CF9AE}" pid="4" name="MSIP_Label_eb8a70db-6353-4723-9645-3c298b95df56_Method">
    <vt:lpwstr>Privileged</vt:lpwstr>
  </property>
  <property fmtid="{D5CDD505-2E9C-101B-9397-08002B2CF9AE}" pid="5" name="MSIP_Label_eb8a70db-6353-4723-9645-3c298b95df56_Name">
    <vt:lpwstr>eb8a70db-6353-4723-9645-3c298b95df56</vt:lpwstr>
  </property>
  <property fmtid="{D5CDD505-2E9C-101B-9397-08002B2CF9AE}" pid="6" name="MSIP_Label_eb8a70db-6353-4723-9645-3c298b95df56_SiteId">
    <vt:lpwstr>6d6a11bc-469a-48df-a548-d3f353ac1be8</vt:lpwstr>
  </property>
  <property fmtid="{D5CDD505-2E9C-101B-9397-08002B2CF9AE}" pid="7" name="MSIP_Label_eb8a70db-6353-4723-9645-3c298b95df56_ActionId">
    <vt:lpwstr>b222b577-7d87-4b73-8060-00001269e6eb</vt:lpwstr>
  </property>
  <property fmtid="{D5CDD505-2E9C-101B-9397-08002B2CF9AE}" pid="8" name="MSIP_Label_eb8a70db-6353-4723-9645-3c298b95df56_ContentBits">
    <vt:lpwstr>0</vt:lpwstr>
  </property>
  <property fmtid="{D5CDD505-2E9C-101B-9397-08002B2CF9AE}" pid="9" name="ContentTypeId">
    <vt:lpwstr>0x01010029DB9CEBF571E940915AA3E9F7CB0C77</vt:lpwstr>
  </property>
</Properties>
</file>