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dades compartidas\Informacion David Mantilla\DISCO D\ESCANEOS VARIOS\DAIHATSU TERIOS II\DAIHATSU TERIOS 2006-2018 TRAS\"/>
    </mc:Choice>
  </mc:AlternateContent>
  <bookViews>
    <workbookView visibility="hidden" xWindow="0" yWindow="0" windowWidth="29070" windowHeight="15750"/>
  </bookViews>
  <sheets>
    <sheet name="RATA" sheetId="1" r:id="rId1"/>
    <sheet name="PRUEBA MUESTRAS CARGAS" sheetId="3" r:id="rId2"/>
    <sheet name="PUNTOS PRINCIPALES" sheetId="2" r:id="rId3"/>
    <sheet name="PASOS SOLI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/>
  <c r="Q19" i="1"/>
  <c r="S19" i="1"/>
  <c r="P14" i="1"/>
  <c r="Q14" i="1"/>
  <c r="S14" i="1"/>
  <c r="S17" i="1"/>
  <c r="P17" i="1"/>
  <c r="Q17" i="1"/>
  <c r="M10" i="1"/>
  <c r="P10" i="1"/>
  <c r="Q10" i="1" s="1"/>
  <c r="S10" i="1"/>
  <c r="P16" i="1" l="1"/>
  <c r="Q16" i="1" s="1"/>
  <c r="S16" i="1"/>
  <c r="O32" i="1"/>
  <c r="P11" i="1"/>
  <c r="Q11" i="1" s="1"/>
  <c r="S11" i="1"/>
  <c r="P12" i="1"/>
  <c r="Q12" i="1"/>
  <c r="S12" i="1"/>
  <c r="P13" i="1"/>
  <c r="Q13" i="1"/>
  <c r="S13" i="1"/>
  <c r="P15" i="1"/>
  <c r="Q15" i="1"/>
  <c r="S15" i="1"/>
  <c r="P18" i="1"/>
  <c r="Q18" i="1"/>
  <c r="S18" i="1"/>
  <c r="P20" i="1"/>
  <c r="Q20" i="1" s="1"/>
  <c r="S20" i="1"/>
  <c r="P21" i="1"/>
  <c r="Q21" i="1" s="1"/>
  <c r="S21" i="1"/>
  <c r="P22" i="1"/>
  <c r="Q22" i="1" s="1"/>
  <c r="S22" i="1"/>
  <c r="P23" i="1"/>
  <c r="Q23" i="1"/>
  <c r="S23" i="1"/>
  <c r="P24" i="1"/>
  <c r="Q24" i="1" s="1"/>
  <c r="S24" i="1"/>
  <c r="P25" i="1"/>
  <c r="Q25" i="1"/>
  <c r="S25" i="1"/>
  <c r="P26" i="1"/>
  <c r="Q26" i="1"/>
  <c r="S26" i="1"/>
  <c r="P27" i="1"/>
  <c r="Q27" i="1"/>
  <c r="S27" i="1"/>
  <c r="R16" i="1" l="1"/>
  <c r="S28" i="1"/>
  <c r="S29" i="1"/>
  <c r="S30" i="1"/>
  <c r="S31" i="1"/>
  <c r="S32" i="1"/>
  <c r="S33" i="1"/>
  <c r="S34" i="1"/>
  <c r="P28" i="1"/>
  <c r="Q28" i="1" s="1"/>
  <c r="P29" i="1"/>
  <c r="Q29" i="1" s="1"/>
  <c r="P30" i="1"/>
  <c r="Q30" i="1" s="1"/>
  <c r="P31" i="1"/>
  <c r="Q31" i="1"/>
  <c r="P32" i="1"/>
  <c r="Q32" i="1" s="1"/>
  <c r="P33" i="1"/>
  <c r="Q33" i="1" s="1"/>
  <c r="P34" i="1"/>
  <c r="Q34" i="1"/>
  <c r="P7" i="1"/>
  <c r="Q7" i="1" s="1"/>
  <c r="S7" i="1"/>
  <c r="P8" i="1"/>
  <c r="Q8" i="1" s="1"/>
  <c r="S8" i="1"/>
  <c r="P9" i="1"/>
  <c r="Q9" i="1" s="1"/>
  <c r="S9" i="1"/>
  <c r="E13" i="1"/>
  <c r="F13" i="1" s="1"/>
  <c r="H13" i="1"/>
  <c r="E14" i="1"/>
  <c r="F14" i="1"/>
  <c r="H14" i="1"/>
  <c r="E15" i="1"/>
  <c r="F15" i="1"/>
  <c r="H15" i="1"/>
  <c r="E16" i="1"/>
  <c r="F16" i="1" s="1"/>
  <c r="H16" i="1"/>
  <c r="E17" i="1"/>
  <c r="F17" i="1"/>
  <c r="H17" i="1"/>
  <c r="E18" i="1"/>
  <c r="F18" i="1"/>
  <c r="H18" i="1"/>
  <c r="E19" i="1"/>
  <c r="F19" i="1" s="1"/>
  <c r="H19" i="1"/>
  <c r="E20" i="1"/>
  <c r="F20" i="1" s="1"/>
  <c r="H20" i="1"/>
  <c r="E21" i="1"/>
  <c r="F21" i="1" s="1"/>
  <c r="H21" i="1"/>
  <c r="E22" i="1"/>
  <c r="F22" i="1"/>
  <c r="H22" i="1"/>
  <c r="E23" i="1"/>
  <c r="F23" i="1"/>
  <c r="H23" i="1"/>
  <c r="E24" i="1"/>
  <c r="F24" i="1" s="1"/>
  <c r="H24" i="1"/>
  <c r="E25" i="1"/>
  <c r="F25" i="1" s="1"/>
  <c r="H25" i="1"/>
  <c r="E26" i="1"/>
  <c r="F26" i="1"/>
  <c r="H26" i="1"/>
  <c r="E27" i="1"/>
  <c r="F27" i="1" s="1"/>
  <c r="H27" i="1"/>
  <c r="B7" i="2"/>
  <c r="G20" i="1" l="1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C13" i="2"/>
  <c r="C12" i="2"/>
  <c r="B12" i="2"/>
  <c r="E8" i="2"/>
  <c r="E7" i="2"/>
  <c r="B6" i="2"/>
  <c r="E6" i="2" s="1"/>
  <c r="E5" i="2"/>
  <c r="B4" i="2"/>
  <c r="E4" i="2" s="1"/>
  <c r="B3" i="2"/>
  <c r="E3" i="2" s="1"/>
  <c r="H57" i="1"/>
  <c r="AD21" i="1" s="1"/>
  <c r="E57" i="1"/>
  <c r="F57" i="1" s="1"/>
  <c r="H56" i="1"/>
  <c r="E56" i="1"/>
  <c r="F56" i="1" s="1"/>
  <c r="H55" i="1"/>
  <c r="E55" i="1"/>
  <c r="F55" i="1" s="1"/>
  <c r="H54" i="1"/>
  <c r="E54" i="1"/>
  <c r="F54" i="1" s="1"/>
  <c r="H53" i="1"/>
  <c r="E53" i="1"/>
  <c r="F53" i="1" s="1"/>
  <c r="H52" i="1"/>
  <c r="E52" i="1"/>
  <c r="F52" i="1" s="1"/>
  <c r="H51" i="1"/>
  <c r="E51" i="1"/>
  <c r="F51" i="1" s="1"/>
  <c r="H50" i="1"/>
  <c r="AD22" i="1" s="1"/>
  <c r="E50" i="1"/>
  <c r="F50" i="1" s="1"/>
  <c r="AG22" i="1" s="1"/>
  <c r="S58" i="1"/>
  <c r="AD9" i="1" s="1"/>
  <c r="P58" i="1"/>
  <c r="Q58" i="1" s="1"/>
  <c r="H49" i="1"/>
  <c r="E49" i="1"/>
  <c r="F49" i="1" s="1"/>
  <c r="S57" i="1"/>
  <c r="P57" i="1"/>
  <c r="Q57" i="1" s="1"/>
  <c r="H48" i="1"/>
  <c r="E48" i="1"/>
  <c r="F48" i="1" s="1"/>
  <c r="S56" i="1"/>
  <c r="P56" i="1"/>
  <c r="Q56" i="1" s="1"/>
  <c r="H47" i="1"/>
  <c r="E47" i="1"/>
  <c r="F47" i="1" s="1"/>
  <c r="S55" i="1"/>
  <c r="P55" i="1"/>
  <c r="Q55" i="1" s="1"/>
  <c r="H46" i="1"/>
  <c r="E46" i="1"/>
  <c r="F46" i="1" s="1"/>
  <c r="V41" i="1"/>
  <c r="AH9" i="1" s="1"/>
  <c r="S54" i="1"/>
  <c r="P54" i="1"/>
  <c r="Q54" i="1" s="1"/>
  <c r="K41" i="1"/>
  <c r="AH21" i="1" s="1"/>
  <c r="H45" i="1"/>
  <c r="E45" i="1"/>
  <c r="F45" i="1" s="1"/>
  <c r="S53" i="1"/>
  <c r="P53" i="1"/>
  <c r="Q53" i="1" s="1"/>
  <c r="H44" i="1"/>
  <c r="E44" i="1"/>
  <c r="F44" i="1" s="1"/>
  <c r="S52" i="1"/>
  <c r="P52" i="1"/>
  <c r="Q52" i="1" s="1"/>
  <c r="H43" i="1"/>
  <c r="AD23" i="1" s="1"/>
  <c r="E43" i="1"/>
  <c r="F43" i="1" s="1"/>
  <c r="AG23" i="1" s="1"/>
  <c r="S51" i="1"/>
  <c r="AD10" i="1" s="1"/>
  <c r="P51" i="1"/>
  <c r="Q51" i="1" s="1"/>
  <c r="AG10" i="1" s="1"/>
  <c r="H42" i="1"/>
  <c r="E42" i="1"/>
  <c r="F42" i="1" s="1"/>
  <c r="S50" i="1"/>
  <c r="P50" i="1"/>
  <c r="Q50" i="1" s="1"/>
  <c r="H41" i="1"/>
  <c r="E41" i="1"/>
  <c r="F41" i="1" s="1"/>
  <c r="S49" i="1"/>
  <c r="P49" i="1"/>
  <c r="Q49" i="1" s="1"/>
  <c r="H40" i="1"/>
  <c r="E40" i="1"/>
  <c r="F40" i="1" s="1"/>
  <c r="S48" i="1"/>
  <c r="P48" i="1"/>
  <c r="Q48" i="1" s="1"/>
  <c r="H39" i="1"/>
  <c r="E39" i="1"/>
  <c r="F39" i="1" s="1"/>
  <c r="V34" i="1"/>
  <c r="AH10" i="1" s="1"/>
  <c r="S47" i="1"/>
  <c r="P47" i="1"/>
  <c r="Q47" i="1" s="1"/>
  <c r="K34" i="1"/>
  <c r="AH22" i="1" s="1"/>
  <c r="H38" i="1"/>
  <c r="E38" i="1"/>
  <c r="F38" i="1" s="1"/>
  <c r="S46" i="1"/>
  <c r="P46" i="1"/>
  <c r="Q46" i="1" s="1"/>
  <c r="H37" i="1"/>
  <c r="AD24" i="1" s="1"/>
  <c r="E37" i="1"/>
  <c r="F37" i="1" s="1"/>
  <c r="AG24" i="1" s="1"/>
  <c r="S45" i="1"/>
  <c r="P45" i="1"/>
  <c r="Q45" i="1" s="1"/>
  <c r="H36" i="1"/>
  <c r="E36" i="1"/>
  <c r="F36" i="1" s="1"/>
  <c r="S44" i="1"/>
  <c r="AE11" i="1" s="1"/>
  <c r="P44" i="1"/>
  <c r="Q44" i="1" s="1"/>
  <c r="AG11" i="1" s="1"/>
  <c r="H35" i="1"/>
  <c r="E35" i="1"/>
  <c r="F35" i="1" s="1"/>
  <c r="S43" i="1"/>
  <c r="P43" i="1"/>
  <c r="Q43" i="1" s="1"/>
  <c r="H34" i="1"/>
  <c r="E34" i="1"/>
  <c r="F34" i="1" s="1"/>
  <c r="S42" i="1"/>
  <c r="P42" i="1"/>
  <c r="Q42" i="1" s="1"/>
  <c r="H33" i="1"/>
  <c r="E33" i="1"/>
  <c r="F33" i="1" s="1"/>
  <c r="S41" i="1"/>
  <c r="P41" i="1"/>
  <c r="Q41" i="1" s="1"/>
  <c r="H32" i="1"/>
  <c r="E32" i="1"/>
  <c r="F32" i="1" s="1"/>
  <c r="V27" i="1"/>
  <c r="AH11" i="1" s="1"/>
  <c r="S40" i="1"/>
  <c r="P40" i="1"/>
  <c r="Q40" i="1" s="1"/>
  <c r="H31" i="1"/>
  <c r="E31" i="1"/>
  <c r="F31" i="1" s="1"/>
  <c r="S39" i="1"/>
  <c r="P39" i="1"/>
  <c r="Q39" i="1" s="1"/>
  <c r="K26" i="1"/>
  <c r="H30" i="1"/>
  <c r="E30" i="1"/>
  <c r="F30" i="1" s="1"/>
  <c r="AH25" i="1"/>
  <c r="AF25" i="1"/>
  <c r="AE25" i="1"/>
  <c r="AD25" i="1"/>
  <c r="S38" i="1"/>
  <c r="AD12" i="1" s="1"/>
  <c r="P38" i="1"/>
  <c r="Q38" i="1" s="1"/>
  <c r="AG12" i="1" s="1"/>
  <c r="H29" i="1"/>
  <c r="E29" i="1"/>
  <c r="F29" i="1" s="1"/>
  <c r="AF24" i="1"/>
  <c r="AE24" i="1"/>
  <c r="AC24" i="1"/>
  <c r="S37" i="1"/>
  <c r="P37" i="1"/>
  <c r="Q37" i="1" s="1"/>
  <c r="H28" i="1"/>
  <c r="E28" i="1"/>
  <c r="F28" i="1" s="1"/>
  <c r="AH23" i="1"/>
  <c r="AF23" i="1"/>
  <c r="AE23" i="1"/>
  <c r="AC23" i="1"/>
  <c r="S36" i="1"/>
  <c r="P36" i="1"/>
  <c r="Q36" i="1" s="1"/>
  <c r="AF22" i="1"/>
  <c r="AE22" i="1"/>
  <c r="AC22" i="1"/>
  <c r="S35" i="1"/>
  <c r="P35" i="1"/>
  <c r="Q35" i="1" s="1"/>
  <c r="AF21" i="1"/>
  <c r="AE21" i="1"/>
  <c r="AC21" i="1"/>
  <c r="V21" i="1"/>
  <c r="AH12" i="1" s="1"/>
  <c r="K21" i="1"/>
  <c r="AH24" i="1" s="1"/>
  <c r="AI18" i="1"/>
  <c r="AH18" i="1"/>
  <c r="AI17" i="1"/>
  <c r="AH17" i="1"/>
  <c r="AD17" i="1"/>
  <c r="AG17" i="1" s="1"/>
  <c r="AH13" i="1"/>
  <c r="AF13" i="1"/>
  <c r="AE13" i="1"/>
  <c r="AD13" i="1"/>
  <c r="AF12" i="1"/>
  <c r="AE12" i="1"/>
  <c r="AC12" i="1"/>
  <c r="AG28" i="1" s="1"/>
  <c r="H12" i="1"/>
  <c r="E12" i="1"/>
  <c r="F12" i="1" s="1"/>
  <c r="AF11" i="1"/>
  <c r="AC11" i="1"/>
  <c r="H11" i="1"/>
  <c r="E11" i="1"/>
  <c r="F11" i="1" s="1"/>
  <c r="AF10" i="1"/>
  <c r="AE10" i="1"/>
  <c r="AC10" i="1"/>
  <c r="H10" i="1"/>
  <c r="E10" i="1"/>
  <c r="F10" i="1" s="1"/>
  <c r="AF9" i="1"/>
  <c r="AE9" i="1"/>
  <c r="AC9" i="1"/>
  <c r="H9" i="1"/>
  <c r="E9" i="1"/>
  <c r="F9" i="1" s="1"/>
  <c r="H8" i="1"/>
  <c r="E8" i="1"/>
  <c r="F8" i="1" s="1"/>
  <c r="H7" i="1"/>
  <c r="E7" i="1"/>
  <c r="F7" i="1" s="1"/>
  <c r="AI6" i="1"/>
  <c r="AH6" i="1"/>
  <c r="S6" i="1"/>
  <c r="P6" i="1"/>
  <c r="Q6" i="1" s="1"/>
  <c r="H6" i="1"/>
  <c r="E6" i="1"/>
  <c r="F6" i="1" s="1"/>
  <c r="AI5" i="1"/>
  <c r="AH5" i="1"/>
  <c r="S5" i="1"/>
  <c r="P5" i="1"/>
  <c r="Q5" i="1" s="1"/>
  <c r="H5" i="1"/>
  <c r="E5" i="1"/>
  <c r="F5" i="1" s="1"/>
  <c r="P4" i="1"/>
  <c r="Q4" i="1" s="1"/>
  <c r="AG13" i="1" s="1"/>
  <c r="E4" i="1"/>
  <c r="F4" i="1" s="1"/>
  <c r="AG25" i="1" s="1"/>
  <c r="AD5" i="1" l="1"/>
  <c r="AG5" i="1" s="1"/>
  <c r="AI31" i="1"/>
  <c r="AG32" i="1" s="1"/>
  <c r="AI32" i="1" s="1"/>
  <c r="AG31" i="1"/>
  <c r="AI30" i="1" s="1"/>
  <c r="AG30" i="1" s="1"/>
  <c r="G53" i="1"/>
  <c r="AD18" i="1" s="1"/>
  <c r="AG21" i="1"/>
  <c r="R54" i="1"/>
  <c r="AD6" i="1" s="1"/>
  <c r="AG9" i="1"/>
  <c r="AF17" i="1"/>
  <c r="AD11" i="1"/>
  <c r="AF5" i="1" l="1"/>
  <c r="AG18" i="1"/>
  <c r="AF18" i="1"/>
  <c r="AF6" i="1"/>
  <c r="AG6" i="1"/>
</calcChain>
</file>

<file path=xl/sharedStrings.xml><?xml version="1.0" encoding="utf-8"?>
<sst xmlns="http://schemas.openxmlformats.org/spreadsheetml/2006/main" count="234" uniqueCount="149">
  <si>
    <t>H(mm)</t>
  </si>
  <si>
    <t>C (mm)</t>
  </si>
  <si>
    <t>DEFLEX (mm)</t>
  </si>
  <si>
    <t>ESFUERZO (Mpa)</t>
  </si>
  <si>
    <t>PRESET</t>
  </si>
  <si>
    <t>LIBRE</t>
  </si>
  <si>
    <t xml:space="preserve">RATA 1: </t>
  </si>
  <si>
    <t xml:space="preserve">RATA 2: </t>
  </si>
  <si>
    <t>CARGAS (kgf)</t>
  </si>
  <si>
    <t>ESPECIFICACIONES DE PRUEBA CON GRAPAS</t>
  </si>
  <si>
    <t>TIME (S)</t>
  </si>
  <si>
    <t>DESP (mm)</t>
  </si>
  <si>
    <t>FORCE 1 (N)</t>
  </si>
  <si>
    <t>TOTAL FORCE (N)</t>
  </si>
  <si>
    <t>TOTAL FORCE (Kgf)</t>
  </si>
  <si>
    <t>RATE (kgf/mm)</t>
  </si>
  <si>
    <t>H (mm)</t>
  </si>
  <si>
    <t>SPRING NAME CLAMPED</t>
  </si>
  <si>
    <t>SPRING NAME  UNCLAMPED</t>
  </si>
  <si>
    <t>MARCA DE CARGAS SIN GRAPA</t>
  </si>
  <si>
    <t xml:space="preserve">CARGA: </t>
  </si>
  <si>
    <t xml:space="preserve">SIMBOLO </t>
  </si>
  <si>
    <t xml:space="preserve">RANGO </t>
  </si>
  <si>
    <t>­</t>
  </si>
  <si>
    <t xml:space="preserve"> ≤ H &lt; </t>
  </si>
  <si>
    <t xml:space="preserve">≤ H ≤ </t>
  </si>
  <si>
    <t>+</t>
  </si>
  <si>
    <t>ENTRE</t>
  </si>
  <si>
    <t>ASSEMBLY</t>
  </si>
  <si>
    <t>LOADS</t>
  </si>
  <si>
    <t>POSITION</t>
  </si>
  <si>
    <t>CONTACT</t>
  </si>
  <si>
    <t>MAX</t>
  </si>
  <si>
    <t>σ1 HOJA 1</t>
  </si>
  <si>
    <t>σ1 MAX</t>
  </si>
  <si>
    <t>MIN</t>
  </si>
  <si>
    <t>HOJA</t>
  </si>
  <si>
    <t>I</t>
  </si>
  <si>
    <t>J</t>
  </si>
  <si>
    <t>C</t>
  </si>
  <si>
    <t>G</t>
  </si>
  <si>
    <t>V</t>
  </si>
  <si>
    <t>AE</t>
  </si>
  <si>
    <t>AF</t>
  </si>
  <si>
    <t>Y</t>
  </si>
  <si>
    <t>AC</t>
  </si>
  <si>
    <t>AR</t>
  </si>
  <si>
    <t>ESPECIFICACIONES DE PRUEBA SIN GRAPAS</t>
  </si>
  <si>
    <r>
      <t xml:space="preserve">NORMAL </t>
    </r>
    <r>
      <rPr>
        <sz val="11"/>
        <color theme="1"/>
        <rFont val="Calibri"/>
        <family val="2"/>
      </rPr>
      <t xml:space="preserve">± 4 </t>
    </r>
    <r>
      <rPr>
        <sz val="11"/>
        <color theme="1"/>
        <rFont val="Symbol"/>
        <family val="1"/>
        <charset val="2"/>
      </rPr>
      <t>▽</t>
    </r>
    <r>
      <rPr>
        <sz val="11"/>
        <color theme="1"/>
        <rFont val="Calibri"/>
        <family val="2"/>
      </rPr>
      <t>/KPC</t>
    </r>
  </si>
  <si>
    <r>
      <t xml:space="preserve">CURB ± 4 </t>
    </r>
    <r>
      <rPr>
        <sz val="11"/>
        <color theme="1"/>
        <rFont val="Calibri"/>
        <family val="2"/>
        <scheme val="minor"/>
      </rPr>
      <t>▽/KPC</t>
    </r>
  </si>
  <si>
    <t xml:space="preserve"> &lt; H ≤ </t>
  </si>
  <si>
    <t xml:space="preserve">kgf/mm ± 5% </t>
  </si>
  <si>
    <t>O</t>
  </si>
  <si>
    <t>POSICIÓN</t>
  </si>
  <si>
    <t>ALTURA MM</t>
  </si>
  <si>
    <t>CARGA (KGF)</t>
  </si>
  <si>
    <t>ESFUERZO KGF/MM2</t>
  </si>
  <si>
    <t>DESPLAZAMIENTO</t>
  </si>
  <si>
    <t>ALTURA LIBRE</t>
  </si>
  <si>
    <t>REBOUND</t>
  </si>
  <si>
    <t>K11</t>
  </si>
  <si>
    <t>PRINCIPAL</t>
  </si>
  <si>
    <t>K12</t>
  </si>
  <si>
    <t>JOUNCE</t>
  </si>
  <si>
    <t>RATA</t>
  </si>
  <si>
    <t>(1.9-2.1)</t>
  </si>
  <si>
    <t>TOYOTA YARIS</t>
  </si>
  <si>
    <t>DAIHATSU</t>
  </si>
  <si>
    <t>0.00 mm</t>
  </si>
  <si>
    <t>1.00 mm</t>
  </si>
  <si>
    <t>54.60 mm</t>
  </si>
  <si>
    <t>0.02 mm</t>
  </si>
  <si>
    <t>0.19 mm</t>
  </si>
  <si>
    <t>60.00 mm</t>
  </si>
  <si>
    <t>0.28 mm</t>
  </si>
  <si>
    <t>64.80 mm</t>
  </si>
  <si>
    <t>0.44 mm</t>
  </si>
  <si>
    <t>2.00 mm</t>
  </si>
  <si>
    <t>70.85 mm</t>
  </si>
  <si>
    <t>0.72 mm</t>
  </si>
  <si>
    <t>3.00 mm</t>
  </si>
  <si>
    <t>73.40 mm</t>
  </si>
  <si>
    <t>0.83 mm</t>
  </si>
  <si>
    <t>4.00 mm</t>
  </si>
  <si>
    <t>73.25 mm</t>
  </si>
  <si>
    <t>0.96 mm</t>
  </si>
  <si>
    <t>73.50 mm</t>
  </si>
  <si>
    <t>1.40 mm</t>
  </si>
  <si>
    <t>10.00 mm</t>
  </si>
  <si>
    <t>74.00 mm</t>
  </si>
  <si>
    <t>3.58 mm</t>
  </si>
  <si>
    <t>25.00 mm</t>
  </si>
  <si>
    <t>75.50 mm</t>
  </si>
  <si>
    <t>12.71 mm</t>
  </si>
  <si>
    <t>48.00 mm</t>
  </si>
  <si>
    <t>85.00 mm</t>
  </si>
  <si>
    <t>27.01 mm</t>
  </si>
  <si>
    <t>62.00 mm</t>
  </si>
  <si>
    <t>102.30 mm</t>
  </si>
  <si>
    <t>44.89 mm</t>
  </si>
  <si>
    <t>87.00 mm</t>
  </si>
  <si>
    <t>110.10 mm</t>
  </si>
  <si>
    <t>66.64 mm</t>
  </si>
  <si>
    <t>88.39 mm</t>
  </si>
  <si>
    <t>131.89 mm</t>
  </si>
  <si>
    <t>175.39 mm</t>
  </si>
  <si>
    <t>218.89 mm</t>
  </si>
  <si>
    <t>262.39 mm</t>
  </si>
  <si>
    <t>282.26 mm</t>
  </si>
  <si>
    <t>72.00 mm</t>
  </si>
  <si>
    <t>95.00 mm</t>
  </si>
  <si>
    <t>288.56 mm</t>
  </si>
  <si>
    <t>54.00 mm</t>
  </si>
  <si>
    <t>296.96 mm</t>
  </si>
  <si>
    <t>30.00 mm</t>
  </si>
  <si>
    <t>77.50 mm</t>
  </si>
  <si>
    <t>301.16 mm</t>
  </si>
  <si>
    <t>12.00 mm</t>
  </si>
  <si>
    <t>79.00 mm</t>
  </si>
  <si>
    <t>302.52 mm</t>
  </si>
  <si>
    <t>82.00 mm</t>
  </si>
  <si>
    <t>303.82 mm</t>
  </si>
  <si>
    <t>9.00 mm</t>
  </si>
  <si>
    <t>304.84 mm</t>
  </si>
  <si>
    <t>8.00 mm</t>
  </si>
  <si>
    <t>63.00 mm</t>
  </si>
  <si>
    <t>305.65 mm</t>
  </si>
  <si>
    <t>6.00 mm</t>
  </si>
  <si>
    <t>55.30 mm</t>
  </si>
  <si>
    <t>305.90 mm</t>
  </si>
  <si>
    <t>53.20 mm</t>
  </si>
  <si>
    <t>305.98 mm</t>
  </si>
  <si>
    <t>53.50 mm</t>
  </si>
  <si>
    <t>44.00 mm</t>
  </si>
  <si>
    <t>92.00 mm</t>
  </si>
  <si>
    <t>58.00 mm</t>
  </si>
  <si>
    <t>104.00 mm</t>
  </si>
  <si>
    <t>83.00 mm</t>
  </si>
  <si>
    <t>107.90 mm</t>
  </si>
  <si>
    <t>68.00 mm</t>
  </si>
  <si>
    <t>104.50 mm</t>
  </si>
  <si>
    <t>50.00 mm</t>
  </si>
  <si>
    <t>32.00 mm</t>
  </si>
  <si>
    <t>91.00 mm</t>
  </si>
  <si>
    <t>15.00 mm</t>
  </si>
  <si>
    <t>77.90 mm</t>
  </si>
  <si>
    <t>11.00 mm</t>
  </si>
  <si>
    <t>71.00 mm</t>
  </si>
  <si>
    <t>67.50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</si>
</sst>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0" xfId="0" applyNumberFormat="1"/>
    <xf numFmtId="164" fontId="1" fillId="0" borderId="0" xfId="0" applyNumberFormat="1" applyFont="1" applyFill="1" applyBorder="1"/>
    <xf numFmtId="164" fontId="1" fillId="0" borderId="1" xfId="0" applyNumberFormat="1" applyFont="1" applyFill="1" applyBorder="1"/>
    <xf numFmtId="0" fontId="3" fillId="0" borderId="0" xfId="0" applyFont="1"/>
    <xf numFmtId="164" fontId="0" fillId="0" borderId="0" xfId="0" applyNumberFormat="1" applyFont="1"/>
    <xf numFmtId="0" fontId="5" fillId="0" borderId="7" xfId="0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8" xfId="0" applyFont="1" applyBorder="1"/>
    <xf numFmtId="164" fontId="5" fillId="0" borderId="7" xfId="0" applyNumberFormat="1" applyFont="1" applyBorder="1"/>
    <xf numFmtId="0" fontId="5" fillId="0" borderId="8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5" fillId="0" borderId="9" xfId="0" applyFont="1" applyBorder="1"/>
    <xf numFmtId="164" fontId="5" fillId="0" borderId="10" xfId="0" applyNumberFormat="1" applyFont="1" applyBorder="1"/>
    <xf numFmtId="0" fontId="5" fillId="0" borderId="11" xfId="0" applyFont="1" applyBorder="1"/>
    <xf numFmtId="0" fontId="5" fillId="0" borderId="0" xfId="0" applyFont="1"/>
    <xf numFmtId="164" fontId="5" fillId="0" borderId="0" xfId="0" applyNumberFormat="1" applyFont="1"/>
    <xf numFmtId="0" fontId="5" fillId="0" borderId="0" xfId="0" applyFont="1" applyBorder="1"/>
    <xf numFmtId="164" fontId="5" fillId="0" borderId="7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8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0" fillId="2" borderId="0" xfId="0" applyFill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5" fontId="0" fillId="5" borderId="0" xfId="0" applyNumberFormat="1" applyFill="1"/>
    <xf numFmtId="164" fontId="0" fillId="5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165" fontId="0" fillId="6" borderId="0" xfId="0" applyNumberFormat="1" applyFill="1"/>
    <xf numFmtId="164" fontId="0" fillId="6" borderId="0" xfId="0" applyNumberFormat="1" applyFill="1"/>
    <xf numFmtId="165" fontId="0" fillId="7" borderId="0" xfId="0" applyNumberFormat="1" applyFill="1"/>
    <xf numFmtId="164" fontId="0" fillId="7" borderId="0" xfId="0" applyNumberFormat="1" applyFill="1"/>
    <xf numFmtId="165" fontId="0" fillId="0" borderId="0" xfId="0" applyNumberFormat="1" applyFont="1" applyFill="1"/>
    <xf numFmtId="164" fontId="0" fillId="0" borderId="0" xfId="0" applyNumberFormat="1" applyFont="1" applyFill="1"/>
    <xf numFmtId="165" fontId="0" fillId="6" borderId="0" xfId="0" applyNumberFormat="1" applyFont="1" applyFill="1"/>
    <xf numFmtId="164" fontId="0" fillId="6" borderId="0" xfId="0" applyNumberFormat="1" applyFont="1" applyFill="1"/>
    <xf numFmtId="165" fontId="0" fillId="7" borderId="0" xfId="0" applyNumberFormat="1" applyFont="1" applyFill="1"/>
    <xf numFmtId="164" fontId="0" fillId="7" borderId="0" xfId="0" applyNumberFormat="1" applyFont="1" applyFill="1"/>
    <xf numFmtId="2" fontId="0" fillId="0" borderId="1" xfId="0" applyNumberFormat="1" applyFont="1" applyFill="1" applyBorder="1"/>
    <xf numFmtId="2" fontId="0" fillId="6" borderId="0" xfId="0" applyNumberFormat="1" applyFont="1" applyFill="1" applyBorder="1"/>
    <xf numFmtId="164" fontId="0" fillId="0" borderId="1" xfId="0" applyNumberForma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RATA!$B$2</c:f>
              <c:strCache>
                <c:ptCount val="1"/>
                <c:pt idx="0">
                  <c:v>SPRING NAME CLAMPED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RATA!$C$4:$C$57</c:f>
              <c:numCache>
                <c:formatCode>0.0</c:formatCode>
                <c:ptCount val="54"/>
                <c:pt idx="0">
                  <c:v>0</c:v>
                </c:pt>
                <c:pt idx="1">
                  <c:v>3.1606999999999998</c:v>
                </c:pt>
                <c:pt idx="2">
                  <c:v>6.8887</c:v>
                </c:pt>
                <c:pt idx="3">
                  <c:v>9.2241999999999997</c:v>
                </c:pt>
                <c:pt idx="4">
                  <c:v>13.606</c:v>
                </c:pt>
                <c:pt idx="5">
                  <c:v>16.210999999999999</c:v>
                </c:pt>
                <c:pt idx="6">
                  <c:v>20.094000000000001</c:v>
                </c:pt>
                <c:pt idx="7">
                  <c:v>25.902999999999999</c:v>
                </c:pt>
                <c:pt idx="8">
                  <c:v>34.613</c:v>
                </c:pt>
                <c:pt idx="9">
                  <c:v>40</c:v>
                </c:pt>
                <c:pt idx="10">
                  <c:v>47.677</c:v>
                </c:pt>
                <c:pt idx="11">
                  <c:v>49.994</c:v>
                </c:pt>
                <c:pt idx="12">
                  <c:v>60.743000000000002</c:v>
                </c:pt>
                <c:pt idx="13">
                  <c:v>65</c:v>
                </c:pt>
                <c:pt idx="14">
                  <c:v>69.992999999999995</c:v>
                </c:pt>
                <c:pt idx="15">
                  <c:v>74.760999999999996</c:v>
                </c:pt>
                <c:pt idx="16">
                  <c:v>88.781000000000006</c:v>
                </c:pt>
                <c:pt idx="17">
                  <c:v>90</c:v>
                </c:pt>
                <c:pt idx="18">
                  <c:v>94.992999999999995</c:v>
                </c:pt>
                <c:pt idx="19">
                  <c:v>102.8</c:v>
                </c:pt>
                <c:pt idx="20">
                  <c:v>115</c:v>
                </c:pt>
                <c:pt idx="21">
                  <c:v>116.83</c:v>
                </c:pt>
                <c:pt idx="22">
                  <c:v>120</c:v>
                </c:pt>
                <c:pt idx="23">
                  <c:v>130.85</c:v>
                </c:pt>
                <c:pt idx="24">
                  <c:v>140.44999999999999</c:v>
                </c:pt>
              </c:numCache>
            </c:numRef>
          </c:xVal>
          <c:yVal>
            <c:numRef>
              <c:f>RATA!$F$4:$F$57</c:f>
              <c:numCache>
                <c:formatCode>0.0</c:formatCode>
                <c:ptCount val="54"/>
                <c:pt idx="0">
                  <c:v>0</c:v>
                </c:pt>
                <c:pt idx="1">
                  <c:v>9.510401794819499</c:v>
                </c:pt>
                <c:pt idx="2">
                  <c:v>21.180909647154802</c:v>
                </c:pt>
                <c:pt idx="3">
                  <c:v>29.804201509280034</c:v>
                </c:pt>
                <c:pt idx="4">
                  <c:v>46.69386090148889</c:v>
                </c:pt>
                <c:pt idx="5">
                  <c:v>57.328166428717111</c:v>
                </c:pt>
                <c:pt idx="6">
                  <c:v>73.786457271058538</c:v>
                </c:pt>
                <c:pt idx="7">
                  <c:v>98.582500509891915</c:v>
                </c:pt>
                <c:pt idx="8">
                  <c:v>135.67203752804409</c:v>
                </c:pt>
                <c:pt idx="9">
                  <c:v>158.49479910259026</c:v>
                </c:pt>
                <c:pt idx="10">
                  <c:v>191.0259025086682</c:v>
                </c:pt>
                <c:pt idx="11">
                  <c:v>200.78523353049155</c:v>
                </c:pt>
                <c:pt idx="12">
                  <c:v>246.07383234754235</c:v>
                </c:pt>
                <c:pt idx="13">
                  <c:v>263.8894554354477</c:v>
                </c:pt>
                <c:pt idx="14">
                  <c:v>284.78482561696921</c:v>
                </c:pt>
                <c:pt idx="15">
                  <c:v>304.74199469712426</c:v>
                </c:pt>
                <c:pt idx="16">
                  <c:v>362.99204568631455</c:v>
                </c:pt>
                <c:pt idx="17">
                  <c:v>368.01957984907204</c:v>
                </c:pt>
                <c:pt idx="18">
                  <c:v>388.6396084030186</c:v>
                </c:pt>
                <c:pt idx="19">
                  <c:v>420.87497450540491</c:v>
                </c:pt>
                <c:pt idx="20">
                  <c:v>470.91576585763823</c:v>
                </c:pt>
                <c:pt idx="21">
                  <c:v>478.42137466857025</c:v>
                </c:pt>
                <c:pt idx="22">
                  <c:v>491.36243116459315</c:v>
                </c:pt>
                <c:pt idx="23">
                  <c:v>535.65164185192748</c:v>
                </c:pt>
                <c:pt idx="24">
                  <c:v>574.68896593922091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195088"/>
        <c:axId val="-370197264"/>
      </c:scatterChart>
      <c:valAx>
        <c:axId val="-37019508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/>
                  <a:t>DESP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-370197264"/>
        <c:crosses val="autoZero"/>
        <c:crossBetween val="midCat"/>
      </c:valAx>
      <c:valAx>
        <c:axId val="-370197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/>
                  <a:t>FORCE (kgf)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-37019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CO"/>
              <a:t>SPRING NAME UNCLAMPED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RATA!$M$2</c:f>
              <c:strCache>
                <c:ptCount val="1"/>
                <c:pt idx="0">
                  <c:v>SPRING NAME  UNCLAMPED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RATA!$N$4:$N$58</c:f>
              <c:numCache>
                <c:formatCode>0.0</c:formatCode>
                <c:ptCount val="55"/>
                <c:pt idx="0">
                  <c:v>0</c:v>
                </c:pt>
                <c:pt idx="1">
                  <c:v>2.9384000000000001</c:v>
                </c:pt>
                <c:pt idx="2">
                  <c:v>6.3810000000000002</c:v>
                </c:pt>
                <c:pt idx="3">
                  <c:v>11.534000000000001</c:v>
                </c:pt>
                <c:pt idx="4">
                  <c:v>16.155999999999999</c:v>
                </c:pt>
                <c:pt idx="5">
                  <c:v>23.065999999999999</c:v>
                </c:pt>
                <c:pt idx="6">
                  <c:v>39.814</c:v>
                </c:pt>
                <c:pt idx="7">
                  <c:v>33.411999999999999</c:v>
                </c:pt>
                <c:pt idx="8">
                  <c:v>47.404000000000003</c:v>
                </c:pt>
                <c:pt idx="9">
                  <c:v>61.389000000000003</c:v>
                </c:pt>
                <c:pt idx="10">
                  <c:v>64.900000000000006</c:v>
                </c:pt>
                <c:pt idx="11">
                  <c:v>75.370999999999995</c:v>
                </c:pt>
                <c:pt idx="12">
                  <c:v>89.355000000000004</c:v>
                </c:pt>
                <c:pt idx="13">
                  <c:v>89.900999999999996</c:v>
                </c:pt>
                <c:pt idx="14">
                  <c:v>103.34</c:v>
                </c:pt>
                <c:pt idx="15">
                  <c:v>114.9</c:v>
                </c:pt>
                <c:pt idx="16">
                  <c:v>117.32</c:v>
                </c:pt>
                <c:pt idx="17">
                  <c:v>131.31</c:v>
                </c:pt>
                <c:pt idx="18">
                  <c:v>140.01</c:v>
                </c:pt>
              </c:numCache>
            </c:numRef>
          </c:xVal>
          <c:yVal>
            <c:numRef>
              <c:f>RATA!$Q$4:$Q$58</c:f>
              <c:numCache>
                <c:formatCode>0.0</c:formatCode>
                <c:ptCount val="55"/>
                <c:pt idx="0">
                  <c:v>0</c:v>
                </c:pt>
                <c:pt idx="1">
                  <c:v>9.8289822557617796</c:v>
                </c:pt>
                <c:pt idx="2">
                  <c:v>23.672241484805223</c:v>
                </c:pt>
                <c:pt idx="3">
                  <c:v>45.579237201713241</c:v>
                </c:pt>
                <c:pt idx="4">
                  <c:v>65.425249847032433</c:v>
                </c:pt>
                <c:pt idx="5">
                  <c:v>95.209055680195803</c:v>
                </c:pt>
                <c:pt idx="6">
                  <c:v>167.16296145217217</c:v>
                </c:pt>
                <c:pt idx="7">
                  <c:v>139.74097491331838</c:v>
                </c:pt>
                <c:pt idx="8">
                  <c:v>199.67366918213341</c:v>
                </c:pt>
                <c:pt idx="9">
                  <c:v>259.18825209055683</c:v>
                </c:pt>
                <c:pt idx="10">
                  <c:v>274.03630430348767</c:v>
                </c:pt>
                <c:pt idx="11">
                  <c:v>318.325514990822</c:v>
                </c:pt>
                <c:pt idx="12">
                  <c:v>377.0752600448705</c:v>
                </c:pt>
                <c:pt idx="13">
                  <c:v>379.35957576993678</c:v>
                </c:pt>
                <c:pt idx="14">
                  <c:v>435.48847644299411</c:v>
                </c:pt>
                <c:pt idx="15">
                  <c:v>483.51009585967779</c:v>
                </c:pt>
                <c:pt idx="16">
                  <c:v>493.58555986130949</c:v>
                </c:pt>
                <c:pt idx="17">
                  <c:v>551.4073016520498</c:v>
                </c:pt>
                <c:pt idx="18">
                  <c:v>587.23230675096886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-7.6862125229451355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199440"/>
        <c:axId val="-370198896"/>
      </c:scatterChart>
      <c:valAx>
        <c:axId val="-37019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/>
                  <a:t>DESP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-370198896"/>
        <c:crosses val="autoZero"/>
        <c:crossBetween val="midCat"/>
      </c:valAx>
      <c:valAx>
        <c:axId val="-3701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/>
                  <a:t>FORCE (kgf)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-37019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7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CURVA CARACTERISTICA </a:t>
            </a:r>
            <a:r>
              <a:rPr lang="es-CO" sz="1800" smtClean="0"/>
              <a:t>RESORTE HELICOIDAL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7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  <a:effectLst/>
          </c:spPr>
          <c:marker>
            <c:symbol val="none"/>
          </c:marker>
          <c:dPt>
            <c:idx val="6"/>
            <c:marker>
              <c:symbol val="circle"/>
              <c:size val="5"/>
              <c:spPr>
                <a:solidFill>
                  <a:schemeClr val="tx1"/>
                </a:solidFill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marker>
            <c:bubble3D val="0"/>
          </c:dPt>
          <c:dPt>
            <c:idx val="7"/>
            <c:marker>
              <c:symbol val="none"/>
            </c:marker>
            <c:bubble3D val="0"/>
          </c:dPt>
          <c:dPt>
            <c:idx val="9"/>
            <c:marker>
              <c:symbol val="none"/>
            </c:marker>
            <c:bubble3D val="0"/>
          </c:dPt>
          <c:dPt>
            <c:idx val="10"/>
            <c:marker>
              <c:symbol val="circle"/>
              <c:size val="5"/>
              <c:spPr>
                <a:solidFill>
                  <a:schemeClr val="tx1"/>
                </a:solidFill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marker>
            <c:bubble3D val="0"/>
          </c:dPt>
          <c:dPt>
            <c:idx val="12"/>
            <c:marker>
              <c:symbol val="circle"/>
              <c:size val="5"/>
              <c:spPr>
                <a:solidFill>
                  <a:schemeClr val="tx1"/>
                </a:solidFill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marker>
            <c:bubble3D val="0"/>
          </c:dPt>
          <c:dPt>
            <c:idx val="15"/>
            <c:marker>
              <c:symbol val="circle"/>
              <c:size val="5"/>
              <c:spPr>
                <a:solidFill>
                  <a:schemeClr val="tx1"/>
                </a:solidFill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marker>
            <c:bubble3D val="0"/>
          </c:dPt>
          <c:dPt>
            <c:idx val="17"/>
            <c:marker>
              <c:symbol val="none"/>
            </c:marker>
            <c:bubble3D val="0"/>
          </c:dPt>
          <c:dPt>
            <c:idx val="18"/>
            <c:marker>
              <c:symbol val="circle"/>
              <c:size val="5"/>
              <c:spPr>
                <a:solidFill>
                  <a:schemeClr val="tx1"/>
                </a:solidFill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marker>
            <c:bubble3D val="0"/>
          </c:dPt>
          <c:dPt>
            <c:idx val="20"/>
            <c:marker>
              <c:symbol val="none"/>
            </c:marker>
            <c:bubble3D val="0"/>
          </c:dPt>
          <c:dPt>
            <c:idx val="23"/>
            <c:marker>
              <c:symbol val="none"/>
            </c:marker>
            <c:bubble3D val="0"/>
          </c:dPt>
          <c:dLbls>
            <c:dLbl>
              <c:idx val="6"/>
              <c:layout>
                <c:manualLayout>
                  <c:x val="1.5281760160355E-3"/>
                  <c:y val="-2.91929811656646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0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09EF5A32-7152-4EDC-896B-164370267B64}" type="XVALUE">
                      <a:rPr lang="en-US"/>
                      <a:pPr>
                        <a:defRPr/>
                      </a:pPr>
                      <a:t>[VALOR DE X]</a:t>
                    </a:fld>
                    <a:r>
                      <a:rPr lang="en-US" baseline="0"/>
                      <a:t>; </a:t>
                    </a:r>
                    <a:fld id="{FED571B6-C827-4D1B-A66D-C1F859DDDA6B}" type="YVALUE">
                      <a:rPr lang="en-US" baseline="0"/>
                      <a:pPr>
                        <a:defRPr/>
                      </a:pPr>
                      <a:t>[VALOR DE Y]</a:t>
                    </a:fld>
                    <a:r>
                      <a:rPr lang="en-US" baseline="0"/>
                      <a:t>;REBOUND</a:t>
                    </a:r>
                  </a:p>
                </c:rich>
              </c:tx>
              <c:spPr>
                <a:solidFill>
                  <a:sysClr val="windowText" lastClr="000000">
                    <a:lumMod val="15000"/>
                    <a:lumOff val="85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CO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375723732729955"/>
                      <c:h val="4.3285534762899425E-2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10"/>
              <c:layout>
                <c:manualLayout>
                  <c:x val="1.5281760160354999E-2"/>
                  <c:y val="-1.3473683614922205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0">
                    <a:sp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489FC8ED-3C49-4EF9-B04A-D87BEB3A8E01}" type="XVALUE">
                      <a:rPr lang="en-US"/>
                      <a:pPr>
                        <a:defRPr/>
                      </a:pPr>
                      <a:t>[VALOR DE X]</a:t>
                    </a:fld>
                    <a:r>
                      <a:rPr lang="en-US" baseline="0"/>
                      <a:t>; </a:t>
                    </a:r>
                    <a:fld id="{8A64BD6F-DC62-420C-9177-869804BDA5EA}" type="YVALUE">
                      <a:rPr lang="en-US" baseline="0"/>
                      <a:pPr>
                        <a:defRPr/>
                      </a:pPr>
                      <a:t>[VALOR DE Y]</a:t>
                    </a:fld>
                    <a:r>
                      <a:rPr lang="en-US" baseline="0"/>
                      <a:t>;K11</a:t>
                    </a:r>
                  </a:p>
                </c:rich>
              </c:tx>
              <c:spPr>
                <a:solidFill>
                  <a:sysClr val="windowText" lastClr="000000">
                    <a:lumMod val="15000"/>
                    <a:lumOff val="85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CO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  <c15:dlblFieldTable/>
                  <c15:showDataLabelsRange val="0"/>
                </c:ext>
              </c:extLst>
            </c:dLbl>
            <c:dLbl>
              <c:idx val="12"/>
              <c:layout>
                <c:manualLayout>
                  <c:x val="1.68099361763905E-2"/>
                  <c:y val="-6.7368418074611434E-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0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1E4A377A-8701-4635-A082-5AC3641430D5}" type="XVALUE">
                      <a:rPr lang="en-US"/>
                      <a:pPr>
                        <a:defRPr/>
                      </a:pPr>
                      <a:t>[VALOR DE X]</a:t>
                    </a:fld>
                    <a:r>
                      <a:rPr lang="en-US" baseline="0"/>
                      <a:t>; </a:t>
                    </a:r>
                    <a:fld id="{A44697AD-0301-4381-9395-93175944581B}" type="YVALUE">
                      <a:rPr lang="en-US" baseline="0"/>
                      <a:pPr>
                        <a:defRPr/>
                      </a:pPr>
                      <a:t>[VALOR DE Y]</a:t>
                    </a:fld>
                    <a:r>
                      <a:rPr lang="en-US" baseline="0"/>
                      <a:t>; PRINCIPAL</a:t>
                    </a:r>
                  </a:p>
                </c:rich>
              </c:tx>
              <c:spPr>
                <a:solidFill>
                  <a:sysClr val="windowText" lastClr="000000">
                    <a:lumMod val="15000"/>
                    <a:lumOff val="85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CO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610208504576287"/>
                      <c:h val="4.3285534762899425E-2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15"/>
              <c:layout>
                <c:manualLayout>
                  <c:x val="1.3753584144319498E-2"/>
                  <c:y val="-1.3473683614922122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0">
                    <a:sp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8488F12C-41B4-41A3-8C89-ABFC9389FE68}" type="XVALUE">
                      <a:rPr lang="en-US"/>
                      <a:pPr>
                        <a:defRPr/>
                      </a:pPr>
                      <a:t>[VALOR DE X]</a:t>
                    </a:fld>
                    <a:r>
                      <a:rPr lang="en-US" baseline="0"/>
                      <a:t>; </a:t>
                    </a:r>
                    <a:fld id="{52290A0D-2C47-44CD-ADB1-C98715E71299}" type="YVALUE">
                      <a:rPr lang="en-US" baseline="0"/>
                      <a:pPr>
                        <a:defRPr/>
                      </a:pPr>
                      <a:t>[VALOR DE Y]</a:t>
                    </a:fld>
                    <a:r>
                      <a:rPr lang="en-US" baseline="0"/>
                      <a:t>;K12</a:t>
                    </a:r>
                  </a:p>
                </c:rich>
              </c:tx>
              <c:spPr>
                <a:solidFill>
                  <a:sysClr val="windowText" lastClr="000000">
                    <a:lumMod val="15000"/>
                    <a:lumOff val="85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CO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  <c15:dlblFieldTable/>
                  <c15:showDataLabelsRange val="0"/>
                </c:ext>
              </c:extLst>
            </c:dLbl>
            <c:dLbl>
              <c:idx val="18"/>
              <c:layout>
                <c:manualLayout>
                  <c:x val="3.2091696336745495E-2"/>
                  <c:y val="2.2456139358203535E-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0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867C52FE-8D80-497D-A375-F9CC183F9035}" type="XVALUE">
                      <a:rPr lang="en-US"/>
                      <a:pPr>
                        <a:defRPr/>
                      </a:pPr>
                      <a:t>[VALOR DE X]</a:t>
                    </a:fld>
                    <a:r>
                      <a:rPr lang="en-US" baseline="0"/>
                      <a:t>; </a:t>
                    </a:r>
                    <a:fld id="{4784B682-442C-4E30-AECD-5F61E0B8DB42}" type="YVALUE">
                      <a:rPr lang="en-US" baseline="0"/>
                      <a:pPr>
                        <a:defRPr/>
                      </a:pPr>
                      <a:t>[VALOR DE Y]</a:t>
                    </a:fld>
                    <a:r>
                      <a:rPr lang="en-US" baseline="0"/>
                      <a:t>; JOUNCE</a:t>
                    </a:r>
                  </a:p>
                </c:rich>
              </c:tx>
              <c:spPr>
                <a:solidFill>
                  <a:sysClr val="windowText" lastClr="000000">
                    <a:lumMod val="15000"/>
                    <a:lumOff val="85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CO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776397285333686"/>
                      <c:h val="4.3285534762899425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RATA!$S$4:$S$22</c:f>
              <c:numCache>
                <c:formatCode>0.0</c:formatCode>
                <c:ptCount val="19"/>
                <c:pt idx="0">
                  <c:v>304</c:v>
                </c:pt>
                <c:pt idx="1">
                  <c:v>301.0616</c:v>
                </c:pt>
                <c:pt idx="2">
                  <c:v>297.61900000000003</c:v>
                </c:pt>
                <c:pt idx="3">
                  <c:v>292.46600000000001</c:v>
                </c:pt>
                <c:pt idx="4">
                  <c:v>287.84399999999999</c:v>
                </c:pt>
                <c:pt idx="5">
                  <c:v>280.93400000000003</c:v>
                </c:pt>
                <c:pt idx="6">
                  <c:v>264.18599999999998</c:v>
                </c:pt>
                <c:pt idx="7">
                  <c:v>270.58800000000002</c:v>
                </c:pt>
                <c:pt idx="8">
                  <c:v>256.596</c:v>
                </c:pt>
                <c:pt idx="9">
                  <c:v>242.61099999999999</c:v>
                </c:pt>
                <c:pt idx="10">
                  <c:v>239.1</c:v>
                </c:pt>
                <c:pt idx="11">
                  <c:v>228.62900000000002</c:v>
                </c:pt>
                <c:pt idx="12">
                  <c:v>214.64499999999998</c:v>
                </c:pt>
                <c:pt idx="13">
                  <c:v>214.09899999999999</c:v>
                </c:pt>
                <c:pt idx="14">
                  <c:v>200.66</c:v>
                </c:pt>
                <c:pt idx="15">
                  <c:v>189.1</c:v>
                </c:pt>
                <c:pt idx="16">
                  <c:v>186.68</c:v>
                </c:pt>
                <c:pt idx="17">
                  <c:v>172.69</c:v>
                </c:pt>
                <c:pt idx="18">
                  <c:v>163.99</c:v>
                </c:pt>
              </c:numCache>
            </c:numRef>
          </c:xVal>
          <c:yVal>
            <c:numRef>
              <c:f>RATA!$Q$4:$Q$22</c:f>
              <c:numCache>
                <c:formatCode>0.0</c:formatCode>
                <c:ptCount val="19"/>
                <c:pt idx="0">
                  <c:v>0</c:v>
                </c:pt>
                <c:pt idx="1">
                  <c:v>9.8289822557617796</c:v>
                </c:pt>
                <c:pt idx="2">
                  <c:v>23.672241484805223</c:v>
                </c:pt>
                <c:pt idx="3">
                  <c:v>45.579237201713241</c:v>
                </c:pt>
                <c:pt idx="4">
                  <c:v>65.425249847032433</c:v>
                </c:pt>
                <c:pt idx="5">
                  <c:v>95.209055680195803</c:v>
                </c:pt>
                <c:pt idx="6">
                  <c:v>167.16296145217217</c:v>
                </c:pt>
                <c:pt idx="7">
                  <c:v>139.74097491331838</c:v>
                </c:pt>
                <c:pt idx="8">
                  <c:v>199.67366918213341</c:v>
                </c:pt>
                <c:pt idx="9">
                  <c:v>259.18825209055683</c:v>
                </c:pt>
                <c:pt idx="10">
                  <c:v>274.03630430348767</c:v>
                </c:pt>
                <c:pt idx="11">
                  <c:v>318.325514990822</c:v>
                </c:pt>
                <c:pt idx="12">
                  <c:v>377.0752600448705</c:v>
                </c:pt>
                <c:pt idx="13">
                  <c:v>379.35957576993678</c:v>
                </c:pt>
                <c:pt idx="14">
                  <c:v>435.48847644299411</c:v>
                </c:pt>
                <c:pt idx="15">
                  <c:v>483.51009585967779</c:v>
                </c:pt>
                <c:pt idx="16">
                  <c:v>493.58555986130949</c:v>
                </c:pt>
                <c:pt idx="17">
                  <c:v>551.4073016520498</c:v>
                </c:pt>
                <c:pt idx="18">
                  <c:v>587.23230675096886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201072"/>
        <c:axId val="-373337648"/>
      </c:scatterChart>
      <c:valAx>
        <c:axId val="-370201072"/>
        <c:scaling>
          <c:orientation val="minMax"/>
          <c:max val="310"/>
          <c:min val="16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/>
                  <a:t>ALTURA (mm)</a:t>
                </a:r>
              </a:p>
            </c:rich>
          </c:tx>
          <c:layout>
            <c:manualLayout>
              <c:xMode val="edge"/>
              <c:yMode val="edge"/>
              <c:x val="0.47489779909206026"/>
              <c:y val="0.94760912694761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-373337648"/>
        <c:crosses val="autoZero"/>
        <c:crossBetween val="midCat"/>
        <c:majorUnit val="10"/>
      </c:valAx>
      <c:valAx>
        <c:axId val="-373337648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/>
                  <a:t>FORCE (kgf)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-37020107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TOYOTA YARIS M1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'PRUEBA MUESTRAS CARGAS'!$B$4:$P$4</c:f>
              <c:numCache>
                <c:formatCode>General</c:formatCode>
                <c:ptCount val="15"/>
                <c:pt idx="0">
                  <c:v>326</c:v>
                </c:pt>
                <c:pt idx="1">
                  <c:v>316</c:v>
                </c:pt>
                <c:pt idx="2">
                  <c:v>306</c:v>
                </c:pt>
                <c:pt idx="3">
                  <c:v>296</c:v>
                </c:pt>
                <c:pt idx="4">
                  <c:v>286</c:v>
                </c:pt>
                <c:pt idx="5">
                  <c:v>276</c:v>
                </c:pt>
                <c:pt idx="6">
                  <c:v>266</c:v>
                </c:pt>
                <c:pt idx="7">
                  <c:v>256</c:v>
                </c:pt>
                <c:pt idx="8">
                  <c:v>246</c:v>
                </c:pt>
                <c:pt idx="9">
                  <c:v>236</c:v>
                </c:pt>
                <c:pt idx="10">
                  <c:v>226</c:v>
                </c:pt>
                <c:pt idx="11">
                  <c:v>216</c:v>
                </c:pt>
                <c:pt idx="12">
                  <c:v>206</c:v>
                </c:pt>
                <c:pt idx="13">
                  <c:v>196</c:v>
                </c:pt>
                <c:pt idx="14">
                  <c:v>186</c:v>
                </c:pt>
              </c:numCache>
            </c:numRef>
          </c:xVal>
          <c:yVal>
            <c:numRef>
              <c:f>'PRUEBA MUESTRAS CARGAS'!$B$5:$P$5</c:f>
              <c:numCache>
                <c:formatCode>General</c:formatCode>
                <c:ptCount val="15"/>
                <c:pt idx="0">
                  <c:v>3.08</c:v>
                </c:pt>
                <c:pt idx="1">
                  <c:v>35.1</c:v>
                </c:pt>
                <c:pt idx="2">
                  <c:v>78.2</c:v>
                </c:pt>
                <c:pt idx="3">
                  <c:v>117.3</c:v>
                </c:pt>
                <c:pt idx="4">
                  <c:v>159.9</c:v>
                </c:pt>
                <c:pt idx="5">
                  <c:v>206.5</c:v>
                </c:pt>
                <c:pt idx="6">
                  <c:v>247.8</c:v>
                </c:pt>
                <c:pt idx="7">
                  <c:v>293.3</c:v>
                </c:pt>
                <c:pt idx="8">
                  <c:v>338.4</c:v>
                </c:pt>
                <c:pt idx="9">
                  <c:v>381.1</c:v>
                </c:pt>
                <c:pt idx="10">
                  <c:v>424.7</c:v>
                </c:pt>
                <c:pt idx="11">
                  <c:v>466.3</c:v>
                </c:pt>
                <c:pt idx="12">
                  <c:v>505.9</c:v>
                </c:pt>
                <c:pt idx="13">
                  <c:v>546.1</c:v>
                </c:pt>
                <c:pt idx="14">
                  <c:v>582.1</c:v>
                </c:pt>
              </c:numCache>
            </c:numRef>
          </c:yVal>
          <c:smooth val="1"/>
        </c:ser>
        <c:ser>
          <c:idx val="1"/>
          <c:order val="1"/>
          <c:tx>
            <c:v>TOYOTA YARIS M2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'PRUEBA MUESTRAS CARGAS'!$B$6:$P$6</c:f>
              <c:numCache>
                <c:formatCode>General</c:formatCode>
                <c:ptCount val="15"/>
                <c:pt idx="0">
                  <c:v>324</c:v>
                </c:pt>
                <c:pt idx="1">
                  <c:v>314</c:v>
                </c:pt>
                <c:pt idx="2">
                  <c:v>304</c:v>
                </c:pt>
                <c:pt idx="3">
                  <c:v>294</c:v>
                </c:pt>
                <c:pt idx="4">
                  <c:v>284</c:v>
                </c:pt>
                <c:pt idx="5">
                  <c:v>274</c:v>
                </c:pt>
                <c:pt idx="6">
                  <c:v>264</c:v>
                </c:pt>
                <c:pt idx="7">
                  <c:v>254</c:v>
                </c:pt>
                <c:pt idx="8">
                  <c:v>244</c:v>
                </c:pt>
                <c:pt idx="9">
                  <c:v>234</c:v>
                </c:pt>
                <c:pt idx="10">
                  <c:v>224</c:v>
                </c:pt>
                <c:pt idx="11">
                  <c:v>214</c:v>
                </c:pt>
                <c:pt idx="12">
                  <c:v>204</c:v>
                </c:pt>
                <c:pt idx="13">
                  <c:v>194</c:v>
                </c:pt>
                <c:pt idx="14">
                  <c:v>184</c:v>
                </c:pt>
              </c:numCache>
            </c:numRef>
          </c:xVal>
          <c:yVal>
            <c:numRef>
              <c:f>'PRUEBA MUESTRAS CARGAS'!$B$7:$P$7</c:f>
              <c:numCache>
                <c:formatCode>General</c:formatCode>
                <c:ptCount val="15"/>
                <c:pt idx="0">
                  <c:v>3.96</c:v>
                </c:pt>
                <c:pt idx="1">
                  <c:v>43</c:v>
                </c:pt>
                <c:pt idx="2">
                  <c:v>83.95</c:v>
                </c:pt>
                <c:pt idx="3">
                  <c:v>123.07</c:v>
                </c:pt>
                <c:pt idx="4">
                  <c:v>167.03</c:v>
                </c:pt>
                <c:pt idx="5">
                  <c:v>208.9</c:v>
                </c:pt>
                <c:pt idx="6">
                  <c:v>252.02</c:v>
                </c:pt>
                <c:pt idx="7">
                  <c:v>299</c:v>
                </c:pt>
                <c:pt idx="8">
                  <c:v>342.17</c:v>
                </c:pt>
                <c:pt idx="9">
                  <c:v>390</c:v>
                </c:pt>
                <c:pt idx="10">
                  <c:v>429.8</c:v>
                </c:pt>
                <c:pt idx="11">
                  <c:v>470.37</c:v>
                </c:pt>
                <c:pt idx="12">
                  <c:v>517.09</c:v>
                </c:pt>
                <c:pt idx="13">
                  <c:v>551.49</c:v>
                </c:pt>
                <c:pt idx="14">
                  <c:v>589.79999999999995</c:v>
                </c:pt>
              </c:numCache>
            </c:numRef>
          </c:yVal>
          <c:smooth val="1"/>
        </c:ser>
        <c:ser>
          <c:idx val="2"/>
          <c:order val="2"/>
          <c:tx>
            <c:v>DAIHATSU TERIOS M1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'PRUEBA MUESTRAS CARGAS'!$B$12:$P$12</c:f>
              <c:numCache>
                <c:formatCode>General</c:formatCode>
                <c:ptCount val="15"/>
                <c:pt idx="0">
                  <c:v>325</c:v>
                </c:pt>
                <c:pt idx="1">
                  <c:v>315</c:v>
                </c:pt>
                <c:pt idx="2">
                  <c:v>305</c:v>
                </c:pt>
                <c:pt idx="3">
                  <c:v>295</c:v>
                </c:pt>
                <c:pt idx="4">
                  <c:v>285</c:v>
                </c:pt>
                <c:pt idx="5">
                  <c:v>275</c:v>
                </c:pt>
                <c:pt idx="6">
                  <c:v>265</c:v>
                </c:pt>
                <c:pt idx="7">
                  <c:v>255</c:v>
                </c:pt>
                <c:pt idx="8">
                  <c:v>245</c:v>
                </c:pt>
                <c:pt idx="9">
                  <c:v>235</c:v>
                </c:pt>
                <c:pt idx="10">
                  <c:v>225</c:v>
                </c:pt>
                <c:pt idx="11">
                  <c:v>215</c:v>
                </c:pt>
                <c:pt idx="12">
                  <c:v>205</c:v>
                </c:pt>
                <c:pt idx="13">
                  <c:v>195</c:v>
                </c:pt>
                <c:pt idx="14">
                  <c:v>185</c:v>
                </c:pt>
              </c:numCache>
            </c:numRef>
          </c:xVal>
          <c:yVal>
            <c:numRef>
              <c:f>'PRUEBA MUESTRAS CARGAS'!$B$13:$P$13</c:f>
              <c:numCache>
                <c:formatCode>General</c:formatCode>
                <c:ptCount val="15"/>
                <c:pt idx="0">
                  <c:v>1.32</c:v>
                </c:pt>
                <c:pt idx="1">
                  <c:v>36.479999999999997</c:v>
                </c:pt>
                <c:pt idx="2">
                  <c:v>76.040000000000006</c:v>
                </c:pt>
                <c:pt idx="3">
                  <c:v>118.68</c:v>
                </c:pt>
                <c:pt idx="4">
                  <c:v>166.59</c:v>
                </c:pt>
                <c:pt idx="5">
                  <c:v>204.69</c:v>
                </c:pt>
                <c:pt idx="6">
                  <c:v>248.8</c:v>
                </c:pt>
                <c:pt idx="7">
                  <c:v>292.43</c:v>
                </c:pt>
                <c:pt idx="8">
                  <c:v>337.94</c:v>
                </c:pt>
                <c:pt idx="9">
                  <c:v>383</c:v>
                </c:pt>
                <c:pt idx="10">
                  <c:v>424.85</c:v>
                </c:pt>
                <c:pt idx="11">
                  <c:v>464.06</c:v>
                </c:pt>
                <c:pt idx="12">
                  <c:v>508.68</c:v>
                </c:pt>
                <c:pt idx="13">
                  <c:v>547.89</c:v>
                </c:pt>
                <c:pt idx="14">
                  <c:v>587.1</c:v>
                </c:pt>
              </c:numCache>
            </c:numRef>
          </c:yVal>
          <c:smooth val="1"/>
        </c:ser>
        <c:ser>
          <c:idx val="3"/>
          <c:order val="3"/>
          <c:tx>
            <c:v>DAIHATSU TERIOS M2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'PRUEBA MUESTRAS CARGAS'!$B$14:$P$14</c:f>
              <c:numCache>
                <c:formatCode>General</c:formatCode>
                <c:ptCount val="15"/>
                <c:pt idx="0">
                  <c:v>324</c:v>
                </c:pt>
                <c:pt idx="1">
                  <c:v>314</c:v>
                </c:pt>
                <c:pt idx="2">
                  <c:v>304</c:v>
                </c:pt>
                <c:pt idx="3">
                  <c:v>294</c:v>
                </c:pt>
                <c:pt idx="4">
                  <c:v>284</c:v>
                </c:pt>
                <c:pt idx="5">
                  <c:v>274</c:v>
                </c:pt>
                <c:pt idx="6">
                  <c:v>264</c:v>
                </c:pt>
                <c:pt idx="7">
                  <c:v>254</c:v>
                </c:pt>
                <c:pt idx="8">
                  <c:v>244</c:v>
                </c:pt>
                <c:pt idx="9">
                  <c:v>234</c:v>
                </c:pt>
                <c:pt idx="10">
                  <c:v>224</c:v>
                </c:pt>
                <c:pt idx="11">
                  <c:v>214</c:v>
                </c:pt>
                <c:pt idx="12">
                  <c:v>204</c:v>
                </c:pt>
                <c:pt idx="13">
                  <c:v>194</c:v>
                </c:pt>
                <c:pt idx="14">
                  <c:v>184</c:v>
                </c:pt>
              </c:numCache>
            </c:numRef>
          </c:xVal>
          <c:yVal>
            <c:numRef>
              <c:f>'PRUEBA MUESTRAS CARGAS'!$B$15:$P$15</c:f>
              <c:numCache>
                <c:formatCode>General</c:formatCode>
                <c:ptCount val="15"/>
                <c:pt idx="0">
                  <c:v>1.32</c:v>
                </c:pt>
                <c:pt idx="1">
                  <c:v>36.9</c:v>
                </c:pt>
                <c:pt idx="2">
                  <c:v>81.319999999999993</c:v>
                </c:pt>
                <c:pt idx="3">
                  <c:v>122.2</c:v>
                </c:pt>
                <c:pt idx="4">
                  <c:v>160.87</c:v>
                </c:pt>
                <c:pt idx="5">
                  <c:v>203.7</c:v>
                </c:pt>
                <c:pt idx="6">
                  <c:v>250.67</c:v>
                </c:pt>
                <c:pt idx="7">
                  <c:v>293.8</c:v>
                </c:pt>
                <c:pt idx="8">
                  <c:v>338.4</c:v>
                </c:pt>
                <c:pt idx="9">
                  <c:v>383.4</c:v>
                </c:pt>
                <c:pt idx="10">
                  <c:v>428.9</c:v>
                </c:pt>
                <c:pt idx="11">
                  <c:v>469.4</c:v>
                </c:pt>
                <c:pt idx="12">
                  <c:v>511.8</c:v>
                </c:pt>
                <c:pt idx="13">
                  <c:v>551.6</c:v>
                </c:pt>
                <c:pt idx="14">
                  <c:v>586.70000000000005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3334384"/>
        <c:axId val="-373333840"/>
      </c:scatterChart>
      <c:valAx>
        <c:axId val="-373334384"/>
        <c:scaling>
          <c:orientation val="minMax"/>
          <c:max val="330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373333840"/>
        <c:crosses val="autoZero"/>
        <c:crossBetween val="midCat"/>
      </c:valAx>
      <c:valAx>
        <c:axId val="-3733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37333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178593</xdr:colOff>
      <xdr:row>14</xdr:row>
      <xdr:rowOff>69056</xdr:rowOff>
    </xdr:from>
    <xdr:to>
      <xdr:col>27</xdr:col>
      <xdr:colOff>688593</xdr:colOff>
      <xdr:row>25</xdr:row>
      <xdr:rowOff>11905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142875</xdr:colOff>
      <xdr:row>2</xdr:row>
      <xdr:rowOff>23814</xdr:rowOff>
    </xdr:from>
    <xdr:to>
      <xdr:col>27</xdr:col>
      <xdr:colOff>652875</xdr:colOff>
      <xdr:row>13</xdr:row>
      <xdr:rowOff>23812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absoluteAnchor>
    <xdr:pos x="9906002" y="5000625"/>
    <xdr:ext cx="8310561" cy="5655469"/>
    <xdr:graphicFrame macro="">
      <xdr:nvGraphicFramePr>
        <xdr:cNvPr id="4" name="Gráfico 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16</xdr:row>
      <xdr:rowOff>14287</xdr:rowOff>
    </xdr:from>
    <xdr:to>
      <xdr:col>14</xdr:col>
      <xdr:colOff>542924</xdr:colOff>
      <xdr:row>39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showGridLines="0" tabSelected="1" topLeftCell="F8" zoomScale="85" zoomScaleNormal="85" workbookViewId="0">
      <selection activeCell="X32" sqref="X32"/>
    </sheetView>
  </sheetViews>
  <sheetFormatPr baseColWidth="10" defaultRowHeight="15" x14ac:dyDescent="0.25"/>
  <cols>
    <col min="2" max="2" width="8.140625" style="6" bestFit="1" customWidth="1"/>
    <col min="3" max="4" width="11.42578125" style="6"/>
    <col min="5" max="5" width="16.140625" style="6" bestFit="1" customWidth="1"/>
    <col min="6" max="6" width="17.5703125" style="6" bestFit="1" customWidth="1"/>
    <col min="7" max="7" width="14.28515625" style="6" bestFit="1" customWidth="1"/>
    <col min="8" max="11" width="11.42578125" style="6"/>
    <col min="13" max="13" width="8.140625" style="6" bestFit="1" customWidth="1"/>
    <col min="14" max="15" width="11.42578125" style="6"/>
    <col min="16" max="16" width="16.140625" style="6" bestFit="1" customWidth="1"/>
    <col min="17" max="17" width="17.5703125" style="6" bestFit="1" customWidth="1"/>
    <col min="18" max="18" width="14.28515625" style="6" bestFit="1" customWidth="1"/>
    <col min="19" max="21" width="11.42578125" style="6"/>
    <col min="29" max="29" width="21.5703125" bestFit="1" customWidth="1"/>
    <col min="30" max="30" width="9.140625" bestFit="1" customWidth="1"/>
    <col min="31" max="31" width="15.85546875" bestFit="1" customWidth="1"/>
    <col min="32" max="32" width="13.42578125" bestFit="1" customWidth="1"/>
    <col min="33" max="33" width="14.85546875" bestFit="1" customWidth="1"/>
    <col min="34" max="35" width="21.5703125" bestFit="1" customWidth="1"/>
    <col min="36" max="36" width="2.28515625" bestFit="1" customWidth="1"/>
    <col min="37" max="37" width="9.28515625" bestFit="1" customWidth="1"/>
  </cols>
  <sheetData>
    <row r="1" spans="1:37" x14ac:dyDescent="0.25">
      <c r="AD1" t="s">
        <v>42</v>
      </c>
      <c r="AE1" t="s">
        <v>43</v>
      </c>
      <c r="AF1" t="s">
        <v>44</v>
      </c>
      <c r="AG1" t="s">
        <v>45</v>
      </c>
      <c r="AH1" t="s">
        <v>46</v>
      </c>
    </row>
    <row r="2" spans="1:37" ht="15.75" thickBot="1" x14ac:dyDescent="0.3">
      <c r="B2" s="61" t="s">
        <v>17</v>
      </c>
      <c r="C2" s="61"/>
      <c r="D2" s="61"/>
      <c r="E2" s="61"/>
      <c r="F2" s="61"/>
      <c r="G2" s="61"/>
      <c r="H2" s="61"/>
      <c r="I2" s="61"/>
      <c r="J2" s="61"/>
      <c r="K2" s="61"/>
      <c r="L2" s="1"/>
      <c r="M2" s="61" t="s">
        <v>18</v>
      </c>
      <c r="N2" s="61"/>
      <c r="O2" s="61"/>
      <c r="P2" s="61"/>
      <c r="Q2" s="61"/>
      <c r="R2" s="61"/>
      <c r="S2" s="61"/>
      <c r="T2" s="61"/>
      <c r="U2" s="61"/>
      <c r="V2" s="61"/>
      <c r="W2" s="1"/>
      <c r="X2" s="1"/>
      <c r="Y2" s="1"/>
      <c r="Z2" s="1"/>
      <c r="AA2" s="1"/>
    </row>
    <row r="3" spans="1:37" ht="19.5" x14ac:dyDescent="0.3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5" t="s">
        <v>30</v>
      </c>
      <c r="J3" s="8" t="s">
        <v>33</v>
      </c>
      <c r="K3" s="8" t="s">
        <v>34</v>
      </c>
      <c r="L3" s="2"/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5" t="s">
        <v>30</v>
      </c>
      <c r="U3" s="8" t="s">
        <v>33</v>
      </c>
      <c r="V3" s="8" t="s">
        <v>34</v>
      </c>
      <c r="W3" s="7"/>
      <c r="X3" s="2"/>
      <c r="Y3" s="2"/>
      <c r="Z3" s="2"/>
      <c r="AA3" s="2"/>
      <c r="AC3" s="62" t="s">
        <v>47</v>
      </c>
      <c r="AD3" s="63"/>
      <c r="AE3" s="63"/>
      <c r="AF3" s="63"/>
      <c r="AG3" s="63"/>
      <c r="AH3" s="63"/>
      <c r="AI3" s="64"/>
    </row>
    <row r="4" spans="1:37" x14ac:dyDescent="0.25">
      <c r="A4" s="70" t="s">
        <v>28</v>
      </c>
      <c r="B4" s="6">
        <v>0</v>
      </c>
      <c r="C4" s="6">
        <v>0</v>
      </c>
      <c r="D4" s="6">
        <v>0</v>
      </c>
      <c r="E4" s="6">
        <f t="shared" ref="E4:E57" si="0">SUM(D4:D4)</f>
        <v>0</v>
      </c>
      <c r="F4" s="6">
        <f>E4/9.806</f>
        <v>0</v>
      </c>
      <c r="H4" s="4">
        <v>305</v>
      </c>
      <c r="J4" s="6">
        <v>0</v>
      </c>
      <c r="M4" s="41">
        <v>0</v>
      </c>
      <c r="N4" s="6">
        <v>0</v>
      </c>
      <c r="O4" s="6">
        <v>0</v>
      </c>
      <c r="P4" s="6">
        <f t="shared" ref="P4:P58" si="1">SUM(O4:O4)</f>
        <v>0</v>
      </c>
      <c r="Q4" s="6">
        <f>P4/9.806</f>
        <v>0</v>
      </c>
      <c r="S4" s="4">
        <v>304</v>
      </c>
      <c r="U4" s="6">
        <v>0</v>
      </c>
      <c r="AC4" s="11"/>
      <c r="AD4" s="12"/>
      <c r="AE4" s="13"/>
      <c r="AF4" s="14" t="s">
        <v>35</v>
      </c>
      <c r="AG4" s="14" t="s">
        <v>32</v>
      </c>
      <c r="AH4" s="65" t="s">
        <v>27</v>
      </c>
      <c r="AI4" s="66"/>
      <c r="AJ4" s="3"/>
      <c r="AK4" s="3"/>
    </row>
    <row r="5" spans="1:37" x14ac:dyDescent="0.25">
      <c r="A5" s="70"/>
      <c r="B5" s="41">
        <v>2.2492000000000002E-2</v>
      </c>
      <c r="C5" s="6">
        <v>3.1606999999999998</v>
      </c>
      <c r="D5" s="6">
        <v>93.259</v>
      </c>
      <c r="E5" s="6">
        <f t="shared" si="0"/>
        <v>93.259</v>
      </c>
      <c r="F5" s="6">
        <f t="shared" ref="F5:F57" si="2">E5/9.806</f>
        <v>9.510401794819499</v>
      </c>
      <c r="H5" s="6">
        <f t="shared" ref="H5:H57" si="3">H$4-C5</f>
        <v>301.83929999999998</v>
      </c>
      <c r="J5" s="6">
        <v>27.917000000000002</v>
      </c>
      <c r="M5" s="41">
        <v>2.0989000000000001E-2</v>
      </c>
      <c r="N5" s="6">
        <v>2.9384000000000001</v>
      </c>
      <c r="O5" s="6">
        <v>96.382999999999996</v>
      </c>
      <c r="P5" s="6">
        <f t="shared" si="1"/>
        <v>96.382999999999996</v>
      </c>
      <c r="Q5" s="6">
        <f t="shared" ref="Q5:Q58" si="4">P5/9.806</f>
        <v>9.8289822557617796</v>
      </c>
      <c r="S5" s="6">
        <f t="shared" ref="S5:S58" si="5">S$4-N5</f>
        <v>301.0616</v>
      </c>
      <c r="U5" s="6">
        <v>24.65</v>
      </c>
      <c r="AC5" s="11" t="s">
        <v>6</v>
      </c>
      <c r="AD5" s="15">
        <f>R16</f>
        <v>4.2199682171660289</v>
      </c>
      <c r="AE5" s="13" t="s">
        <v>51</v>
      </c>
      <c r="AF5" s="16">
        <f>AD5-AD5*0.05</f>
        <v>4.0089698063077277</v>
      </c>
      <c r="AG5" s="16">
        <f>AD5+AD5*0.05</f>
        <v>4.4309666280243301</v>
      </c>
      <c r="AH5" s="14" t="str">
        <f>T38</f>
        <v>CURB ± 4 ▽/KPC</v>
      </c>
      <c r="AI5" s="17" t="str">
        <f>T51</f>
        <v>NORMAL ± 4 ▽/KPC</v>
      </c>
      <c r="AJ5" s="3"/>
      <c r="AK5" s="3"/>
    </row>
    <row r="6" spans="1:37" x14ac:dyDescent="0.25">
      <c r="A6" s="70"/>
      <c r="B6" s="41">
        <v>4.8471E-2</v>
      </c>
      <c r="C6" s="6">
        <v>6.8887</v>
      </c>
      <c r="D6" s="6">
        <v>207.7</v>
      </c>
      <c r="E6" s="6">
        <f t="shared" ref="E6:E34" si="6">SUM(D6:D6)</f>
        <v>207.7</v>
      </c>
      <c r="F6" s="6">
        <f t="shared" ref="F6:F34" si="7">E6/9.806</f>
        <v>21.180909647154802</v>
      </c>
      <c r="H6" s="6">
        <f t="shared" ref="H6:H34" si="8">H$4-C6</f>
        <v>298.11130000000003</v>
      </c>
      <c r="J6" s="6">
        <v>62.246000000000002</v>
      </c>
      <c r="M6" s="41">
        <v>4.5316000000000002E-2</v>
      </c>
      <c r="N6" s="6">
        <v>6.3810000000000002</v>
      </c>
      <c r="O6" s="6">
        <v>232.13</v>
      </c>
      <c r="P6" s="6">
        <f t="shared" ref="P6:P35" si="9">SUM(O6:O6)</f>
        <v>232.13</v>
      </c>
      <c r="Q6" s="6">
        <f t="shared" ref="Q6:Q35" si="10">P6/9.806</f>
        <v>23.672241484805223</v>
      </c>
      <c r="S6" s="6">
        <f t="shared" ref="S6:S35" si="11">S$4-N6</f>
        <v>297.61900000000003</v>
      </c>
      <c r="U6" s="6">
        <v>54.515000000000001</v>
      </c>
      <c r="AC6" s="11" t="s">
        <v>7</v>
      </c>
      <c r="AD6" s="15" t="e">
        <f>R54</f>
        <v>#DIV/0!</v>
      </c>
      <c r="AE6" s="13" t="s">
        <v>51</v>
      </c>
      <c r="AF6" s="16" t="e">
        <f>AD6-AD6*0.05</f>
        <v>#DIV/0!</v>
      </c>
      <c r="AG6" s="16" t="e">
        <f>AD6+AD6*0.05</f>
        <v>#DIV/0!</v>
      </c>
      <c r="AH6" s="14" t="str">
        <f>T51</f>
        <v>NORMAL ± 4 ▽/KPC</v>
      </c>
      <c r="AI6" s="17" t="str">
        <f>T58</f>
        <v>MAX</v>
      </c>
    </row>
    <row r="7" spans="1:37" ht="28.5" x14ac:dyDescent="0.25">
      <c r="A7" s="70"/>
      <c r="B7" s="41">
        <v>6.4837000000000006E-2</v>
      </c>
      <c r="C7" s="6">
        <v>9.2241999999999997</v>
      </c>
      <c r="D7" s="6">
        <v>292.26</v>
      </c>
      <c r="E7" s="6">
        <f t="shared" si="6"/>
        <v>292.26</v>
      </c>
      <c r="F7" s="6">
        <f t="shared" si="7"/>
        <v>29.804201509280034</v>
      </c>
      <c r="H7" s="6">
        <f t="shared" si="8"/>
        <v>295.7758</v>
      </c>
      <c r="J7" s="6">
        <v>84.664000000000001</v>
      </c>
      <c r="M7" s="41">
        <v>8.1807000000000005E-2</v>
      </c>
      <c r="N7" s="6">
        <v>11.534000000000001</v>
      </c>
      <c r="O7" s="6">
        <v>446.95</v>
      </c>
      <c r="P7" s="6">
        <f t="shared" ref="P7:P9" si="12">SUM(O7:O7)</f>
        <v>446.95</v>
      </c>
      <c r="Q7" s="6">
        <f t="shared" ref="Q7:Q9" si="13">P7/9.806</f>
        <v>45.579237201713241</v>
      </c>
      <c r="S7" s="6">
        <f t="shared" ref="S7:S34" si="14">S$4-N7</f>
        <v>292.46600000000001</v>
      </c>
      <c r="U7" s="6">
        <v>96.707999999999998</v>
      </c>
      <c r="AC7" s="11"/>
      <c r="AD7" s="35" t="s">
        <v>0</v>
      </c>
      <c r="AE7" s="36" t="s">
        <v>1</v>
      </c>
      <c r="AF7" s="36" t="s">
        <v>2</v>
      </c>
      <c r="AG7" s="36" t="s">
        <v>8</v>
      </c>
      <c r="AH7" s="37" t="s">
        <v>3</v>
      </c>
      <c r="AI7" s="38" t="s">
        <v>36</v>
      </c>
    </row>
    <row r="8" spans="1:37" x14ac:dyDescent="0.25">
      <c r="A8" s="70"/>
      <c r="B8" s="41">
        <v>9.5524999999999999E-2</v>
      </c>
      <c r="C8" s="6">
        <v>13.606</v>
      </c>
      <c r="D8" s="6">
        <v>457.88</v>
      </c>
      <c r="E8" s="6">
        <f t="shared" si="6"/>
        <v>457.88</v>
      </c>
      <c r="F8" s="6">
        <f t="shared" si="7"/>
        <v>46.69386090148889</v>
      </c>
      <c r="H8" s="6">
        <f t="shared" si="8"/>
        <v>291.39400000000001</v>
      </c>
      <c r="J8" s="6">
        <v>127.53</v>
      </c>
      <c r="M8" s="41">
        <v>0.11465</v>
      </c>
      <c r="N8" s="6">
        <v>16.155999999999999</v>
      </c>
      <c r="O8" s="6">
        <v>641.55999999999995</v>
      </c>
      <c r="P8" s="6">
        <f t="shared" si="12"/>
        <v>641.55999999999995</v>
      </c>
      <c r="Q8" s="6">
        <f t="shared" si="13"/>
        <v>65.425249847032433</v>
      </c>
      <c r="S8" s="6">
        <f t="shared" si="14"/>
        <v>287.84399999999999</v>
      </c>
      <c r="U8" s="6">
        <v>134.56</v>
      </c>
      <c r="AC8" s="11" t="s">
        <v>4</v>
      </c>
      <c r="AD8" s="12"/>
      <c r="AE8" s="13"/>
      <c r="AF8" s="13"/>
      <c r="AG8" s="13">
        <v>0</v>
      </c>
      <c r="AH8" s="12"/>
      <c r="AI8" s="18"/>
    </row>
    <row r="9" spans="1:37" x14ac:dyDescent="0.25">
      <c r="A9" s="70"/>
      <c r="B9" s="41">
        <v>0.11394</v>
      </c>
      <c r="C9" s="6">
        <v>16.210999999999999</v>
      </c>
      <c r="D9" s="6">
        <v>562.16</v>
      </c>
      <c r="E9" s="6">
        <f t="shared" si="6"/>
        <v>562.16</v>
      </c>
      <c r="F9" s="6">
        <f t="shared" si="7"/>
        <v>57.328166428717111</v>
      </c>
      <c r="H9" s="6">
        <f t="shared" si="8"/>
        <v>288.78899999999999</v>
      </c>
      <c r="J9" s="6">
        <v>151.35</v>
      </c>
      <c r="M9" s="41">
        <v>0.16391</v>
      </c>
      <c r="N9" s="6">
        <v>23.065999999999999</v>
      </c>
      <c r="O9" s="6">
        <v>933.62</v>
      </c>
      <c r="P9" s="6">
        <f t="shared" si="12"/>
        <v>933.62</v>
      </c>
      <c r="Q9" s="6">
        <f t="shared" si="13"/>
        <v>95.209055680195803</v>
      </c>
      <c r="S9" s="6">
        <f t="shared" si="14"/>
        <v>280.93400000000003</v>
      </c>
      <c r="U9" s="6">
        <v>192.5</v>
      </c>
      <c r="AC9" s="19" t="str">
        <f>T58</f>
        <v>MAX</v>
      </c>
      <c r="AD9" s="13">
        <f>S58</f>
        <v>304</v>
      </c>
      <c r="AE9" s="13" t="e">
        <f>#REF!</f>
        <v>#REF!</v>
      </c>
      <c r="AF9" s="13">
        <f>N58</f>
        <v>0</v>
      </c>
      <c r="AG9" s="13">
        <f>Q58</f>
        <v>0</v>
      </c>
      <c r="AH9" s="13">
        <f>V41</f>
        <v>0</v>
      </c>
      <c r="AI9" s="20"/>
    </row>
    <row r="10" spans="1:37" x14ac:dyDescent="0.25">
      <c r="A10" s="70"/>
      <c r="B10" s="41">
        <v>0.14155999999999999</v>
      </c>
      <c r="C10" s="6">
        <v>20.094000000000001</v>
      </c>
      <c r="D10" s="6">
        <v>723.55</v>
      </c>
      <c r="E10" s="6">
        <f t="shared" si="6"/>
        <v>723.55</v>
      </c>
      <c r="F10" s="6">
        <f t="shared" si="7"/>
        <v>73.786457271058538</v>
      </c>
      <c r="H10" s="6">
        <f t="shared" si="8"/>
        <v>284.90600000000001</v>
      </c>
      <c r="J10" s="6">
        <v>184.91</v>
      </c>
      <c r="M10" s="49">
        <f>+B13</f>
        <v>0.28355999999999998</v>
      </c>
      <c r="N10" s="50">
        <v>39.814</v>
      </c>
      <c r="O10" s="50">
        <v>1639.2</v>
      </c>
      <c r="P10" s="56">
        <f t="shared" ref="P10" si="15">SUM(O10:O10)</f>
        <v>1639.2</v>
      </c>
      <c r="Q10" s="56">
        <f t="shared" ref="Q10" si="16">P10/9.806</f>
        <v>167.16296145217217</v>
      </c>
      <c r="R10" s="56"/>
      <c r="S10" s="56">
        <f t="shared" ref="S10" si="17">S$4-N10</f>
        <v>264.18599999999998</v>
      </c>
      <c r="T10" s="56" t="s">
        <v>59</v>
      </c>
      <c r="U10" s="6">
        <v>331.86</v>
      </c>
      <c r="AC10" s="19" t="str">
        <f>T51</f>
        <v>NORMAL ± 4 ▽/KPC</v>
      </c>
      <c r="AD10" s="13">
        <f>S51</f>
        <v>304</v>
      </c>
      <c r="AE10" s="13" t="e">
        <f>#REF!</f>
        <v>#REF!</v>
      </c>
      <c r="AF10" s="13">
        <f>N51</f>
        <v>0</v>
      </c>
      <c r="AG10" s="13">
        <f>Q51</f>
        <v>0</v>
      </c>
      <c r="AH10" s="13">
        <f>V34</f>
        <v>0</v>
      </c>
      <c r="AI10" s="20"/>
    </row>
    <row r="11" spans="1:37" x14ac:dyDescent="0.25">
      <c r="A11" s="70"/>
      <c r="B11" s="41">
        <v>0.18298</v>
      </c>
      <c r="C11" s="6">
        <v>25.902999999999999</v>
      </c>
      <c r="D11" s="6">
        <v>966.7</v>
      </c>
      <c r="E11" s="6">
        <f t="shared" si="6"/>
        <v>966.7</v>
      </c>
      <c r="F11" s="6">
        <f t="shared" si="7"/>
        <v>98.582500509891915</v>
      </c>
      <c r="H11" s="6">
        <f t="shared" si="8"/>
        <v>279.09699999999998</v>
      </c>
      <c r="J11" s="6">
        <v>234.77</v>
      </c>
      <c r="M11" s="53">
        <v>0.23780999999999999</v>
      </c>
      <c r="N11" s="54">
        <v>33.411999999999999</v>
      </c>
      <c r="O11" s="54">
        <v>1370.3</v>
      </c>
      <c r="P11" s="54">
        <f t="shared" ref="P11:P27" si="18">SUM(O11:O11)</f>
        <v>1370.3</v>
      </c>
      <c r="Q11" s="54">
        <f t="shared" ref="Q11:Q27" si="19">P11/9.806</f>
        <v>139.74097491331838</v>
      </c>
      <c r="R11" s="54"/>
      <c r="S11" s="54">
        <f t="shared" ref="S11:S27" si="20">S$4-N11</f>
        <v>270.58800000000002</v>
      </c>
      <c r="U11" s="6">
        <v>278.66000000000003</v>
      </c>
      <c r="AC11" s="19" t="str">
        <f>T44</f>
        <v>CONTACT</v>
      </c>
      <c r="AD11" s="21">
        <f>S44</f>
        <v>304</v>
      </c>
      <c r="AE11" s="21">
        <f>S44</f>
        <v>304</v>
      </c>
      <c r="AF11" s="21">
        <f>N44</f>
        <v>0</v>
      </c>
      <c r="AG11" s="21">
        <f>Q44</f>
        <v>0</v>
      </c>
      <c r="AH11" s="21">
        <f>V27</f>
        <v>0</v>
      </c>
      <c r="AI11" s="20"/>
    </row>
    <row r="12" spans="1:37" x14ac:dyDescent="0.25">
      <c r="A12" s="70"/>
      <c r="B12" s="47">
        <v>0.24512</v>
      </c>
      <c r="C12" s="48">
        <v>34.613</v>
      </c>
      <c r="D12" s="48">
        <v>1330.4</v>
      </c>
      <c r="E12" s="6">
        <f t="shared" si="6"/>
        <v>1330.4</v>
      </c>
      <c r="F12" s="6">
        <f t="shared" si="7"/>
        <v>135.67203752804409</v>
      </c>
      <c r="H12" s="6">
        <f t="shared" si="8"/>
        <v>270.387</v>
      </c>
      <c r="I12" s="48"/>
      <c r="J12" s="6">
        <v>309.83999999999997</v>
      </c>
      <c r="M12" s="53">
        <v>0.33781</v>
      </c>
      <c r="N12" s="54">
        <v>47.404000000000003</v>
      </c>
      <c r="O12" s="54">
        <v>1958</v>
      </c>
      <c r="P12" s="54">
        <f t="shared" si="18"/>
        <v>1958</v>
      </c>
      <c r="Q12" s="54">
        <f t="shared" si="19"/>
        <v>199.67366918213341</v>
      </c>
      <c r="R12" s="54"/>
      <c r="S12" s="54">
        <f t="shared" si="20"/>
        <v>256.596</v>
      </c>
      <c r="T12" s="54"/>
      <c r="U12" s="6">
        <v>395.02</v>
      </c>
      <c r="AC12" s="19" t="str">
        <f>T38</f>
        <v>CURB ± 4 ▽/KPC</v>
      </c>
      <c r="AD12" s="13">
        <f>S38</f>
        <v>304</v>
      </c>
      <c r="AE12" s="13" t="e">
        <f>#REF!</f>
        <v>#REF!</v>
      </c>
      <c r="AF12" s="13">
        <f>N38</f>
        <v>0</v>
      </c>
      <c r="AG12" s="13">
        <f>Q38</f>
        <v>0</v>
      </c>
      <c r="AH12" s="13">
        <f>V21</f>
        <v>0</v>
      </c>
      <c r="AI12" s="20"/>
    </row>
    <row r="13" spans="1:37" ht="15.75" thickBot="1" x14ac:dyDescent="0.3">
      <c r="A13" s="70"/>
      <c r="B13" s="49">
        <v>0.28355999999999998</v>
      </c>
      <c r="C13" s="50">
        <v>40</v>
      </c>
      <c r="D13" s="50">
        <v>1554.2</v>
      </c>
      <c r="E13" s="50">
        <f t="shared" ref="E13:E27" si="21">SUM(D13:D13)</f>
        <v>1554.2</v>
      </c>
      <c r="F13" s="50">
        <f t="shared" ref="F13:F27" si="22">E13/9.806</f>
        <v>158.49479910259026</v>
      </c>
      <c r="G13" s="50"/>
      <c r="H13" s="50">
        <f t="shared" ref="H13:H27" si="23">H$4-C13</f>
        <v>265</v>
      </c>
      <c r="I13" s="50" t="s">
        <v>59</v>
      </c>
      <c r="J13" s="6">
        <v>356.22</v>
      </c>
      <c r="M13" s="53">
        <v>0.43780999999999998</v>
      </c>
      <c r="N13" s="54">
        <v>61.389000000000003</v>
      </c>
      <c r="O13" s="54">
        <v>2541.6</v>
      </c>
      <c r="P13" s="54">
        <f t="shared" si="18"/>
        <v>2541.6</v>
      </c>
      <c r="Q13" s="54">
        <f t="shared" si="19"/>
        <v>259.18825209055683</v>
      </c>
      <c r="R13" s="54"/>
      <c r="S13" s="54">
        <f t="shared" si="20"/>
        <v>242.61099999999999</v>
      </c>
      <c r="T13" s="54"/>
      <c r="U13" s="6">
        <v>510.92</v>
      </c>
      <c r="AC13" s="22" t="s">
        <v>5</v>
      </c>
      <c r="AD13" s="23">
        <f>S4</f>
        <v>304</v>
      </c>
      <c r="AE13" s="23" t="e">
        <f>#REF!</f>
        <v>#REF!</v>
      </c>
      <c r="AF13" s="23">
        <f>N4</f>
        <v>0</v>
      </c>
      <c r="AG13" s="23">
        <f>Q4</f>
        <v>0</v>
      </c>
      <c r="AH13" s="23">
        <f>V4</f>
        <v>0</v>
      </c>
      <c r="AI13" s="24"/>
    </row>
    <row r="14" spans="1:37" ht="15.75" thickBot="1" x14ac:dyDescent="0.3">
      <c r="A14" s="70"/>
      <c r="B14" s="47">
        <v>0.33833999999999997</v>
      </c>
      <c r="C14" s="48">
        <v>47.677</v>
      </c>
      <c r="D14" s="48">
        <v>1873.2</v>
      </c>
      <c r="E14" s="6">
        <f t="shared" si="21"/>
        <v>1873.2</v>
      </c>
      <c r="F14" s="6">
        <f t="shared" si="22"/>
        <v>191.0259025086682</v>
      </c>
      <c r="H14" s="6">
        <f t="shared" si="23"/>
        <v>257.32299999999998</v>
      </c>
      <c r="I14" s="48"/>
      <c r="J14" s="6">
        <v>422.54</v>
      </c>
      <c r="M14" s="57">
        <v>0.46291500000000002</v>
      </c>
      <c r="N14" s="58">
        <v>64.900000000000006</v>
      </c>
      <c r="O14" s="58">
        <v>2687.2</v>
      </c>
      <c r="P14" s="58">
        <f t="shared" ref="P14" si="24">SUM(O14:O14)</f>
        <v>2687.2</v>
      </c>
      <c r="Q14" s="58">
        <f t="shared" ref="Q14" si="25">P14/9.806</f>
        <v>274.03630430348767</v>
      </c>
      <c r="R14" s="58"/>
      <c r="S14" s="58">
        <f t="shared" ref="S14" si="26">S$4-N14</f>
        <v>239.1</v>
      </c>
      <c r="T14" s="58" t="s">
        <v>60</v>
      </c>
      <c r="U14" s="6">
        <v>539.87</v>
      </c>
      <c r="AC14" s="25"/>
      <c r="AD14" s="25"/>
      <c r="AE14" s="26"/>
      <c r="AF14" s="26"/>
      <c r="AG14" s="26"/>
      <c r="AH14" s="25"/>
      <c r="AI14" s="25"/>
    </row>
    <row r="15" spans="1:37" ht="19.5" x14ac:dyDescent="0.3">
      <c r="A15" s="70"/>
      <c r="B15" s="47">
        <v>0.35487000000000002</v>
      </c>
      <c r="C15" s="48">
        <v>49.994</v>
      </c>
      <c r="D15" s="48">
        <v>1968.9</v>
      </c>
      <c r="E15" s="6">
        <f t="shared" si="21"/>
        <v>1968.9</v>
      </c>
      <c r="F15" s="6">
        <f t="shared" si="22"/>
        <v>200.78523353049155</v>
      </c>
      <c r="H15" s="6">
        <f t="shared" si="23"/>
        <v>255.006</v>
      </c>
      <c r="J15" s="6">
        <v>442.57</v>
      </c>
      <c r="M15" s="53">
        <v>0.53781000000000001</v>
      </c>
      <c r="N15" s="54">
        <v>75.370999999999995</v>
      </c>
      <c r="O15" s="54">
        <v>3121.5</v>
      </c>
      <c r="P15" s="54">
        <f t="shared" si="18"/>
        <v>3121.5</v>
      </c>
      <c r="Q15" s="54">
        <f t="shared" si="19"/>
        <v>318.325514990822</v>
      </c>
      <c r="R15" s="54"/>
      <c r="S15" s="54">
        <f t="shared" si="20"/>
        <v>228.62900000000002</v>
      </c>
      <c r="T15" s="54"/>
      <c r="U15" s="6">
        <v>628.01</v>
      </c>
      <c r="AC15" s="62" t="s">
        <v>9</v>
      </c>
      <c r="AD15" s="63"/>
      <c r="AE15" s="63"/>
      <c r="AF15" s="63"/>
      <c r="AG15" s="63"/>
      <c r="AH15" s="63"/>
      <c r="AI15" s="64"/>
    </row>
    <row r="16" spans="1:37" x14ac:dyDescent="0.25">
      <c r="A16" s="70"/>
      <c r="B16" s="47">
        <v>0.43154999999999999</v>
      </c>
      <c r="C16" s="48">
        <v>60.743000000000002</v>
      </c>
      <c r="D16" s="48">
        <v>2413</v>
      </c>
      <c r="E16" s="6">
        <f t="shared" si="21"/>
        <v>2413</v>
      </c>
      <c r="F16" s="6">
        <f t="shared" si="22"/>
        <v>246.07383234754235</v>
      </c>
      <c r="H16" s="6">
        <f t="shared" si="23"/>
        <v>244.25700000000001</v>
      </c>
      <c r="I16" s="48"/>
      <c r="J16" s="6">
        <v>536</v>
      </c>
      <c r="M16" s="53">
        <v>0.63780999999999999</v>
      </c>
      <c r="N16" s="54">
        <v>89.355000000000004</v>
      </c>
      <c r="O16" s="54">
        <v>3697.6</v>
      </c>
      <c r="P16" s="54">
        <f t="shared" si="18"/>
        <v>3697.6</v>
      </c>
      <c r="Q16" s="54">
        <f t="shared" si="19"/>
        <v>377.0752600448705</v>
      </c>
      <c r="R16" s="59">
        <f>(Q24-Q16)/(N24-N16)</f>
        <v>4.2199682171660289</v>
      </c>
      <c r="S16" s="54">
        <f t="shared" si="20"/>
        <v>214.64499999999998</v>
      </c>
      <c r="T16" s="54" t="s">
        <v>60</v>
      </c>
      <c r="U16" s="6">
        <v>745.52</v>
      </c>
      <c r="AC16" s="11"/>
      <c r="AD16" s="12"/>
      <c r="AE16" s="13"/>
      <c r="AF16" s="14" t="s">
        <v>35</v>
      </c>
      <c r="AG16" s="14" t="s">
        <v>32</v>
      </c>
      <c r="AH16" s="65" t="s">
        <v>27</v>
      </c>
      <c r="AI16" s="66"/>
    </row>
    <row r="17" spans="1:35" x14ac:dyDescent="0.25">
      <c r="A17" s="71" t="s">
        <v>29</v>
      </c>
      <c r="B17" s="51">
        <v>0.42625000000000002</v>
      </c>
      <c r="C17" s="52">
        <v>65</v>
      </c>
      <c r="D17" s="52">
        <v>2587.6999999999998</v>
      </c>
      <c r="E17" s="52">
        <f t="shared" si="21"/>
        <v>2587.6999999999998</v>
      </c>
      <c r="F17" s="52">
        <f t="shared" si="22"/>
        <v>263.8894554354477</v>
      </c>
      <c r="G17" s="52"/>
      <c r="H17" s="52">
        <f t="shared" si="23"/>
        <v>240</v>
      </c>
      <c r="I17" s="52" t="s">
        <v>60</v>
      </c>
      <c r="J17" s="6">
        <v>573.09</v>
      </c>
      <c r="M17" s="55">
        <v>0.64171</v>
      </c>
      <c r="N17" s="56">
        <v>89.900999999999996</v>
      </c>
      <c r="O17" s="56">
        <v>3720</v>
      </c>
      <c r="P17" s="56">
        <f t="shared" si="18"/>
        <v>3720</v>
      </c>
      <c r="Q17" s="56">
        <f t="shared" si="19"/>
        <v>379.35957576993678</v>
      </c>
      <c r="R17" s="60"/>
      <c r="S17" s="56">
        <f>S$4-N17</f>
        <v>214.09899999999999</v>
      </c>
      <c r="T17" s="56" t="s">
        <v>61</v>
      </c>
      <c r="U17" s="6">
        <v>750.09</v>
      </c>
      <c r="AC17" s="11" t="s">
        <v>6</v>
      </c>
      <c r="AD17" s="15">
        <f>G15</f>
        <v>0</v>
      </c>
      <c r="AE17" s="13" t="s">
        <v>51</v>
      </c>
      <c r="AF17" s="16">
        <f>AD17-AD17*0.05</f>
        <v>0</v>
      </c>
      <c r="AG17" s="16">
        <f>AD17+AD17*0.05</f>
        <v>0</v>
      </c>
      <c r="AH17" s="14" t="str">
        <f>I37</f>
        <v>CURB ± 4 ▽/KPC</v>
      </c>
      <c r="AI17" s="17" t="str">
        <f>I50</f>
        <v>NORMAL ± 4 ▽/KPC</v>
      </c>
    </row>
    <row r="18" spans="1:35" x14ac:dyDescent="0.25">
      <c r="A18" s="71"/>
      <c r="B18" s="47">
        <v>0.49753500000000001</v>
      </c>
      <c r="C18" s="48">
        <v>69.992999999999995</v>
      </c>
      <c r="D18" s="48">
        <v>2792.6</v>
      </c>
      <c r="E18" s="6">
        <f t="shared" si="21"/>
        <v>2792.6</v>
      </c>
      <c r="F18" s="6">
        <f t="shared" si="22"/>
        <v>284.78482561696921</v>
      </c>
      <c r="H18" s="6">
        <f t="shared" si="23"/>
        <v>235.00700000000001</v>
      </c>
      <c r="I18" s="48"/>
      <c r="J18" s="6">
        <v>616.63</v>
      </c>
      <c r="M18" s="53">
        <v>0.73780999999999997</v>
      </c>
      <c r="N18" s="54">
        <v>103.34</v>
      </c>
      <c r="O18" s="54">
        <v>4270.3999999999996</v>
      </c>
      <c r="P18" s="54">
        <f t="shared" si="18"/>
        <v>4270.3999999999996</v>
      </c>
      <c r="Q18" s="54">
        <f t="shared" si="19"/>
        <v>435.48847644299411</v>
      </c>
      <c r="R18" s="54"/>
      <c r="S18" s="54">
        <f t="shared" si="20"/>
        <v>200.66</v>
      </c>
      <c r="T18" s="54"/>
      <c r="U18" s="6">
        <v>862.71</v>
      </c>
      <c r="AC18" s="11" t="s">
        <v>7</v>
      </c>
      <c r="AD18" s="15" t="e">
        <f>G53</f>
        <v>#DIV/0!</v>
      </c>
      <c r="AE18" s="13" t="s">
        <v>51</v>
      </c>
      <c r="AF18" s="16" t="e">
        <f>AD18-AD18*0.05</f>
        <v>#DIV/0!</v>
      </c>
      <c r="AG18" s="16" t="e">
        <f>AD18+AD18*0.05</f>
        <v>#DIV/0!</v>
      </c>
      <c r="AH18" s="14" t="str">
        <f>I50</f>
        <v>NORMAL ± 4 ▽/KPC</v>
      </c>
      <c r="AI18" s="17" t="str">
        <f>I57</f>
        <v>MAX</v>
      </c>
    </row>
    <row r="19" spans="1:35" ht="28.5" x14ac:dyDescent="0.25">
      <c r="A19" s="71"/>
      <c r="B19" s="47">
        <v>0.53154999999999997</v>
      </c>
      <c r="C19" s="48">
        <v>74.760999999999996</v>
      </c>
      <c r="D19" s="48">
        <v>2988.3</v>
      </c>
      <c r="E19" s="6">
        <f t="shared" si="21"/>
        <v>2988.3</v>
      </c>
      <c r="F19" s="6">
        <f t="shared" si="22"/>
        <v>304.74199469712426</v>
      </c>
      <c r="H19" s="6">
        <f t="shared" si="23"/>
        <v>230.239</v>
      </c>
      <c r="I19" s="48"/>
      <c r="J19" s="6">
        <v>658.21</v>
      </c>
      <c r="M19" s="57">
        <v>0.82047000000000003</v>
      </c>
      <c r="N19" s="58">
        <v>114.9</v>
      </c>
      <c r="O19" s="58">
        <v>4741.3</v>
      </c>
      <c r="P19" s="58">
        <f t="shared" ref="P19" si="27">SUM(O19:O19)</f>
        <v>4741.3</v>
      </c>
      <c r="Q19" s="58">
        <f t="shared" ref="Q19" si="28">P19/9.806</f>
        <v>483.51009585967779</v>
      </c>
      <c r="R19" s="58"/>
      <c r="S19" s="58">
        <f t="shared" ref="S19" si="29">S$4-N19</f>
        <v>189.1</v>
      </c>
      <c r="T19" s="58" t="s">
        <v>62</v>
      </c>
      <c r="U19" s="6">
        <v>959.25</v>
      </c>
      <c r="AC19" s="11"/>
      <c r="AD19" s="35" t="s">
        <v>0</v>
      </c>
      <c r="AE19" s="36" t="s">
        <v>1</v>
      </c>
      <c r="AF19" s="36" t="s">
        <v>2</v>
      </c>
      <c r="AG19" s="36" t="s">
        <v>8</v>
      </c>
      <c r="AH19" s="37" t="s">
        <v>3</v>
      </c>
      <c r="AI19" s="38" t="s">
        <v>36</v>
      </c>
    </row>
    <row r="20" spans="1:35" x14ac:dyDescent="0.25">
      <c r="A20" s="71"/>
      <c r="B20" s="47">
        <v>0.63154999999999994</v>
      </c>
      <c r="C20" s="48">
        <v>88.781000000000006</v>
      </c>
      <c r="D20" s="48">
        <v>3559.5</v>
      </c>
      <c r="E20" s="6">
        <f t="shared" si="21"/>
        <v>3559.5</v>
      </c>
      <c r="F20" s="6">
        <f t="shared" si="22"/>
        <v>362.99204568631455</v>
      </c>
      <c r="G20" s="59">
        <f>(F24-F17)/(C24-C17)</f>
        <v>4.140526208443811</v>
      </c>
      <c r="H20" s="6">
        <f t="shared" si="23"/>
        <v>216.21899999999999</v>
      </c>
      <c r="I20" s="48"/>
      <c r="J20" s="6">
        <v>780.74</v>
      </c>
      <c r="M20" s="53">
        <v>0.83781000000000005</v>
      </c>
      <c r="N20" s="54">
        <v>117.32</v>
      </c>
      <c r="O20" s="54">
        <v>4840.1000000000004</v>
      </c>
      <c r="P20" s="54">
        <f t="shared" si="18"/>
        <v>4840.1000000000004</v>
      </c>
      <c r="Q20" s="54">
        <f t="shared" si="19"/>
        <v>493.58555986130949</v>
      </c>
      <c r="R20" s="54"/>
      <c r="S20" s="54">
        <f t="shared" si="20"/>
        <v>186.68</v>
      </c>
      <c r="T20" s="54"/>
      <c r="U20" s="6">
        <v>979.5</v>
      </c>
      <c r="AC20" s="11" t="s">
        <v>4</v>
      </c>
      <c r="AD20" s="12"/>
      <c r="AE20" s="13"/>
      <c r="AF20" s="13"/>
      <c r="AG20" s="13">
        <v>0</v>
      </c>
      <c r="AH20" s="12"/>
      <c r="AI20" s="18"/>
    </row>
    <row r="21" spans="1:35" x14ac:dyDescent="0.25">
      <c r="A21" s="71"/>
      <c r="B21" s="49">
        <v>0.64024999999999999</v>
      </c>
      <c r="C21" s="50">
        <v>90</v>
      </c>
      <c r="D21" s="50">
        <v>3608.8</v>
      </c>
      <c r="E21" s="50">
        <f t="shared" si="21"/>
        <v>3608.8</v>
      </c>
      <c r="F21" s="50">
        <f t="shared" si="22"/>
        <v>368.01957984907204</v>
      </c>
      <c r="G21" s="50"/>
      <c r="H21" s="50">
        <f t="shared" si="23"/>
        <v>215</v>
      </c>
      <c r="I21" s="50" t="s">
        <v>61</v>
      </c>
      <c r="J21" s="6">
        <v>791.38</v>
      </c>
      <c r="K21" s="6">
        <f>MAX(J37:J37)</f>
        <v>0</v>
      </c>
      <c r="M21" s="53">
        <v>0.93781000000000003</v>
      </c>
      <c r="N21" s="54">
        <v>131.31</v>
      </c>
      <c r="O21" s="54">
        <v>5407.1</v>
      </c>
      <c r="P21" s="54">
        <f t="shared" si="18"/>
        <v>5407.1</v>
      </c>
      <c r="Q21" s="54">
        <f t="shared" si="19"/>
        <v>551.4073016520498</v>
      </c>
      <c r="R21" s="54"/>
      <c r="S21" s="54">
        <f t="shared" si="20"/>
        <v>172.69</v>
      </c>
      <c r="U21" s="6">
        <v>1096</v>
      </c>
      <c r="V21" s="6">
        <f>MAX(U38:U38)</f>
        <v>0</v>
      </c>
      <c r="AC21" s="19" t="str">
        <f>I57</f>
        <v>MAX</v>
      </c>
      <c r="AD21" s="13">
        <f>H57</f>
        <v>305</v>
      </c>
      <c r="AE21" s="13" t="e">
        <f>#REF!</f>
        <v>#REF!</v>
      </c>
      <c r="AF21" s="13">
        <f>C57</f>
        <v>0</v>
      </c>
      <c r="AG21" s="13">
        <f>F57</f>
        <v>0</v>
      </c>
      <c r="AH21" s="13">
        <f>K41</f>
        <v>0</v>
      </c>
      <c r="AI21" s="20"/>
    </row>
    <row r="22" spans="1:35" x14ac:dyDescent="0.25">
      <c r="A22" s="71"/>
      <c r="B22" s="47">
        <v>0.67586000000000002</v>
      </c>
      <c r="C22" s="48">
        <v>94.992999999999995</v>
      </c>
      <c r="D22" s="48">
        <v>3811</v>
      </c>
      <c r="E22" s="6">
        <f t="shared" si="21"/>
        <v>3811</v>
      </c>
      <c r="F22" s="6">
        <f t="shared" si="22"/>
        <v>388.6396084030186</v>
      </c>
      <c r="H22" s="6">
        <f t="shared" si="23"/>
        <v>210.00700000000001</v>
      </c>
      <c r="J22" s="6">
        <v>834.98</v>
      </c>
      <c r="M22" s="55">
        <v>1</v>
      </c>
      <c r="N22" s="56">
        <v>140.01</v>
      </c>
      <c r="O22" s="56">
        <v>5758.4</v>
      </c>
      <c r="P22" s="56">
        <f t="shared" si="18"/>
        <v>5758.4</v>
      </c>
      <c r="Q22" s="56">
        <f t="shared" si="19"/>
        <v>587.23230675096886</v>
      </c>
      <c r="R22" s="50"/>
      <c r="S22" s="56">
        <f t="shared" si="20"/>
        <v>163.99</v>
      </c>
      <c r="T22" s="56" t="s">
        <v>63</v>
      </c>
      <c r="U22" s="6">
        <v>1168.5</v>
      </c>
      <c r="V22" s="6"/>
      <c r="AC22" s="19" t="str">
        <f>I50</f>
        <v>NORMAL ± 4 ▽/KPC</v>
      </c>
      <c r="AD22" s="13">
        <f>H50</f>
        <v>305</v>
      </c>
      <c r="AE22" s="13" t="e">
        <f>#REF!</f>
        <v>#REF!</v>
      </c>
      <c r="AF22" s="13">
        <f>C50</f>
        <v>0</v>
      </c>
      <c r="AG22" s="13">
        <f>F50</f>
        <v>0</v>
      </c>
      <c r="AH22" s="13">
        <f>K34</f>
        <v>0</v>
      </c>
      <c r="AI22" s="20"/>
    </row>
    <row r="23" spans="1:35" x14ac:dyDescent="0.25">
      <c r="A23" s="71"/>
      <c r="B23" s="47">
        <v>0.73155000000000003</v>
      </c>
      <c r="C23" s="48">
        <v>102.8</v>
      </c>
      <c r="D23" s="48">
        <v>4127.1000000000004</v>
      </c>
      <c r="E23" s="6">
        <f t="shared" si="21"/>
        <v>4127.1000000000004</v>
      </c>
      <c r="F23" s="6">
        <f t="shared" si="22"/>
        <v>420.87497450540491</v>
      </c>
      <c r="H23" s="6">
        <f t="shared" si="23"/>
        <v>202.2</v>
      </c>
      <c r="I23" s="48"/>
      <c r="J23" s="6">
        <v>903.19</v>
      </c>
      <c r="M23" s="53"/>
      <c r="N23" s="54"/>
      <c r="O23" s="54"/>
      <c r="P23" s="54">
        <f t="shared" si="18"/>
        <v>0</v>
      </c>
      <c r="Q23" s="54">
        <f t="shared" si="19"/>
        <v>0</v>
      </c>
      <c r="R23" s="54"/>
      <c r="S23" s="54">
        <f t="shared" si="20"/>
        <v>304</v>
      </c>
      <c r="T23" s="54"/>
      <c r="V23" s="6"/>
      <c r="AC23" s="19" t="str">
        <f>I43</f>
        <v>CONTACT</v>
      </c>
      <c r="AD23" s="21">
        <f>H43</f>
        <v>305</v>
      </c>
      <c r="AE23" s="21" t="e">
        <f>#REF!</f>
        <v>#REF!</v>
      </c>
      <c r="AF23" s="21" t="e">
        <f>#REF!</f>
        <v>#REF!</v>
      </c>
      <c r="AG23" s="21">
        <f>F43</f>
        <v>0</v>
      </c>
      <c r="AH23" s="21">
        <f>K27</f>
        <v>0</v>
      </c>
      <c r="AI23" s="20"/>
    </row>
    <row r="24" spans="1:35" x14ac:dyDescent="0.25">
      <c r="A24" s="71"/>
      <c r="B24" s="51">
        <v>0.81850000000000001</v>
      </c>
      <c r="C24" s="52">
        <v>115</v>
      </c>
      <c r="D24" s="52">
        <v>4617.8</v>
      </c>
      <c r="E24" s="52">
        <f t="shared" si="21"/>
        <v>4617.8</v>
      </c>
      <c r="F24" s="52">
        <f t="shared" si="22"/>
        <v>470.91576585763823</v>
      </c>
      <c r="G24" s="52"/>
      <c r="H24" s="52">
        <f t="shared" si="23"/>
        <v>190</v>
      </c>
      <c r="I24" s="52" t="s">
        <v>62</v>
      </c>
      <c r="J24" s="6">
        <v>1009.6</v>
      </c>
      <c r="M24" s="53"/>
      <c r="N24" s="54"/>
      <c r="O24" s="54"/>
      <c r="P24" s="54">
        <f t="shared" si="18"/>
        <v>0</v>
      </c>
      <c r="Q24" s="54">
        <f t="shared" si="19"/>
        <v>0</v>
      </c>
      <c r="R24" s="54"/>
      <c r="S24" s="54">
        <f t="shared" si="20"/>
        <v>304</v>
      </c>
      <c r="V24" s="6"/>
      <c r="AC24" s="19" t="str">
        <f>I37</f>
        <v>CURB ± 4 ▽/KPC</v>
      </c>
      <c r="AD24" s="13">
        <f>H37</f>
        <v>305</v>
      </c>
      <c r="AE24" s="13" t="e">
        <f>#REF!</f>
        <v>#REF!</v>
      </c>
      <c r="AF24" s="13">
        <f>C37</f>
        <v>0</v>
      </c>
      <c r="AG24" s="13">
        <f>F37</f>
        <v>0</v>
      </c>
      <c r="AH24" s="13">
        <f>K21</f>
        <v>0</v>
      </c>
      <c r="AI24" s="20"/>
    </row>
    <row r="25" spans="1:35" ht="15.75" thickBot="1" x14ac:dyDescent="0.3">
      <c r="A25" s="71"/>
      <c r="B25" s="47">
        <v>0.83155000000000001</v>
      </c>
      <c r="C25" s="48">
        <v>116.83</v>
      </c>
      <c r="D25" s="48">
        <v>4691.3999999999996</v>
      </c>
      <c r="E25" s="6">
        <f t="shared" si="21"/>
        <v>4691.3999999999996</v>
      </c>
      <c r="F25" s="6">
        <f t="shared" si="22"/>
        <v>478.42137466857025</v>
      </c>
      <c r="H25" s="6">
        <f t="shared" si="23"/>
        <v>188.17000000000002</v>
      </c>
      <c r="I25" s="48"/>
      <c r="J25" s="6">
        <v>1025.5999999999999</v>
      </c>
      <c r="M25" s="53"/>
      <c r="N25" s="54"/>
      <c r="O25" s="54"/>
      <c r="P25" s="54">
        <f t="shared" si="18"/>
        <v>0</v>
      </c>
      <c r="Q25" s="54">
        <f t="shared" si="19"/>
        <v>0</v>
      </c>
      <c r="R25" s="54"/>
      <c r="S25" s="54">
        <f t="shared" si="20"/>
        <v>304</v>
      </c>
      <c r="T25" s="54"/>
      <c r="V25" s="6"/>
      <c r="AC25" s="22" t="s">
        <v>5</v>
      </c>
      <c r="AD25" s="23">
        <f>H4</f>
        <v>305</v>
      </c>
      <c r="AE25" s="23" t="e">
        <f>#REF!</f>
        <v>#REF!</v>
      </c>
      <c r="AF25" s="23">
        <f>C4</f>
        <v>0</v>
      </c>
      <c r="AG25" s="23">
        <f>F4</f>
        <v>0</v>
      </c>
      <c r="AH25" s="23">
        <f>K4</f>
        <v>0</v>
      </c>
      <c r="AI25" s="24"/>
    </row>
    <row r="26" spans="1:35" ht="15.75" thickBot="1" x14ac:dyDescent="0.3">
      <c r="A26" s="71"/>
      <c r="B26" s="47">
        <v>0.85414999999999996</v>
      </c>
      <c r="C26" s="48">
        <v>120</v>
      </c>
      <c r="D26" s="48">
        <v>4818.3</v>
      </c>
      <c r="E26" s="6">
        <f t="shared" si="21"/>
        <v>4818.3</v>
      </c>
      <c r="F26" s="6">
        <f t="shared" si="22"/>
        <v>491.36243116459315</v>
      </c>
      <c r="H26" s="6">
        <f t="shared" si="23"/>
        <v>185</v>
      </c>
      <c r="I26" s="48"/>
      <c r="J26" s="6">
        <v>1053.2</v>
      </c>
      <c r="K26" s="6">
        <f>MAX(J42:J42)</f>
        <v>0</v>
      </c>
      <c r="M26" s="53"/>
      <c r="N26" s="54"/>
      <c r="O26" s="54"/>
      <c r="P26" s="54">
        <f t="shared" si="18"/>
        <v>0</v>
      </c>
      <c r="Q26" s="54">
        <f t="shared" si="19"/>
        <v>0</v>
      </c>
      <c r="R26" s="54"/>
      <c r="S26" s="54">
        <f t="shared" si="20"/>
        <v>304</v>
      </c>
      <c r="T26" s="54"/>
      <c r="AC26" s="25"/>
      <c r="AD26" s="25"/>
      <c r="AE26" s="26"/>
      <c r="AF26" s="26"/>
      <c r="AG26" s="26"/>
      <c r="AH26" s="25"/>
      <c r="AI26" s="27"/>
    </row>
    <row r="27" spans="1:35" ht="19.5" x14ac:dyDescent="0.3">
      <c r="A27" s="71"/>
      <c r="B27" s="47">
        <v>0.93154999999999999</v>
      </c>
      <c r="C27" s="48">
        <v>130.85</v>
      </c>
      <c r="D27" s="48">
        <v>5252.6</v>
      </c>
      <c r="E27" s="6">
        <f t="shared" si="21"/>
        <v>5252.6</v>
      </c>
      <c r="F27" s="6">
        <f t="shared" si="22"/>
        <v>535.65164185192748</v>
      </c>
      <c r="H27" s="6">
        <f t="shared" si="23"/>
        <v>174.15</v>
      </c>
      <c r="I27" s="48"/>
      <c r="J27" s="6">
        <v>1147.9000000000001</v>
      </c>
      <c r="M27" s="53"/>
      <c r="N27" s="54"/>
      <c r="O27" s="54"/>
      <c r="P27" s="54">
        <f t="shared" si="18"/>
        <v>0</v>
      </c>
      <c r="Q27" s="54">
        <f t="shared" si="19"/>
        <v>0</v>
      </c>
      <c r="R27" s="54"/>
      <c r="S27" s="54">
        <f t="shared" si="20"/>
        <v>304</v>
      </c>
      <c r="V27" s="6">
        <f>MAX(U43:U43)</f>
        <v>0</v>
      </c>
      <c r="AC27" s="25"/>
      <c r="AD27" s="25"/>
      <c r="AE27" s="26"/>
      <c r="AF27" s="62" t="s">
        <v>19</v>
      </c>
      <c r="AG27" s="63"/>
      <c r="AH27" s="63"/>
      <c r="AI27" s="64"/>
    </row>
    <row r="28" spans="1:35" x14ac:dyDescent="0.25">
      <c r="A28" s="71"/>
      <c r="B28" s="45">
        <v>1</v>
      </c>
      <c r="C28" s="46">
        <v>140.44999999999999</v>
      </c>
      <c r="D28" s="46">
        <v>5635.4</v>
      </c>
      <c r="E28" s="46">
        <f t="shared" si="6"/>
        <v>5635.4</v>
      </c>
      <c r="F28" s="46">
        <f t="shared" si="7"/>
        <v>574.68896593922091</v>
      </c>
      <c r="G28" s="46"/>
      <c r="H28" s="46">
        <f t="shared" si="8"/>
        <v>164.55</v>
      </c>
      <c r="I28" s="46" t="s">
        <v>63</v>
      </c>
      <c r="J28" s="6">
        <v>1231.4000000000001</v>
      </c>
      <c r="M28" s="53"/>
      <c r="N28" s="54"/>
      <c r="O28" s="54"/>
      <c r="P28" s="48">
        <f t="shared" ref="P28:P34" si="30">SUM(O28:O28)</f>
        <v>0</v>
      </c>
      <c r="Q28" s="48">
        <f t="shared" ref="Q28:Q34" si="31">P28/9.806</f>
        <v>0</v>
      </c>
      <c r="S28" s="48">
        <f t="shared" si="14"/>
        <v>304</v>
      </c>
      <c r="T28" s="54"/>
      <c r="V28" s="6"/>
      <c r="AC28" s="25"/>
      <c r="AD28" s="25"/>
      <c r="AE28" s="26"/>
      <c r="AF28" s="28" t="s">
        <v>20</v>
      </c>
      <c r="AG28" s="67" t="str">
        <f>AC12</f>
        <v>CURB ± 4 ▽/KPC</v>
      </c>
      <c r="AH28" s="68"/>
      <c r="AI28" s="69"/>
    </row>
    <row r="29" spans="1:35" x14ac:dyDescent="0.25">
      <c r="A29" s="71"/>
      <c r="B29" s="47"/>
      <c r="C29" s="48"/>
      <c r="D29" s="48"/>
      <c r="E29" s="6">
        <f t="shared" si="6"/>
        <v>0</v>
      </c>
      <c r="F29" s="6">
        <f t="shared" si="7"/>
        <v>0</v>
      </c>
      <c r="H29" s="6">
        <f t="shared" si="8"/>
        <v>305</v>
      </c>
      <c r="I29" s="48"/>
      <c r="M29" s="53"/>
      <c r="N29" s="54"/>
      <c r="O29" s="54"/>
      <c r="P29" s="48">
        <f t="shared" si="30"/>
        <v>0</v>
      </c>
      <c r="Q29" s="48">
        <f t="shared" si="31"/>
        <v>0</v>
      </c>
      <c r="R29" s="54"/>
      <c r="S29" s="48">
        <f t="shared" si="14"/>
        <v>304</v>
      </c>
      <c r="T29" s="54"/>
      <c r="V29" s="6"/>
      <c r="AC29" s="25"/>
      <c r="AD29" s="25"/>
      <c r="AE29" s="26"/>
      <c r="AF29" s="28" t="s">
        <v>21</v>
      </c>
      <c r="AG29" s="67" t="s">
        <v>22</v>
      </c>
      <c r="AH29" s="68"/>
      <c r="AI29" s="69"/>
    </row>
    <row r="30" spans="1:35" x14ac:dyDescent="0.25">
      <c r="A30" s="71"/>
      <c r="B30" s="47"/>
      <c r="C30" s="48"/>
      <c r="D30" s="48"/>
      <c r="E30" s="6">
        <f t="shared" si="6"/>
        <v>0</v>
      </c>
      <c r="F30" s="6">
        <f t="shared" si="7"/>
        <v>0</v>
      </c>
      <c r="H30" s="6">
        <f t="shared" si="8"/>
        <v>305</v>
      </c>
      <c r="I30" s="48"/>
      <c r="M30" s="53"/>
      <c r="N30" s="54"/>
      <c r="O30" s="54"/>
      <c r="P30" s="48">
        <f t="shared" si="30"/>
        <v>0</v>
      </c>
      <c r="Q30" s="48">
        <f t="shared" si="31"/>
        <v>0</v>
      </c>
      <c r="R30" s="54"/>
      <c r="S30" s="48">
        <f t="shared" si="14"/>
        <v>304</v>
      </c>
      <c r="T30" s="54"/>
      <c r="V30" s="6"/>
      <c r="AC30" s="25"/>
      <c r="AD30" s="25"/>
      <c r="AE30" s="26"/>
      <c r="AF30" s="28" t="s">
        <v>23</v>
      </c>
      <c r="AG30" s="29">
        <f>AI30-2</f>
        <v>300</v>
      </c>
      <c r="AH30" s="14" t="s">
        <v>24</v>
      </c>
      <c r="AI30" s="30">
        <f>AG31</f>
        <v>302</v>
      </c>
    </row>
    <row r="31" spans="1:35" x14ac:dyDescent="0.25">
      <c r="A31" s="71"/>
      <c r="B31" s="47"/>
      <c r="C31" s="48"/>
      <c r="D31" s="48"/>
      <c r="E31" s="6">
        <f t="shared" si="6"/>
        <v>0</v>
      </c>
      <c r="F31" s="6">
        <f t="shared" si="7"/>
        <v>0</v>
      </c>
      <c r="H31" s="6">
        <f t="shared" si="8"/>
        <v>305</v>
      </c>
      <c r="I31" s="48"/>
      <c r="M31" s="53"/>
      <c r="N31" s="54"/>
      <c r="O31" s="54"/>
      <c r="P31" s="48">
        <f t="shared" si="30"/>
        <v>0</v>
      </c>
      <c r="Q31" s="48">
        <f t="shared" si="31"/>
        <v>0</v>
      </c>
      <c r="R31" s="54"/>
      <c r="S31" s="48">
        <f t="shared" si="14"/>
        <v>304</v>
      </c>
      <c r="T31" s="54"/>
      <c r="V31" s="6"/>
      <c r="AC31" s="25"/>
      <c r="AD31" s="25"/>
      <c r="AE31" s="26"/>
      <c r="AF31" s="28" t="s">
        <v>52</v>
      </c>
      <c r="AG31" s="29">
        <f>AD12-2</f>
        <v>302</v>
      </c>
      <c r="AH31" s="14" t="s">
        <v>25</v>
      </c>
      <c r="AI31" s="30">
        <f>AD12+2</f>
        <v>306</v>
      </c>
    </row>
    <row r="32" spans="1:35" ht="15.75" thickBot="1" x14ac:dyDescent="0.3">
      <c r="A32" s="71"/>
      <c r="B32" s="41"/>
      <c r="E32" s="6">
        <f t="shared" si="6"/>
        <v>0</v>
      </c>
      <c r="F32" s="6">
        <f t="shared" si="7"/>
        <v>0</v>
      </c>
      <c r="H32" s="6">
        <f t="shared" si="8"/>
        <v>305</v>
      </c>
      <c r="M32" s="53"/>
      <c r="N32" s="54"/>
      <c r="O32" s="54">
        <f>+N24-N15</f>
        <v>-75.370999999999995</v>
      </c>
      <c r="P32" s="48">
        <f t="shared" si="30"/>
        <v>-75.370999999999995</v>
      </c>
      <c r="Q32" s="48">
        <f t="shared" si="31"/>
        <v>-7.6862125229451355</v>
      </c>
      <c r="R32" s="54"/>
      <c r="S32" s="48">
        <f t="shared" si="14"/>
        <v>304</v>
      </c>
      <c r="T32" s="54"/>
      <c r="V32" s="6"/>
      <c r="AC32" s="25"/>
      <c r="AD32" s="25"/>
      <c r="AE32" s="26"/>
      <c r="AF32" s="31" t="s">
        <v>26</v>
      </c>
      <c r="AG32" s="32">
        <f>AI31</f>
        <v>306</v>
      </c>
      <c r="AH32" s="33" t="s">
        <v>50</v>
      </c>
      <c r="AI32" s="34">
        <f>AG32+2</f>
        <v>308</v>
      </c>
    </row>
    <row r="33" spans="1:34" x14ac:dyDescent="0.25">
      <c r="A33" s="71"/>
      <c r="B33" s="41"/>
      <c r="E33" s="6">
        <f t="shared" si="6"/>
        <v>0</v>
      </c>
      <c r="F33" s="6">
        <f t="shared" si="7"/>
        <v>0</v>
      </c>
      <c r="H33" s="6">
        <f t="shared" si="8"/>
        <v>305</v>
      </c>
      <c r="M33" s="53"/>
      <c r="N33" s="54"/>
      <c r="O33" s="54"/>
      <c r="P33" s="48">
        <f t="shared" si="30"/>
        <v>0</v>
      </c>
      <c r="Q33" s="48">
        <f t="shared" si="31"/>
        <v>0</v>
      </c>
      <c r="R33" s="54"/>
      <c r="S33" s="48">
        <f t="shared" si="14"/>
        <v>304</v>
      </c>
      <c r="T33" s="54"/>
      <c r="V33" s="6"/>
    </row>
    <row r="34" spans="1:34" x14ac:dyDescent="0.25">
      <c r="A34" s="71"/>
      <c r="B34" s="41"/>
      <c r="E34" s="6">
        <f t="shared" si="6"/>
        <v>0</v>
      </c>
      <c r="F34" s="6">
        <f t="shared" si="7"/>
        <v>0</v>
      </c>
      <c r="H34" s="6">
        <f t="shared" si="8"/>
        <v>305</v>
      </c>
      <c r="K34" s="6">
        <f>MAX(J50:J50)</f>
        <v>0</v>
      </c>
      <c r="M34" s="53"/>
      <c r="N34" s="54"/>
      <c r="O34" s="54"/>
      <c r="P34" s="48">
        <f t="shared" si="30"/>
        <v>0</v>
      </c>
      <c r="Q34" s="48">
        <f t="shared" si="31"/>
        <v>0</v>
      </c>
      <c r="R34" s="54"/>
      <c r="S34" s="48">
        <f t="shared" si="14"/>
        <v>304</v>
      </c>
      <c r="T34" s="54"/>
      <c r="V34" s="6">
        <f>MAX(U51:U51)</f>
        <v>0</v>
      </c>
    </row>
    <row r="35" spans="1:34" x14ac:dyDescent="0.25">
      <c r="A35" s="71"/>
      <c r="B35" s="41"/>
      <c r="E35" s="6">
        <f t="shared" si="0"/>
        <v>0</v>
      </c>
      <c r="F35" s="6">
        <f t="shared" si="2"/>
        <v>0</v>
      </c>
      <c r="H35" s="6">
        <f t="shared" si="3"/>
        <v>305</v>
      </c>
      <c r="M35" s="47"/>
      <c r="N35" s="48"/>
      <c r="O35" s="48"/>
      <c r="P35" s="48">
        <f t="shared" si="9"/>
        <v>0</v>
      </c>
      <c r="Q35" s="48">
        <f t="shared" si="10"/>
        <v>0</v>
      </c>
      <c r="R35" s="48"/>
      <c r="S35" s="48">
        <f t="shared" si="11"/>
        <v>304</v>
      </c>
      <c r="T35" s="48"/>
      <c r="V35" s="6"/>
    </row>
    <row r="36" spans="1:34" x14ac:dyDescent="0.25">
      <c r="A36" s="71"/>
      <c r="E36" s="6">
        <f t="shared" si="0"/>
        <v>0</v>
      </c>
      <c r="F36" s="6">
        <f t="shared" si="2"/>
        <v>0</v>
      </c>
      <c r="H36" s="6">
        <f t="shared" si="3"/>
        <v>305</v>
      </c>
      <c r="M36" s="48"/>
      <c r="N36" s="48"/>
      <c r="O36" s="48"/>
      <c r="P36" s="48">
        <f t="shared" si="1"/>
        <v>0</v>
      </c>
      <c r="Q36" s="48">
        <f t="shared" si="4"/>
        <v>0</v>
      </c>
      <c r="R36" s="48"/>
      <c r="S36" s="48">
        <f t="shared" si="5"/>
        <v>304</v>
      </c>
      <c r="T36" s="48"/>
      <c r="V36" s="6"/>
    </row>
    <row r="37" spans="1:34" x14ac:dyDescent="0.25">
      <c r="A37" s="71"/>
      <c r="E37" s="6">
        <f t="shared" si="0"/>
        <v>0</v>
      </c>
      <c r="F37" s="6">
        <f t="shared" si="2"/>
        <v>0</v>
      </c>
      <c r="H37" s="6">
        <f t="shared" si="3"/>
        <v>305</v>
      </c>
      <c r="I37" s="10" t="s">
        <v>49</v>
      </c>
      <c r="M37" s="48"/>
      <c r="N37" s="48"/>
      <c r="O37" s="48"/>
      <c r="P37" s="48">
        <f t="shared" si="1"/>
        <v>0</v>
      </c>
      <c r="Q37" s="48">
        <f t="shared" si="4"/>
        <v>0</v>
      </c>
      <c r="R37" s="48"/>
      <c r="S37" s="48">
        <f t="shared" si="5"/>
        <v>304</v>
      </c>
      <c r="T37" s="48"/>
      <c r="V37" s="6"/>
    </row>
    <row r="38" spans="1:34" x14ac:dyDescent="0.25">
      <c r="A38" s="71"/>
      <c r="E38" s="6">
        <f t="shared" si="0"/>
        <v>0</v>
      </c>
      <c r="F38" s="6">
        <f t="shared" si="2"/>
        <v>0</v>
      </c>
      <c r="H38" s="6">
        <f t="shared" si="3"/>
        <v>305</v>
      </c>
      <c r="P38" s="6">
        <f t="shared" si="1"/>
        <v>0</v>
      </c>
      <c r="Q38" s="6">
        <f t="shared" si="4"/>
        <v>0</v>
      </c>
      <c r="S38" s="6">
        <f t="shared" si="5"/>
        <v>304</v>
      </c>
      <c r="T38" s="10" t="s">
        <v>49</v>
      </c>
      <c r="V38" s="6"/>
      <c r="AD38" s="3" t="s">
        <v>37</v>
      </c>
      <c r="AE38" s="3" t="s">
        <v>38</v>
      </c>
      <c r="AF38" s="3" t="s">
        <v>39</v>
      </c>
      <c r="AG38" s="3" t="s">
        <v>40</v>
      </c>
      <c r="AH38" s="3" t="s">
        <v>41</v>
      </c>
    </row>
    <row r="39" spans="1:34" x14ac:dyDescent="0.25">
      <c r="A39" s="71"/>
      <c r="E39" s="6">
        <f t="shared" si="0"/>
        <v>0</v>
      </c>
      <c r="F39" s="6">
        <f t="shared" si="2"/>
        <v>0</v>
      </c>
      <c r="H39" s="6">
        <f t="shared" si="3"/>
        <v>305</v>
      </c>
      <c r="P39" s="6">
        <f t="shared" si="1"/>
        <v>0</v>
      </c>
      <c r="Q39" s="6">
        <f t="shared" si="4"/>
        <v>0</v>
      </c>
      <c r="S39" s="6">
        <f t="shared" si="5"/>
        <v>304</v>
      </c>
      <c r="V39" s="6"/>
    </row>
    <row r="40" spans="1:34" x14ac:dyDescent="0.25">
      <c r="A40" s="71"/>
      <c r="E40" s="6">
        <f t="shared" si="0"/>
        <v>0</v>
      </c>
      <c r="F40" s="6">
        <f t="shared" si="2"/>
        <v>0</v>
      </c>
      <c r="H40" s="6">
        <f t="shared" si="3"/>
        <v>305</v>
      </c>
      <c r="P40" s="6">
        <f t="shared" si="1"/>
        <v>0</v>
      </c>
      <c r="Q40" s="6">
        <f t="shared" si="4"/>
        <v>0</v>
      </c>
      <c r="S40" s="6">
        <f t="shared" si="5"/>
        <v>304</v>
      </c>
      <c r="V40" s="6"/>
    </row>
    <row r="41" spans="1:34" x14ac:dyDescent="0.25">
      <c r="A41" s="71"/>
      <c r="E41" s="6">
        <f t="shared" si="0"/>
        <v>0</v>
      </c>
      <c r="F41" s="6">
        <f t="shared" si="2"/>
        <v>0</v>
      </c>
      <c r="H41" s="6">
        <f t="shared" si="3"/>
        <v>305</v>
      </c>
      <c r="K41" s="6">
        <f>MAX(J57:J57)</f>
        <v>0</v>
      </c>
      <c r="P41" s="6">
        <f t="shared" si="1"/>
        <v>0</v>
      </c>
      <c r="Q41" s="6">
        <f t="shared" si="4"/>
        <v>0</v>
      </c>
      <c r="S41" s="6">
        <f t="shared" si="5"/>
        <v>304</v>
      </c>
      <c r="V41" s="6">
        <f>MAX(U58:U58)</f>
        <v>0</v>
      </c>
    </row>
    <row r="42" spans="1:34" x14ac:dyDescent="0.25">
      <c r="E42" s="6">
        <f t="shared" si="0"/>
        <v>0</v>
      </c>
      <c r="F42" s="6">
        <f t="shared" si="2"/>
        <v>0</v>
      </c>
      <c r="H42" s="6">
        <f t="shared" si="3"/>
        <v>305</v>
      </c>
      <c r="P42" s="6">
        <f t="shared" si="1"/>
        <v>0</v>
      </c>
      <c r="Q42" s="6">
        <f t="shared" si="4"/>
        <v>0</v>
      </c>
      <c r="S42" s="6">
        <f t="shared" si="5"/>
        <v>304</v>
      </c>
    </row>
    <row r="43" spans="1:34" x14ac:dyDescent="0.25">
      <c r="E43" s="6">
        <f t="shared" si="0"/>
        <v>0</v>
      </c>
      <c r="F43" s="6">
        <f t="shared" si="2"/>
        <v>0</v>
      </c>
      <c r="H43" s="6">
        <f t="shared" si="3"/>
        <v>305</v>
      </c>
      <c r="I43" s="6" t="s">
        <v>31</v>
      </c>
      <c r="P43" s="6">
        <f t="shared" si="1"/>
        <v>0</v>
      </c>
      <c r="Q43" s="6">
        <f t="shared" si="4"/>
        <v>0</v>
      </c>
      <c r="S43" s="6">
        <f t="shared" si="5"/>
        <v>304</v>
      </c>
    </row>
    <row r="44" spans="1:34" x14ac:dyDescent="0.25">
      <c r="E44" s="6">
        <f t="shared" si="0"/>
        <v>0</v>
      </c>
      <c r="F44" s="6">
        <f t="shared" si="2"/>
        <v>0</v>
      </c>
      <c r="H44" s="6">
        <f t="shared" si="3"/>
        <v>305</v>
      </c>
      <c r="P44" s="6">
        <f t="shared" si="1"/>
        <v>0</v>
      </c>
      <c r="Q44" s="6">
        <f t="shared" si="4"/>
        <v>0</v>
      </c>
      <c r="S44" s="6">
        <f t="shared" si="5"/>
        <v>304</v>
      </c>
      <c r="T44" s="6" t="s">
        <v>31</v>
      </c>
    </row>
    <row r="45" spans="1:34" x14ac:dyDescent="0.25">
      <c r="E45" s="6">
        <f t="shared" si="0"/>
        <v>0</v>
      </c>
      <c r="F45" s="6">
        <f t="shared" si="2"/>
        <v>0</v>
      </c>
      <c r="H45" s="6">
        <f t="shared" si="3"/>
        <v>305</v>
      </c>
      <c r="P45" s="6">
        <f t="shared" si="1"/>
        <v>0</v>
      </c>
      <c r="Q45" s="6">
        <f t="shared" si="4"/>
        <v>0</v>
      </c>
      <c r="S45" s="6">
        <f t="shared" si="5"/>
        <v>304</v>
      </c>
    </row>
    <row r="46" spans="1:34" x14ac:dyDescent="0.25">
      <c r="E46" s="6">
        <f t="shared" si="0"/>
        <v>0</v>
      </c>
      <c r="F46" s="6">
        <f t="shared" si="2"/>
        <v>0</v>
      </c>
      <c r="H46" s="6">
        <f t="shared" si="3"/>
        <v>305</v>
      </c>
      <c r="P46" s="6">
        <f t="shared" si="1"/>
        <v>0</v>
      </c>
      <c r="Q46" s="6">
        <f t="shared" si="4"/>
        <v>0</v>
      </c>
      <c r="S46" s="6">
        <f t="shared" si="5"/>
        <v>304</v>
      </c>
    </row>
    <row r="47" spans="1:34" x14ac:dyDescent="0.25">
      <c r="E47" s="6">
        <f t="shared" si="0"/>
        <v>0</v>
      </c>
      <c r="F47" s="6">
        <f t="shared" si="2"/>
        <v>0</v>
      </c>
      <c r="H47" s="6">
        <f t="shared" si="3"/>
        <v>305</v>
      </c>
      <c r="P47" s="6">
        <f t="shared" si="1"/>
        <v>0</v>
      </c>
      <c r="Q47" s="6">
        <f t="shared" si="4"/>
        <v>0</v>
      </c>
      <c r="S47" s="6">
        <f t="shared" si="5"/>
        <v>304</v>
      </c>
    </row>
    <row r="48" spans="1:34" x14ac:dyDescent="0.25">
      <c r="E48" s="6">
        <f t="shared" si="0"/>
        <v>0</v>
      </c>
      <c r="F48" s="6">
        <f t="shared" si="2"/>
        <v>0</v>
      </c>
      <c r="H48" s="6">
        <f t="shared" si="3"/>
        <v>305</v>
      </c>
      <c r="P48" s="6">
        <f t="shared" si="1"/>
        <v>0</v>
      </c>
      <c r="Q48" s="6">
        <f t="shared" si="4"/>
        <v>0</v>
      </c>
      <c r="S48" s="6">
        <f t="shared" si="5"/>
        <v>304</v>
      </c>
    </row>
    <row r="49" spans="5:20" x14ac:dyDescent="0.25">
      <c r="E49" s="6">
        <f t="shared" si="0"/>
        <v>0</v>
      </c>
      <c r="F49" s="6">
        <f t="shared" si="2"/>
        <v>0</v>
      </c>
      <c r="H49" s="6">
        <f t="shared" si="3"/>
        <v>305</v>
      </c>
      <c r="P49" s="6">
        <f t="shared" si="1"/>
        <v>0</v>
      </c>
      <c r="Q49" s="6">
        <f t="shared" si="4"/>
        <v>0</v>
      </c>
      <c r="S49" s="6">
        <f t="shared" si="5"/>
        <v>304</v>
      </c>
    </row>
    <row r="50" spans="5:20" x14ac:dyDescent="0.25">
      <c r="E50" s="6">
        <f t="shared" si="0"/>
        <v>0</v>
      </c>
      <c r="F50" s="6">
        <f t="shared" si="2"/>
        <v>0</v>
      </c>
      <c r="H50" s="6">
        <f t="shared" si="3"/>
        <v>305</v>
      </c>
      <c r="I50" s="6" t="s">
        <v>48</v>
      </c>
      <c r="P50" s="6">
        <f t="shared" si="1"/>
        <v>0</v>
      </c>
      <c r="Q50" s="6">
        <f t="shared" si="4"/>
        <v>0</v>
      </c>
      <c r="S50" s="6">
        <f t="shared" si="5"/>
        <v>304</v>
      </c>
    </row>
    <row r="51" spans="5:20" x14ac:dyDescent="0.25">
      <c r="E51" s="6">
        <f t="shared" si="0"/>
        <v>0</v>
      </c>
      <c r="F51" s="6">
        <f t="shared" si="2"/>
        <v>0</v>
      </c>
      <c r="H51" s="6">
        <f t="shared" si="3"/>
        <v>305</v>
      </c>
      <c r="P51" s="6">
        <f t="shared" si="1"/>
        <v>0</v>
      </c>
      <c r="Q51" s="6">
        <f t="shared" si="4"/>
        <v>0</v>
      </c>
      <c r="S51" s="6">
        <f t="shared" si="5"/>
        <v>304</v>
      </c>
      <c r="T51" s="6" t="s">
        <v>48</v>
      </c>
    </row>
    <row r="52" spans="5:20" x14ac:dyDescent="0.25">
      <c r="E52" s="6">
        <f t="shared" si="0"/>
        <v>0</v>
      </c>
      <c r="F52" s="6">
        <f t="shared" si="2"/>
        <v>0</v>
      </c>
      <c r="H52" s="6">
        <f t="shared" si="3"/>
        <v>305</v>
      </c>
      <c r="P52" s="6">
        <f t="shared" si="1"/>
        <v>0</v>
      </c>
      <c r="Q52" s="6">
        <f t="shared" si="4"/>
        <v>0</v>
      </c>
      <c r="S52" s="6">
        <f t="shared" si="5"/>
        <v>304</v>
      </c>
      <c r="T52" s="9"/>
    </row>
    <row r="53" spans="5:20" x14ac:dyDescent="0.25">
      <c r="E53" s="6">
        <f t="shared" si="0"/>
        <v>0</v>
      </c>
      <c r="F53" s="6">
        <f t="shared" si="2"/>
        <v>0</v>
      </c>
      <c r="G53" s="4" t="e">
        <f>(F57-F50)/(C57-C50)</f>
        <v>#DIV/0!</v>
      </c>
      <c r="H53" s="6">
        <f t="shared" si="3"/>
        <v>305</v>
      </c>
      <c r="P53" s="6">
        <f t="shared" si="1"/>
        <v>0</v>
      </c>
      <c r="Q53" s="6">
        <f t="shared" si="4"/>
        <v>0</v>
      </c>
      <c r="S53" s="6">
        <f t="shared" si="5"/>
        <v>304</v>
      </c>
    </row>
    <row r="54" spans="5:20" x14ac:dyDescent="0.25">
      <c r="E54" s="6">
        <f t="shared" si="0"/>
        <v>0</v>
      </c>
      <c r="F54" s="6">
        <f t="shared" si="2"/>
        <v>0</v>
      </c>
      <c r="H54" s="6">
        <f t="shared" si="3"/>
        <v>305</v>
      </c>
      <c r="P54" s="6">
        <f t="shared" si="1"/>
        <v>0</v>
      </c>
      <c r="Q54" s="6">
        <f t="shared" si="4"/>
        <v>0</v>
      </c>
      <c r="R54" s="4" t="e">
        <f>(Q58-Q51)/(N58-N51)</f>
        <v>#DIV/0!</v>
      </c>
      <c r="S54" s="6">
        <f t="shared" si="5"/>
        <v>304</v>
      </c>
    </row>
    <row r="55" spans="5:20" x14ac:dyDescent="0.25">
      <c r="E55" s="6">
        <f t="shared" si="0"/>
        <v>0</v>
      </c>
      <c r="F55" s="6">
        <f t="shared" si="2"/>
        <v>0</v>
      </c>
      <c r="H55" s="6">
        <f t="shared" si="3"/>
        <v>305</v>
      </c>
      <c r="P55" s="6">
        <f t="shared" si="1"/>
        <v>0</v>
      </c>
      <c r="Q55" s="6">
        <f t="shared" si="4"/>
        <v>0</v>
      </c>
      <c r="S55" s="6">
        <f t="shared" si="5"/>
        <v>304</v>
      </c>
    </row>
    <row r="56" spans="5:20" x14ac:dyDescent="0.25">
      <c r="E56" s="6">
        <f t="shared" si="0"/>
        <v>0</v>
      </c>
      <c r="F56" s="6">
        <f t="shared" si="2"/>
        <v>0</v>
      </c>
      <c r="H56" s="6">
        <f t="shared" si="3"/>
        <v>305</v>
      </c>
      <c r="P56" s="6">
        <f t="shared" si="1"/>
        <v>0</v>
      </c>
      <c r="Q56" s="6">
        <f t="shared" si="4"/>
        <v>0</v>
      </c>
      <c r="S56" s="6">
        <f t="shared" si="5"/>
        <v>304</v>
      </c>
    </row>
    <row r="57" spans="5:20" x14ac:dyDescent="0.25">
      <c r="E57" s="6">
        <f t="shared" si="0"/>
        <v>0</v>
      </c>
      <c r="F57" s="6">
        <f t="shared" si="2"/>
        <v>0</v>
      </c>
      <c r="H57" s="6">
        <f t="shared" si="3"/>
        <v>305</v>
      </c>
      <c r="I57" s="6" t="s">
        <v>32</v>
      </c>
      <c r="P57" s="6">
        <f t="shared" si="1"/>
        <v>0</v>
      </c>
      <c r="Q57" s="6">
        <f t="shared" si="4"/>
        <v>0</v>
      </c>
      <c r="S57" s="6">
        <f t="shared" si="5"/>
        <v>304</v>
      </c>
    </row>
    <row r="58" spans="5:20" x14ac:dyDescent="0.25">
      <c r="P58" s="6">
        <f t="shared" si="1"/>
        <v>0</v>
      </c>
      <c r="Q58" s="6">
        <f t="shared" si="4"/>
        <v>0</v>
      </c>
      <c r="S58" s="6">
        <f t="shared" si="5"/>
        <v>304</v>
      </c>
      <c r="T58" s="6" t="s">
        <v>32</v>
      </c>
    </row>
  </sheetData>
  <mergeCells count="11">
    <mergeCell ref="AF27:AI27"/>
    <mergeCell ref="AG28:AI28"/>
    <mergeCell ref="AG29:AI29"/>
    <mergeCell ref="A4:A16"/>
    <mergeCell ref="A17:A41"/>
    <mergeCell ref="AH16:AI16"/>
    <mergeCell ref="B2:K2"/>
    <mergeCell ref="M2:V2"/>
    <mergeCell ref="AC3:AI3"/>
    <mergeCell ref="AH4:AI4"/>
    <mergeCell ref="AC15:AI15"/>
  </mergeCells>
  <conditionalFormatting sqref="J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10:J13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14:J15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0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1:J32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3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4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5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39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0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1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5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6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7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8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6:U27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8:U29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0:U31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2:U33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4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5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6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7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8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9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0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1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2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3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4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5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6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7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8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9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0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1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2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3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4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5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6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7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58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27:J29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16:J19">
    <cfRule type="colorScale" priority="1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20:J26">
    <cfRule type="colorScale" priority="1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J4:J35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2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3:U25">
    <cfRule type="colorScale" priority="2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9:U11">
    <cfRule type="colorScale" priority="2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8:U22">
    <cfRule type="colorScale" priority="2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2:U17">
    <cfRule type="colorScale" priority="2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:U35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27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32" sqref="G32"/>
    </sheetView>
  </sheetViews>
  <sheetFormatPr baseColWidth="10" defaultRowHeight="15" x14ac:dyDescent="0.25"/>
  <cols>
    <col min="1" max="16384" width="11.42578125" style="42"/>
  </cols>
  <sheetData>
    <row r="1" spans="1:16" x14ac:dyDescent="0.25">
      <c r="B1" s="42">
        <v>306</v>
      </c>
      <c r="C1" s="42">
        <v>304</v>
      </c>
    </row>
    <row r="2" spans="1:16" x14ac:dyDescent="0.25">
      <c r="B2" s="42">
        <v>304</v>
      </c>
      <c r="C2" s="42">
        <v>303</v>
      </c>
    </row>
    <row r="4" spans="1:16" x14ac:dyDescent="0.25">
      <c r="A4" s="72" t="s">
        <v>66</v>
      </c>
      <c r="B4" s="43">
        <f>+B1+20</f>
        <v>326</v>
      </c>
      <c r="C4" s="43">
        <f>+B4-10</f>
        <v>316</v>
      </c>
      <c r="D4" s="43">
        <f t="shared" ref="D4:P4" si="0">+C4-10</f>
        <v>306</v>
      </c>
      <c r="E4" s="43">
        <f t="shared" si="0"/>
        <v>296</v>
      </c>
      <c r="F4" s="43">
        <f t="shared" si="0"/>
        <v>286</v>
      </c>
      <c r="G4" s="43">
        <f t="shared" si="0"/>
        <v>276</v>
      </c>
      <c r="H4" s="43">
        <f t="shared" si="0"/>
        <v>266</v>
      </c>
      <c r="I4" s="43">
        <f t="shared" si="0"/>
        <v>256</v>
      </c>
      <c r="J4" s="43">
        <f t="shared" si="0"/>
        <v>246</v>
      </c>
      <c r="K4" s="43">
        <f t="shared" si="0"/>
        <v>236</v>
      </c>
      <c r="L4" s="43">
        <f t="shared" si="0"/>
        <v>226</v>
      </c>
      <c r="M4" s="43">
        <f t="shared" si="0"/>
        <v>216</v>
      </c>
      <c r="N4" s="43">
        <f t="shared" si="0"/>
        <v>206</v>
      </c>
      <c r="O4" s="43">
        <f t="shared" si="0"/>
        <v>196</v>
      </c>
      <c r="P4" s="43">
        <f t="shared" si="0"/>
        <v>186</v>
      </c>
    </row>
    <row r="5" spans="1:16" x14ac:dyDescent="0.25">
      <c r="A5" s="72"/>
      <c r="B5" s="42">
        <v>3.08</v>
      </c>
      <c r="C5" s="42">
        <v>35.1</v>
      </c>
      <c r="D5" s="42">
        <v>78.2</v>
      </c>
      <c r="E5" s="42">
        <v>117.3</v>
      </c>
      <c r="F5" s="42">
        <v>159.9</v>
      </c>
      <c r="G5" s="42">
        <v>206.5</v>
      </c>
      <c r="H5" s="42">
        <v>247.8</v>
      </c>
      <c r="I5" s="42">
        <v>293.3</v>
      </c>
      <c r="J5" s="42">
        <v>338.4</v>
      </c>
      <c r="K5" s="42">
        <v>381.1</v>
      </c>
      <c r="L5" s="42">
        <v>424.7</v>
      </c>
      <c r="M5" s="42">
        <v>466.3</v>
      </c>
      <c r="N5" s="42">
        <v>505.9</v>
      </c>
      <c r="O5" s="42">
        <v>546.1</v>
      </c>
      <c r="P5" s="42">
        <v>582.1</v>
      </c>
    </row>
    <row r="6" spans="1:16" x14ac:dyDescent="0.25">
      <c r="A6" s="72"/>
      <c r="B6" s="43">
        <f>+C1+20</f>
        <v>324</v>
      </c>
      <c r="C6" s="43">
        <f>+B6-10</f>
        <v>314</v>
      </c>
      <c r="D6" s="43">
        <f t="shared" ref="D6:P6" si="1">+C6-10</f>
        <v>304</v>
      </c>
      <c r="E6" s="43">
        <f t="shared" si="1"/>
        <v>294</v>
      </c>
      <c r="F6" s="43">
        <f t="shared" si="1"/>
        <v>284</v>
      </c>
      <c r="G6" s="43">
        <f t="shared" si="1"/>
        <v>274</v>
      </c>
      <c r="H6" s="43">
        <f t="shared" si="1"/>
        <v>264</v>
      </c>
      <c r="I6" s="43">
        <f t="shared" si="1"/>
        <v>254</v>
      </c>
      <c r="J6" s="43">
        <f t="shared" si="1"/>
        <v>244</v>
      </c>
      <c r="K6" s="43">
        <f t="shared" si="1"/>
        <v>234</v>
      </c>
      <c r="L6" s="43">
        <f t="shared" si="1"/>
        <v>224</v>
      </c>
      <c r="M6" s="43">
        <f t="shared" si="1"/>
        <v>214</v>
      </c>
      <c r="N6" s="43">
        <f t="shared" si="1"/>
        <v>204</v>
      </c>
      <c r="O6" s="43">
        <f t="shared" si="1"/>
        <v>194</v>
      </c>
      <c r="P6" s="43">
        <f t="shared" si="1"/>
        <v>184</v>
      </c>
    </row>
    <row r="7" spans="1:16" x14ac:dyDescent="0.25">
      <c r="A7" s="72"/>
      <c r="B7" s="42">
        <v>3.96</v>
      </c>
      <c r="C7" s="42">
        <v>43</v>
      </c>
      <c r="D7" s="42">
        <v>83.95</v>
      </c>
      <c r="E7" s="42">
        <v>123.07</v>
      </c>
      <c r="F7" s="42">
        <v>167.03</v>
      </c>
      <c r="G7" s="42">
        <v>208.9</v>
      </c>
      <c r="H7" s="42">
        <v>252.02</v>
      </c>
      <c r="I7" s="42">
        <v>299</v>
      </c>
      <c r="J7" s="42">
        <v>342.17</v>
      </c>
      <c r="K7" s="42">
        <v>390</v>
      </c>
      <c r="L7" s="42">
        <v>429.8</v>
      </c>
      <c r="M7" s="42">
        <v>470.37</v>
      </c>
      <c r="N7" s="42">
        <v>517.09</v>
      </c>
      <c r="O7" s="42">
        <v>551.49</v>
      </c>
      <c r="P7" s="42">
        <v>589.79999999999995</v>
      </c>
    </row>
    <row r="9" spans="1:16" x14ac:dyDescent="0.25">
      <c r="B9" s="42">
        <v>305</v>
      </c>
      <c r="C9" s="42">
        <v>304</v>
      </c>
    </row>
    <row r="10" spans="1:16" x14ac:dyDescent="0.25">
      <c r="B10" s="42">
        <v>303</v>
      </c>
      <c r="C10" s="42">
        <v>302</v>
      </c>
    </row>
    <row r="12" spans="1:16" x14ac:dyDescent="0.25">
      <c r="A12" s="73" t="s">
        <v>67</v>
      </c>
      <c r="B12" s="44">
        <f>+B9+20</f>
        <v>325</v>
      </c>
      <c r="C12" s="44">
        <f>+B12-10</f>
        <v>315</v>
      </c>
      <c r="D12" s="44">
        <f t="shared" ref="D12:P12" si="2">+C12-10</f>
        <v>305</v>
      </c>
      <c r="E12" s="44">
        <f t="shared" si="2"/>
        <v>295</v>
      </c>
      <c r="F12" s="44">
        <f t="shared" si="2"/>
        <v>285</v>
      </c>
      <c r="G12" s="44">
        <f t="shared" si="2"/>
        <v>275</v>
      </c>
      <c r="H12" s="44">
        <f t="shared" si="2"/>
        <v>265</v>
      </c>
      <c r="I12" s="44">
        <f t="shared" si="2"/>
        <v>255</v>
      </c>
      <c r="J12" s="44">
        <f t="shared" si="2"/>
        <v>245</v>
      </c>
      <c r="K12" s="44">
        <f t="shared" si="2"/>
        <v>235</v>
      </c>
      <c r="L12" s="44">
        <f t="shared" si="2"/>
        <v>225</v>
      </c>
      <c r="M12" s="44">
        <f t="shared" si="2"/>
        <v>215</v>
      </c>
      <c r="N12" s="44">
        <f t="shared" si="2"/>
        <v>205</v>
      </c>
      <c r="O12" s="44">
        <f t="shared" si="2"/>
        <v>195</v>
      </c>
      <c r="P12" s="44">
        <f t="shared" si="2"/>
        <v>185</v>
      </c>
    </row>
    <row r="13" spans="1:16" x14ac:dyDescent="0.25">
      <c r="A13" s="73"/>
      <c r="B13" s="42">
        <v>1.32</v>
      </c>
      <c r="C13" s="42">
        <v>36.479999999999997</v>
      </c>
      <c r="D13" s="42">
        <v>76.040000000000006</v>
      </c>
      <c r="E13" s="42">
        <v>118.68</v>
      </c>
      <c r="F13" s="42">
        <v>166.59</v>
      </c>
      <c r="G13" s="42">
        <v>204.69</v>
      </c>
      <c r="H13" s="42">
        <v>248.8</v>
      </c>
      <c r="I13" s="42">
        <v>292.43</v>
      </c>
      <c r="J13" s="42">
        <v>337.94</v>
      </c>
      <c r="K13" s="42">
        <v>383</v>
      </c>
      <c r="L13" s="42">
        <v>424.85</v>
      </c>
      <c r="M13" s="42">
        <v>464.06</v>
      </c>
      <c r="N13" s="42">
        <v>508.68</v>
      </c>
      <c r="O13" s="42">
        <v>547.89</v>
      </c>
      <c r="P13" s="42">
        <v>587.1</v>
      </c>
    </row>
    <row r="14" spans="1:16" x14ac:dyDescent="0.25">
      <c r="A14" s="73"/>
      <c r="B14" s="44">
        <f>+C9+20</f>
        <v>324</v>
      </c>
      <c r="C14" s="44">
        <f>+B14-10</f>
        <v>314</v>
      </c>
      <c r="D14" s="44">
        <f t="shared" ref="D14:P14" si="3">+C14-10</f>
        <v>304</v>
      </c>
      <c r="E14" s="44">
        <f t="shared" si="3"/>
        <v>294</v>
      </c>
      <c r="F14" s="44">
        <f t="shared" si="3"/>
        <v>284</v>
      </c>
      <c r="G14" s="44">
        <f t="shared" si="3"/>
        <v>274</v>
      </c>
      <c r="H14" s="44">
        <f t="shared" si="3"/>
        <v>264</v>
      </c>
      <c r="I14" s="44">
        <f t="shared" si="3"/>
        <v>254</v>
      </c>
      <c r="J14" s="44">
        <f t="shared" si="3"/>
        <v>244</v>
      </c>
      <c r="K14" s="44">
        <f t="shared" si="3"/>
        <v>234</v>
      </c>
      <c r="L14" s="44">
        <f t="shared" si="3"/>
        <v>224</v>
      </c>
      <c r="M14" s="44">
        <f t="shared" si="3"/>
        <v>214</v>
      </c>
      <c r="N14" s="44">
        <f t="shared" si="3"/>
        <v>204</v>
      </c>
      <c r="O14" s="44">
        <f t="shared" si="3"/>
        <v>194</v>
      </c>
      <c r="P14" s="44">
        <f t="shared" si="3"/>
        <v>184</v>
      </c>
    </row>
    <row r="15" spans="1:16" x14ac:dyDescent="0.25">
      <c r="A15" s="73"/>
      <c r="B15" s="42">
        <v>1.32</v>
      </c>
      <c r="C15" s="42">
        <v>36.9</v>
      </c>
      <c r="D15" s="42">
        <v>81.319999999999993</v>
      </c>
      <c r="E15" s="42">
        <v>122.2</v>
      </c>
      <c r="F15" s="42">
        <v>160.87</v>
      </c>
      <c r="G15" s="42">
        <v>203.7</v>
      </c>
      <c r="H15" s="42">
        <v>250.67</v>
      </c>
      <c r="I15" s="42">
        <v>293.8</v>
      </c>
      <c r="J15" s="42">
        <v>338.4</v>
      </c>
      <c r="K15" s="42">
        <v>383.4</v>
      </c>
      <c r="L15" s="42">
        <v>428.9</v>
      </c>
      <c r="M15" s="42">
        <v>469.4</v>
      </c>
      <c r="N15" s="42">
        <v>511.8</v>
      </c>
      <c r="O15" s="42">
        <v>551.6</v>
      </c>
      <c r="P15" s="42">
        <v>586.70000000000005</v>
      </c>
    </row>
  </sheetData>
  <mergeCells count="2">
    <mergeCell ref="A4:A7"/>
    <mergeCell ref="A12:A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8" sqref="B8"/>
    </sheetView>
  </sheetViews>
  <sheetFormatPr baseColWidth="10" defaultRowHeight="15" x14ac:dyDescent="0.25"/>
  <sheetData>
    <row r="1" spans="1: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t="s">
        <v>58</v>
      </c>
      <c r="B2" s="40">
        <v>305</v>
      </c>
    </row>
    <row r="3" spans="1:5" x14ac:dyDescent="0.25">
      <c r="A3" t="s">
        <v>59</v>
      </c>
      <c r="B3" s="39">
        <f>2*B5-B7</f>
        <v>265</v>
      </c>
      <c r="E3">
        <f t="shared" ref="E3:E8" si="0">+$B$2-B3</f>
        <v>40</v>
      </c>
    </row>
    <row r="4" spans="1:5" x14ac:dyDescent="0.25">
      <c r="A4" t="s">
        <v>60</v>
      </c>
      <c r="B4" s="40">
        <f>+B5+25</f>
        <v>240</v>
      </c>
      <c r="E4">
        <f t="shared" si="0"/>
        <v>65</v>
      </c>
    </row>
    <row r="5" spans="1:5" x14ac:dyDescent="0.25">
      <c r="A5" t="s">
        <v>61</v>
      </c>
      <c r="B5" s="40">
        <v>215</v>
      </c>
      <c r="C5" s="40">
        <v>245</v>
      </c>
      <c r="D5" s="40">
        <v>56</v>
      </c>
      <c r="E5">
        <f t="shared" si="0"/>
        <v>90</v>
      </c>
    </row>
    <row r="6" spans="1:5" x14ac:dyDescent="0.25">
      <c r="A6" t="s">
        <v>62</v>
      </c>
      <c r="B6" s="40">
        <f>+B5-25</f>
        <v>190</v>
      </c>
      <c r="E6">
        <f t="shared" si="0"/>
        <v>115</v>
      </c>
    </row>
    <row r="7" spans="1:5" x14ac:dyDescent="0.25">
      <c r="A7" t="s">
        <v>63</v>
      </c>
      <c r="B7" s="39">
        <f>305-140</f>
        <v>165</v>
      </c>
      <c r="E7">
        <f t="shared" si="0"/>
        <v>140</v>
      </c>
    </row>
    <row r="8" spans="1:5" x14ac:dyDescent="0.25">
      <c r="A8" t="s">
        <v>4</v>
      </c>
      <c r="B8">
        <v>90</v>
      </c>
      <c r="E8">
        <f t="shared" si="0"/>
        <v>215</v>
      </c>
    </row>
    <row r="11" spans="1:5" x14ac:dyDescent="0.25">
      <c r="A11" t="s">
        <v>64</v>
      </c>
      <c r="B11" s="40">
        <v>2</v>
      </c>
      <c r="C11" s="40" t="s">
        <v>65</v>
      </c>
    </row>
    <row r="12" spans="1:5" x14ac:dyDescent="0.25">
      <c r="B12" s="40">
        <f>+B11*9.81</f>
        <v>19.62</v>
      </c>
      <c r="C12" s="40">
        <f>+B11*1.05</f>
        <v>2.1</v>
      </c>
    </row>
    <row r="13" spans="1:5" x14ac:dyDescent="0.25">
      <c r="B13" s="40"/>
      <c r="C13" s="40">
        <f>+B11*0.95</f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1"/>
  <sheetViews>
    <sheetView workbookViewId="0">
      <selection activeCell="H13" sqref="H13"/>
    </sheetView>
  </sheetViews>
  <sheetFormatPr baseColWidth="10" defaultRowHeight="15" x14ac:dyDescent="0.25"/>
  <sheetData>
    <row r="3" spans="2:10" x14ac:dyDescent="0.25">
      <c r="B3">
        <v>1</v>
      </c>
      <c r="C3" t="s">
        <v>68</v>
      </c>
      <c r="D3" t="s">
        <v>69</v>
      </c>
      <c r="E3">
        <v>0</v>
      </c>
      <c r="F3" t="s">
        <v>70</v>
      </c>
    </row>
    <row r="4" spans="2:10" x14ac:dyDescent="0.25">
      <c r="B4">
        <v>2</v>
      </c>
      <c r="C4" t="s">
        <v>71</v>
      </c>
      <c r="D4" t="s">
        <v>69</v>
      </c>
      <c r="E4">
        <v>0.02</v>
      </c>
      <c r="F4" t="s">
        <v>70</v>
      </c>
    </row>
    <row r="5" spans="2:10" x14ac:dyDescent="0.25">
      <c r="B5">
        <v>3</v>
      </c>
      <c r="C5" t="s">
        <v>72</v>
      </c>
      <c r="D5" t="s">
        <v>69</v>
      </c>
      <c r="E5">
        <v>0.19</v>
      </c>
      <c r="F5" t="s">
        <v>73</v>
      </c>
    </row>
    <row r="6" spans="2:10" x14ac:dyDescent="0.25">
      <c r="B6">
        <v>4</v>
      </c>
      <c r="C6" t="s">
        <v>74</v>
      </c>
      <c r="D6" t="s">
        <v>69</v>
      </c>
      <c r="E6">
        <v>0.27500000000000002</v>
      </c>
      <c r="F6" t="s">
        <v>75</v>
      </c>
    </row>
    <row r="7" spans="2:10" x14ac:dyDescent="0.25">
      <c r="B7">
        <v>5</v>
      </c>
      <c r="C7" t="s">
        <v>76</v>
      </c>
      <c r="D7" t="s">
        <v>77</v>
      </c>
      <c r="E7">
        <v>0.38800000000000001</v>
      </c>
      <c r="F7" t="s">
        <v>78</v>
      </c>
    </row>
    <row r="8" spans="2:10" x14ac:dyDescent="0.25">
      <c r="B8">
        <v>6</v>
      </c>
      <c r="C8" t="s">
        <v>79</v>
      </c>
      <c r="D8" t="s">
        <v>80</v>
      </c>
      <c r="E8">
        <v>0.5</v>
      </c>
      <c r="F8" t="s">
        <v>81</v>
      </c>
    </row>
    <row r="9" spans="2:10" x14ac:dyDescent="0.25">
      <c r="B9">
        <v>7</v>
      </c>
      <c r="C9" t="s">
        <v>82</v>
      </c>
      <c r="D9" t="s">
        <v>83</v>
      </c>
      <c r="E9">
        <v>0.53100000000000003</v>
      </c>
      <c r="F9" t="s">
        <v>84</v>
      </c>
    </row>
    <row r="10" spans="2:10" x14ac:dyDescent="0.25">
      <c r="B10">
        <v>8</v>
      </c>
      <c r="C10" t="s">
        <v>85</v>
      </c>
      <c r="D10" t="s">
        <v>83</v>
      </c>
      <c r="E10">
        <v>0.56200000000000006</v>
      </c>
      <c r="F10" t="s">
        <v>86</v>
      </c>
    </row>
    <row r="11" spans="2:10" x14ac:dyDescent="0.25">
      <c r="B11">
        <v>9</v>
      </c>
      <c r="C11" t="s">
        <v>87</v>
      </c>
      <c r="D11" t="s">
        <v>88</v>
      </c>
      <c r="E11">
        <v>0.625</v>
      </c>
      <c r="F11" t="s">
        <v>89</v>
      </c>
    </row>
    <row r="12" spans="2:10" x14ac:dyDescent="0.25">
      <c r="B12">
        <v>10</v>
      </c>
      <c r="C12" t="s">
        <v>90</v>
      </c>
      <c r="D12" t="s">
        <v>91</v>
      </c>
      <c r="E12">
        <v>0.75</v>
      </c>
      <c r="F12" t="s">
        <v>92</v>
      </c>
    </row>
    <row r="13" spans="2:10" x14ac:dyDescent="0.25">
      <c r="B13">
        <v>11</v>
      </c>
      <c r="C13" t="s">
        <v>93</v>
      </c>
      <c r="D13" s="40" t="s">
        <v>94</v>
      </c>
      <c r="E13" s="40">
        <v>1</v>
      </c>
      <c r="F13" s="40" t="s">
        <v>95</v>
      </c>
      <c r="G13" s="40"/>
      <c r="H13" s="40" t="s">
        <v>133</v>
      </c>
      <c r="I13" s="40">
        <v>1</v>
      </c>
      <c r="J13" s="40" t="s">
        <v>134</v>
      </c>
    </row>
    <row r="14" spans="2:10" x14ac:dyDescent="0.25">
      <c r="B14">
        <v>12</v>
      </c>
      <c r="C14" t="s">
        <v>96</v>
      </c>
      <c r="D14" s="40" t="s">
        <v>97</v>
      </c>
      <c r="E14" s="40">
        <v>1.26</v>
      </c>
      <c r="F14" s="40" t="s">
        <v>98</v>
      </c>
      <c r="G14" s="40"/>
      <c r="H14" s="40" t="s">
        <v>135</v>
      </c>
      <c r="I14" s="40">
        <v>1.25</v>
      </c>
      <c r="J14" s="40" t="s">
        <v>136</v>
      </c>
    </row>
    <row r="15" spans="2:10" x14ac:dyDescent="0.25">
      <c r="B15">
        <v>13</v>
      </c>
      <c r="C15" t="s">
        <v>99</v>
      </c>
      <c r="D15" s="40" t="s">
        <v>100</v>
      </c>
      <c r="E15" s="40">
        <v>1.5</v>
      </c>
      <c r="F15" s="40" t="s">
        <v>101</v>
      </c>
      <c r="G15" s="40"/>
      <c r="H15" s="40" t="s">
        <v>137</v>
      </c>
      <c r="I15" s="40">
        <v>1.5</v>
      </c>
      <c r="J15" s="40" t="s">
        <v>138</v>
      </c>
    </row>
    <row r="16" spans="2:10" x14ac:dyDescent="0.25">
      <c r="B16">
        <v>14</v>
      </c>
      <c r="C16" t="s">
        <v>102</v>
      </c>
      <c r="D16" s="40" t="s">
        <v>100</v>
      </c>
      <c r="E16" s="40">
        <v>1.75</v>
      </c>
      <c r="F16" s="40" t="s">
        <v>101</v>
      </c>
      <c r="G16" s="40"/>
      <c r="H16" s="40" t="s">
        <v>137</v>
      </c>
      <c r="I16" s="40">
        <v>1.75</v>
      </c>
      <c r="J16" s="40" t="s">
        <v>138</v>
      </c>
    </row>
    <row r="17" spans="2:10" x14ac:dyDescent="0.25">
      <c r="B17">
        <v>15</v>
      </c>
      <c r="C17" t="s">
        <v>103</v>
      </c>
      <c r="D17" s="40" t="s">
        <v>100</v>
      </c>
      <c r="E17" s="40">
        <v>2</v>
      </c>
      <c r="F17" s="40" t="s">
        <v>101</v>
      </c>
      <c r="G17" s="40"/>
      <c r="H17" s="40" t="s">
        <v>137</v>
      </c>
      <c r="I17" s="40">
        <v>2</v>
      </c>
      <c r="J17" s="40" t="s">
        <v>138</v>
      </c>
    </row>
    <row r="18" spans="2:10" x14ac:dyDescent="0.25">
      <c r="B18">
        <v>16</v>
      </c>
      <c r="C18" t="s">
        <v>104</v>
      </c>
      <c r="D18" s="40" t="s">
        <v>100</v>
      </c>
      <c r="E18" s="40">
        <v>2.5</v>
      </c>
      <c r="F18" s="40" t="s">
        <v>101</v>
      </c>
      <c r="G18" s="40"/>
      <c r="H18" s="40" t="s">
        <v>137</v>
      </c>
      <c r="I18" s="40">
        <v>2.5</v>
      </c>
      <c r="J18" s="40" t="s">
        <v>138</v>
      </c>
    </row>
    <row r="19" spans="2:10" x14ac:dyDescent="0.25">
      <c r="B19">
        <v>17</v>
      </c>
      <c r="C19" t="s">
        <v>105</v>
      </c>
      <c r="D19" s="40" t="s">
        <v>100</v>
      </c>
      <c r="E19" s="40">
        <v>3</v>
      </c>
      <c r="F19" s="40" t="s">
        <v>101</v>
      </c>
      <c r="G19" s="40"/>
      <c r="H19" s="40" t="s">
        <v>137</v>
      </c>
      <c r="I19" s="40">
        <v>3</v>
      </c>
      <c r="J19" s="40" t="s">
        <v>138</v>
      </c>
    </row>
    <row r="20" spans="2:10" x14ac:dyDescent="0.25">
      <c r="B20">
        <v>18</v>
      </c>
      <c r="C20" t="s">
        <v>106</v>
      </c>
      <c r="D20" s="40" t="s">
        <v>100</v>
      </c>
      <c r="E20" s="40">
        <v>3.5</v>
      </c>
      <c r="F20" s="40" t="s">
        <v>101</v>
      </c>
      <c r="G20" s="40"/>
      <c r="H20" s="40" t="s">
        <v>137</v>
      </c>
      <c r="I20" s="40">
        <v>3.5</v>
      </c>
      <c r="J20" s="40" t="s">
        <v>138</v>
      </c>
    </row>
    <row r="21" spans="2:10" x14ac:dyDescent="0.25">
      <c r="B21">
        <v>19</v>
      </c>
      <c r="C21" t="s">
        <v>107</v>
      </c>
      <c r="D21" s="40" t="s">
        <v>100</v>
      </c>
      <c r="E21" s="40">
        <v>4</v>
      </c>
      <c r="F21" s="40" t="s">
        <v>101</v>
      </c>
      <c r="G21" s="40"/>
      <c r="H21" s="40" t="s">
        <v>137</v>
      </c>
      <c r="I21" s="40">
        <v>4</v>
      </c>
      <c r="J21" s="40" t="s">
        <v>138</v>
      </c>
    </row>
    <row r="22" spans="2:10" x14ac:dyDescent="0.25">
      <c r="B22">
        <v>20</v>
      </c>
      <c r="C22" t="s">
        <v>108</v>
      </c>
      <c r="D22" s="40" t="s">
        <v>109</v>
      </c>
      <c r="E22" s="40">
        <v>4.25</v>
      </c>
      <c r="F22" s="40" t="s">
        <v>110</v>
      </c>
      <c r="G22" s="40"/>
      <c r="H22" s="40" t="s">
        <v>139</v>
      </c>
      <c r="I22" s="40">
        <v>4.24</v>
      </c>
      <c r="J22" s="40" t="s">
        <v>140</v>
      </c>
    </row>
    <row r="23" spans="2:10" x14ac:dyDescent="0.25">
      <c r="B23">
        <v>21</v>
      </c>
      <c r="C23" t="s">
        <v>111</v>
      </c>
      <c r="D23" s="40" t="s">
        <v>112</v>
      </c>
      <c r="E23" s="40">
        <v>4.3499999999999996</v>
      </c>
      <c r="F23" s="40" t="s">
        <v>100</v>
      </c>
      <c r="G23" s="40"/>
      <c r="H23" s="40" t="s">
        <v>141</v>
      </c>
      <c r="I23" s="40">
        <v>4.3499999999999996</v>
      </c>
      <c r="J23" s="40" t="s">
        <v>140</v>
      </c>
    </row>
    <row r="24" spans="2:10" x14ac:dyDescent="0.25">
      <c r="B24">
        <v>22</v>
      </c>
      <c r="C24" t="s">
        <v>113</v>
      </c>
      <c r="D24" s="40" t="s">
        <v>114</v>
      </c>
      <c r="E24" s="40">
        <v>4.55</v>
      </c>
      <c r="F24" s="40" t="s">
        <v>115</v>
      </c>
      <c r="G24" s="40"/>
      <c r="H24" s="40" t="s">
        <v>142</v>
      </c>
      <c r="I24" s="40">
        <v>4.55</v>
      </c>
      <c r="J24" s="40" t="s">
        <v>143</v>
      </c>
    </row>
    <row r="25" spans="2:10" x14ac:dyDescent="0.25">
      <c r="B25">
        <v>23</v>
      </c>
      <c r="C25" t="s">
        <v>116</v>
      </c>
      <c r="D25" s="40" t="s">
        <v>117</v>
      </c>
      <c r="E25" s="40">
        <v>4.75</v>
      </c>
      <c r="F25" s="40" t="s">
        <v>118</v>
      </c>
      <c r="G25" s="40"/>
      <c r="H25" s="40" t="s">
        <v>144</v>
      </c>
      <c r="I25" s="40">
        <v>4.75</v>
      </c>
      <c r="J25" s="40" t="s">
        <v>145</v>
      </c>
    </row>
    <row r="26" spans="2:10" x14ac:dyDescent="0.25">
      <c r="B26">
        <v>24</v>
      </c>
      <c r="C26" t="s">
        <v>119</v>
      </c>
      <c r="D26" s="40" t="s">
        <v>83</v>
      </c>
      <c r="E26" s="40">
        <v>4.92</v>
      </c>
      <c r="F26" s="40" t="s">
        <v>120</v>
      </c>
      <c r="G26" s="40"/>
      <c r="H26" s="40" t="s">
        <v>146</v>
      </c>
      <c r="I26" s="40">
        <v>4.92</v>
      </c>
      <c r="J26" s="40" t="s">
        <v>147</v>
      </c>
    </row>
    <row r="27" spans="2:10" x14ac:dyDescent="0.25">
      <c r="B27">
        <v>25</v>
      </c>
      <c r="C27" t="s">
        <v>121</v>
      </c>
      <c r="D27" t="s">
        <v>122</v>
      </c>
      <c r="E27">
        <v>5.12</v>
      </c>
      <c r="F27" t="s">
        <v>89</v>
      </c>
      <c r="H27" t="s">
        <v>127</v>
      </c>
      <c r="I27">
        <v>4.9800000000000004</v>
      </c>
      <c r="J27" t="s">
        <v>139</v>
      </c>
    </row>
    <row r="28" spans="2:10" x14ac:dyDescent="0.25">
      <c r="B28">
        <v>26</v>
      </c>
      <c r="C28" t="s">
        <v>123</v>
      </c>
      <c r="D28" t="s">
        <v>124</v>
      </c>
      <c r="E28">
        <v>5.24</v>
      </c>
      <c r="F28" t="s">
        <v>125</v>
      </c>
      <c r="H28" t="s">
        <v>69</v>
      </c>
      <c r="I28">
        <v>5</v>
      </c>
      <c r="J28" t="s">
        <v>148</v>
      </c>
    </row>
    <row r="29" spans="2:10" x14ac:dyDescent="0.25">
      <c r="B29">
        <v>27</v>
      </c>
      <c r="C29" t="s">
        <v>126</v>
      </c>
      <c r="D29" t="s">
        <v>127</v>
      </c>
      <c r="E29">
        <v>5.3550000000000004</v>
      </c>
      <c r="F29" t="s">
        <v>128</v>
      </c>
      <c r="H29" t="s">
        <v>69</v>
      </c>
      <c r="I29">
        <v>5.25</v>
      </c>
      <c r="J29" t="s">
        <v>148</v>
      </c>
    </row>
    <row r="30" spans="2:10" x14ac:dyDescent="0.25">
      <c r="B30">
        <v>28</v>
      </c>
      <c r="C30" t="s">
        <v>129</v>
      </c>
      <c r="D30" t="s">
        <v>69</v>
      </c>
      <c r="E30">
        <v>5.4279999999999999</v>
      </c>
      <c r="F30" t="s">
        <v>130</v>
      </c>
      <c r="H30" t="s">
        <v>69</v>
      </c>
      <c r="I30">
        <v>5.5</v>
      </c>
      <c r="J30" t="s">
        <v>148</v>
      </c>
    </row>
    <row r="31" spans="2:10" x14ac:dyDescent="0.25">
      <c r="B31">
        <v>29</v>
      </c>
      <c r="C31" t="s">
        <v>131</v>
      </c>
      <c r="D31" t="s">
        <v>69</v>
      </c>
      <c r="E31">
        <v>5.5</v>
      </c>
      <c r="F3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RATA</vt:lpstr>
      <vt:lpstr>PRUEBA MUESTRAS CARGAS</vt:lpstr>
      <vt:lpstr>PUNTOS PRINCIPALES</vt:lpstr>
      <vt:lpstr>PASOS SOLID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Paola Prieto Prieto</dc:creator>
  <cp:lastModifiedBy>Angelica Paola Prieto Prieto</cp:lastModifiedBy>
  <dcterms:created xsi:type="dcterms:W3CDTF">2015-12-21T20:22:16Z</dcterms:created>
  <dcterms:modified xsi:type="dcterms:W3CDTF">2025-03-11T18:36:37Z</dcterms:modified>
</cp:coreProperties>
</file>