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arciavelasquez\surfdrive\PhD Maastricht\Maastricht University\PhD thesis\2nd Part PhD\Sugar_Beet_Model\Sugar_Beet_Pulp\Datasets\Utility_cost\"/>
    </mc:Choice>
  </mc:AlternateContent>
  <bookViews>
    <workbookView xWindow="0" yWindow="0" windowWidth="14380" windowHeight="4190" activeTab="3"/>
  </bookViews>
  <sheets>
    <sheet name="Input" sheetId="1" r:id="rId1"/>
    <sheet name="Coefficients" sheetId="2" r:id="rId2"/>
    <sheet name="CEPCI" sheetId="5" r:id="rId3"/>
    <sheet name="Natural_Gas_Price" sheetId="4" r:id="rId4"/>
    <sheet name="Utility_Cost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7" i="3"/>
  <c r="D20" i="3"/>
  <c r="D21" i="3"/>
  <c r="D42" i="3"/>
  <c r="D43" i="3"/>
  <c r="D44" i="3"/>
  <c r="D45" i="3"/>
  <c r="D15" i="3"/>
  <c r="D39" i="2" l="1"/>
  <c r="D38" i="2"/>
  <c r="D37" i="2"/>
  <c r="D36" i="2"/>
  <c r="C39" i="2"/>
  <c r="D49" i="3" s="1"/>
  <c r="C38" i="2"/>
  <c r="D48" i="3" s="1"/>
  <c r="C37" i="2"/>
  <c r="C36" i="2"/>
  <c r="C31" i="2"/>
  <c r="D41" i="3" s="1"/>
  <c r="C30" i="2"/>
  <c r="D40" i="3" s="1"/>
  <c r="C29" i="2"/>
  <c r="D39" i="3" s="1"/>
  <c r="C28" i="2"/>
  <c r="D38" i="3" s="1"/>
  <c r="C27" i="2"/>
  <c r="D37" i="3" s="1"/>
  <c r="C26" i="2"/>
  <c r="D36" i="3" s="1"/>
  <c r="D47" i="3" l="1"/>
  <c r="D46" i="3"/>
  <c r="D23" i="2"/>
  <c r="D22" i="2"/>
  <c r="C23" i="2"/>
  <c r="C22" i="2"/>
  <c r="D25" i="2"/>
  <c r="D24" i="2"/>
  <c r="C25" i="2"/>
  <c r="C24" i="2"/>
  <c r="C21" i="2"/>
  <c r="D31" i="3" s="1"/>
  <c r="C20" i="2"/>
  <c r="D30" i="3" s="1"/>
  <c r="C19" i="2"/>
  <c r="D29" i="3" s="1"/>
  <c r="C18" i="2"/>
  <c r="D28" i="3" s="1"/>
  <c r="C17" i="2"/>
  <c r="D27" i="3" s="1"/>
  <c r="C16" i="2"/>
  <c r="D26" i="3" s="1"/>
  <c r="C15" i="2"/>
  <c r="D25" i="3" s="1"/>
  <c r="C14" i="2"/>
  <c r="D24" i="3" s="1"/>
  <c r="D13" i="2"/>
  <c r="D12" i="2"/>
  <c r="C13" i="2"/>
  <c r="C12" i="2"/>
  <c r="D9" i="2"/>
  <c r="D8" i="2"/>
  <c r="C9" i="2"/>
  <c r="D19" i="3" s="1"/>
  <c r="C8" i="2"/>
  <c r="D33" i="3" l="1"/>
  <c r="D32" i="3"/>
  <c r="D18" i="3"/>
  <c r="D22" i="3"/>
  <c r="D23" i="3"/>
  <c r="D35" i="3"/>
  <c r="D34" i="3"/>
</calcChain>
</file>

<file path=xl/sharedStrings.xml><?xml version="1.0" encoding="utf-8"?>
<sst xmlns="http://schemas.openxmlformats.org/spreadsheetml/2006/main" count="629" uniqueCount="134">
  <si>
    <t>Reference</t>
  </si>
  <si>
    <t>Utility</t>
  </si>
  <si>
    <t>Cost Coefficients</t>
  </si>
  <si>
    <t>A</t>
  </si>
  <si>
    <t>B</t>
  </si>
  <si>
    <t>Purchased from Outside</t>
  </si>
  <si>
    <t>Onsite power charged to grass-roots plants</t>
  </si>
  <si>
    <t>Compressed Air</t>
  </si>
  <si>
    <t>Electricity ($/kWh)</t>
  </si>
  <si>
    <t>Compressed Air ($/Nm3)</t>
  </si>
  <si>
    <t>Process Module</t>
  </si>
  <si>
    <t>Grass-roots plants</t>
  </si>
  <si>
    <t>Value</t>
  </si>
  <si>
    <t>Remarks</t>
  </si>
  <si>
    <t>Pressure air (bara) in range 2 &lt; p &lt; 35</t>
  </si>
  <si>
    <t>Process Steam</t>
  </si>
  <si>
    <t>Steam pressure (barg) in range 1 &lt; p &lt; 46</t>
  </si>
  <si>
    <t>Steam flow (kg/s) in range 0.06 &lt; ms &lt; 40</t>
  </si>
  <si>
    <t>Flow of air (Nm3/s) in range 0.1 &lt; q &lt; 100</t>
  </si>
  <si>
    <t>Cooling water</t>
  </si>
  <si>
    <t>Water flow (m3/s) in range 0.01 &lt; q &lt; 10</t>
  </si>
  <si>
    <t>Demineralized water</t>
  </si>
  <si>
    <t>Drinking water</t>
  </si>
  <si>
    <t>Natural water, Pumped and Screened</t>
  </si>
  <si>
    <t>Water flow (m3/s) in range 0.01 &lt; q &lt; 1</t>
  </si>
  <si>
    <t>Refrigerant</t>
  </si>
  <si>
    <t>Cooling capacity (kJ/s) in range 1 &lt; Qc &lt; 1000</t>
  </si>
  <si>
    <t>Temperature (K) in range 0 &lt; T &lt; 300</t>
  </si>
  <si>
    <t>Hot water, hot oil</t>
  </si>
  <si>
    <t>Heating capacity (kJ/s) in range 100 &lt; Qh &lt; 20000</t>
  </si>
  <si>
    <t>Temperature (K) in range 300 &lt; T &lt; 850</t>
  </si>
  <si>
    <t>Wastewater Treatment</t>
  </si>
  <si>
    <t>WW flow (m3/s) in range 0.01 &lt; q &lt; 10 For primary and secondary systems</t>
  </si>
  <si>
    <t>WW flow (m3/s) in range 0.0003 &lt; q &lt; 10 For tertiary system</t>
  </si>
  <si>
    <t>Instrument Air ( $/std Nm3)</t>
  </si>
  <si>
    <t>Process Steam ($/kg)</t>
  </si>
  <si>
    <t>Cooling water ($/m3)</t>
  </si>
  <si>
    <t>Demineralized Water ($/m3)</t>
  </si>
  <si>
    <t>Drinking water ($/m3)</t>
  </si>
  <si>
    <t>Natural Water ($/m3)</t>
  </si>
  <si>
    <t>Refrigerant ($/kJ)</t>
  </si>
  <si>
    <t>Hot Water, hot oil ($/kJ)</t>
  </si>
  <si>
    <t>Wastewater Treatment - Primary ($/m3)</t>
  </si>
  <si>
    <t>Wastewater Treatment - Secondary ($/m3)</t>
  </si>
  <si>
    <t>Wastewater Treatment - Tertiary ($/m3)</t>
  </si>
  <si>
    <t>Liquid/solid Waste Disposal - Conventional solid or liquid wastes ($/kg)</t>
  </si>
  <si>
    <t>Liquid/solid Waste Disposal - Toxic or hazardous solid or liquid wastes ($/kg)</t>
  </si>
  <si>
    <t>Liquid/solid Waste Disposal - Combustion as supplementary fuel ($/kg)</t>
  </si>
  <si>
    <t>Liquid/solid Waste Disposal - Combustion as supplementary fuel with gas cleaning ($/kg)</t>
  </si>
  <si>
    <t>Liquid/Solid waste disposal - Combustion</t>
  </si>
  <si>
    <t>Massflow of waste - Product of waste massflow and HHV in range 1 &lt; m x HHV &lt; 1000 [MJ/s]</t>
  </si>
  <si>
    <t>HHV of waste - Product of waste massflow and HHV in range 1 &lt; m x HHV &lt; 1000 [MJ/s]</t>
  </si>
  <si>
    <t>Data extracted on 03/02/2021 16:06:34 from [ESTAT]</t>
  </si>
  <si>
    <t xml:space="preserve">Dataset: </t>
  </si>
  <si>
    <t>Gas prices for non-household consumers - bi-annual data (from 2007 onwards) [NRG_PC_203]</t>
  </si>
  <si>
    <t xml:space="preserve">Last updated: </t>
  </si>
  <si>
    <t>26/10/2020 23:00</t>
  </si>
  <si>
    <t>Time frequency</t>
  </si>
  <si>
    <t>Half-yearly, semesterly</t>
  </si>
  <si>
    <t>Products</t>
  </si>
  <si>
    <t>Natural gas</t>
  </si>
  <si>
    <t>Consumption</t>
  </si>
  <si>
    <t>Band I3 : 10 000 GJ &lt; Consumption &lt; 100 000 GJ</t>
  </si>
  <si>
    <t>Unit of measure</t>
  </si>
  <si>
    <t>Gigajoule (gross calorific value - GCV)</t>
  </si>
  <si>
    <t>Taxes</t>
  </si>
  <si>
    <t>Excluding taxes and levies</t>
  </si>
  <si>
    <t>Currency</t>
  </si>
  <si>
    <t>Euro</t>
  </si>
  <si>
    <t>TIME</t>
  </si>
  <si>
    <t>2015-S2</t>
  </si>
  <si>
    <t/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</si>
  <si>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</si>
  <si>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</si>
  <si>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</si>
  <si>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</si>
  <si>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</si>
  <si>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</si>
  <si>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</si>
  <si>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</si>
  <si>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</si>
  <si>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GEO (Labels)</t>
  </si>
  <si>
    <t>European Union - 27 countries (from 2020)</t>
  </si>
  <si>
    <t>European Union - 28 countries (2013-2020)</t>
  </si>
  <si>
    <t>:</t>
  </si>
  <si>
    <t>Euro area (EA11-1999, EA12-2001, EA13-2007, EA15-2008, EA16-2009, EA17-2011, EA18-2014, EA19-2015)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</si>
  <si>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</si>
  <si>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</si>
  <si>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</si>
  <si>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</si>
  <si>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</si>
  <si>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</si>
  <si>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</si>
  <si>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</si>
  <si>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p</t>
  </si>
  <si>
    <t>e</t>
  </si>
  <si>
    <t>Spain</t>
  </si>
  <si>
    <t>France</t>
  </si>
  <si>
    <t>Croatia</t>
  </si>
  <si>
    <t>Italy</t>
  </si>
  <si>
    <t>Latvia</t>
  </si>
  <si>
    <t>Lithuania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</si>
  <si>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</si>
  <si>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</si>
  <si>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</si>
  <si>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</si>
  <si>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</si>
  <si>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</si>
  <si>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</si>
  <si>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</si>
  <si>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</si>
  <si>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</si>
  <si>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</si>
  <si>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</si>
  <si>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Liechtenstein</t>
  </si>
  <si>
    <t>North Macedonia</t>
  </si>
  <si>
    <t>Serbia</t>
  </si>
  <si>
    <t>Turkey</t>
  </si>
  <si>
    <t>Bosnia and Herzegovina</t>
  </si>
  <si>
    <t>Moldova</t>
  </si>
  <si>
    <t>Ukraine</t>
  </si>
  <si>
    <t>Georgia</t>
  </si>
  <si>
    <t>Special value</t>
  </si>
  <si>
    <t>not available</t>
  </si>
  <si>
    <t>Available flags:</t>
  </si>
  <si>
    <t>estimated</t>
  </si>
  <si>
    <t>provisional</t>
  </si>
  <si>
    <t>Formula to calculate the Utiity Costs</t>
  </si>
  <si>
    <t>Year</t>
  </si>
  <si>
    <t>CEPCI</t>
  </si>
  <si>
    <t>Source - Chemical Engineering Magazine</t>
  </si>
  <si>
    <t>Price</t>
  </si>
  <si>
    <t>INPUT DATA</t>
  </si>
  <si>
    <t>Onside power charged to process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</si>
</sst>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##########"/>
    <numFmt numFmtId="165" formatCode="#,##0.0000"/>
    <numFmt numFmtId="166" formatCode="_(* #,##0.000_);_(* \(#,##0.000\);_(* &quot;-&quot;??_);_(@_)"/>
    <numFmt numFmtId="167" formatCode="_(* #,##0.000000_);_(* \(#,##0.0000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4" fillId="0" borderId="0" xfId="2"/>
    <xf numFmtId="0" fontId="6" fillId="0" borderId="0" xfId="2" applyFont="1" applyAlignment="1">
      <alignment horizontal="left" vertical="center"/>
    </xf>
    <xf numFmtId="0" fontId="7" fillId="2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4" borderId="0" xfId="2" applyFill="1"/>
    <xf numFmtId="0" fontId="6" fillId="5" borderId="2" xfId="2" applyFont="1" applyFill="1" applyBorder="1" applyAlignment="1">
      <alignment horizontal="left" vertical="center"/>
    </xf>
    <xf numFmtId="164" fontId="5" fillId="6" borderId="0" xfId="2" applyNumberFormat="1" applyFont="1" applyFill="1" applyAlignment="1">
      <alignment horizontal="right" vertical="center" shrinkToFit="1"/>
    </xf>
    <xf numFmtId="3" fontId="5" fillId="6" borderId="0" xfId="2" applyNumberFormat="1" applyFont="1" applyFill="1" applyAlignment="1">
      <alignment horizontal="right" vertical="center" shrinkToFit="1"/>
    </xf>
    <xf numFmtId="164" fontId="5" fillId="0" borderId="0" xfId="2" applyNumberFormat="1" applyFont="1" applyAlignment="1">
      <alignment horizontal="right" vertical="center" shrinkToFit="1"/>
    </xf>
    <xf numFmtId="3" fontId="5" fillId="0" borderId="0" xfId="2" applyNumberFormat="1" applyFont="1" applyAlignment="1">
      <alignment horizontal="right" vertical="center" shrinkToFit="1"/>
    </xf>
    <xf numFmtId="165" fontId="5" fillId="0" borderId="0" xfId="2" applyNumberFormat="1" applyFont="1" applyAlignment="1">
      <alignment horizontal="right" vertical="center" shrinkToFit="1"/>
    </xf>
    <xf numFmtId="165" fontId="5" fillId="6" borderId="0" xfId="2" applyNumberFormat="1" applyFont="1" applyFill="1" applyAlignment="1">
      <alignment horizontal="right" vertical="center" shrinkToFit="1"/>
    </xf>
    <xf numFmtId="0" fontId="8" fillId="0" borderId="0" xfId="0" applyFont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166" fontId="0" fillId="8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166" fontId="0" fillId="9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166" fontId="0" fillId="10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166" fontId="0" fillId="11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167" fontId="0" fillId="12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2</xdr:row>
      <xdr:rowOff>146050</xdr:rowOff>
    </xdr:from>
    <xdr:to>
      <xdr:col>1</xdr:col>
      <xdr:colOff>3829050</xdr:colOff>
      <xdr:row>11</xdr:row>
      <xdr:rowOff>154017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" y="514350"/>
          <a:ext cx="4013200" cy="1665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opLeftCell="A2" zoomScale="85" zoomScaleNormal="85" workbookViewId="0">
      <selection activeCell="C10" sqref="C10"/>
    </sheetView>
  </sheetViews>
  <sheetFormatPr defaultRowHeight="14.5" x14ac:dyDescent="0.35"/>
  <cols>
    <col min="2" max="2" width="43.81640625" bestFit="1" customWidth="1"/>
    <col min="3" max="3" width="15.08984375" bestFit="1" customWidth="1"/>
    <col min="4" max="4" width="97.90625" bestFit="1" customWidth="1"/>
  </cols>
  <sheetData>
    <row r="4" spans="2:4" x14ac:dyDescent="0.35">
      <c r="B4" s="1" t="s">
        <v>132</v>
      </c>
    </row>
    <row r="6" spans="2:4" x14ac:dyDescent="0.35">
      <c r="B6" s="2" t="s">
        <v>1</v>
      </c>
      <c r="C6" s="2" t="s">
        <v>12</v>
      </c>
      <c r="D6" s="2" t="s">
        <v>13</v>
      </c>
    </row>
    <row r="7" spans="2:4" ht="18.5" x14ac:dyDescent="0.35">
      <c r="B7" s="38" t="s">
        <v>7</v>
      </c>
      <c r="C7" s="26"/>
      <c r="D7" s="24" t="s">
        <v>18</v>
      </c>
    </row>
    <row r="8" spans="2:4" ht="18.5" x14ac:dyDescent="0.35">
      <c r="B8" s="38"/>
      <c r="C8" s="26"/>
      <c r="D8" s="24" t="s">
        <v>14</v>
      </c>
    </row>
    <row r="9" spans="2:4" ht="18.5" x14ac:dyDescent="0.35">
      <c r="B9" s="38" t="s">
        <v>15</v>
      </c>
      <c r="C9" s="26">
        <v>40</v>
      </c>
      <c r="D9" s="24" t="s">
        <v>16</v>
      </c>
    </row>
    <row r="10" spans="2:4" ht="18.5" x14ac:dyDescent="0.35">
      <c r="B10" s="38"/>
      <c r="C10" s="26">
        <v>6.0444472222222227</v>
      </c>
      <c r="D10" s="24" t="s">
        <v>17</v>
      </c>
    </row>
    <row r="11" spans="2:4" ht="18.5" x14ac:dyDescent="0.35">
      <c r="B11" s="27" t="s">
        <v>19</v>
      </c>
      <c r="C11" s="26">
        <v>4.795177777777778</v>
      </c>
      <c r="D11" s="24" t="s">
        <v>20</v>
      </c>
    </row>
    <row r="12" spans="2:4" ht="18.5" x14ac:dyDescent="0.35">
      <c r="B12" s="27" t="s">
        <v>21</v>
      </c>
      <c r="C12" s="26"/>
      <c r="D12" s="24" t="s">
        <v>24</v>
      </c>
    </row>
    <row r="13" spans="2:4" ht="18.5" x14ac:dyDescent="0.35">
      <c r="B13" s="27" t="s">
        <v>22</v>
      </c>
      <c r="C13" s="26"/>
      <c r="D13" s="24" t="s">
        <v>20</v>
      </c>
    </row>
    <row r="14" spans="2:4" ht="18.5" x14ac:dyDescent="0.35">
      <c r="B14" s="27" t="s">
        <v>23</v>
      </c>
      <c r="C14" s="26">
        <v>6.1111111111111109E-2</v>
      </c>
      <c r="D14" s="24" t="s">
        <v>20</v>
      </c>
    </row>
    <row r="15" spans="2:4" ht="18.5" x14ac:dyDescent="0.35">
      <c r="B15" s="38" t="s">
        <v>25</v>
      </c>
      <c r="C15" s="26"/>
      <c r="D15" s="24" t="s">
        <v>26</v>
      </c>
    </row>
    <row r="16" spans="2:4" ht="18.5" x14ac:dyDescent="0.35">
      <c r="B16" s="38"/>
      <c r="C16" s="26"/>
      <c r="D16" s="24" t="s">
        <v>27</v>
      </c>
    </row>
    <row r="17" spans="2:4" ht="18.5" x14ac:dyDescent="0.35">
      <c r="B17" s="38" t="s">
        <v>28</v>
      </c>
      <c r="C17" s="26">
        <v>458.96000000000004</v>
      </c>
      <c r="D17" s="24" t="s">
        <v>29</v>
      </c>
    </row>
    <row r="18" spans="2:4" ht="18.5" x14ac:dyDescent="0.35">
      <c r="B18" s="38"/>
      <c r="C18" s="26">
        <v>673.15</v>
      </c>
      <c r="D18" s="24" t="s">
        <v>30</v>
      </c>
    </row>
    <row r="19" spans="2:4" ht="18.5" x14ac:dyDescent="0.35">
      <c r="B19" s="38" t="s">
        <v>31</v>
      </c>
      <c r="C19" s="26"/>
      <c r="D19" s="24" t="s">
        <v>32</v>
      </c>
    </row>
    <row r="20" spans="2:4" ht="18.5" x14ac:dyDescent="0.35">
      <c r="B20" s="38"/>
      <c r="C20" s="26"/>
      <c r="D20" s="24" t="s">
        <v>33</v>
      </c>
    </row>
    <row r="21" spans="2:4" ht="18.5" x14ac:dyDescent="0.35">
      <c r="B21" s="38" t="s">
        <v>49</v>
      </c>
      <c r="C21" s="26"/>
      <c r="D21" s="24" t="s">
        <v>50</v>
      </c>
    </row>
    <row r="22" spans="2:4" ht="18.5" x14ac:dyDescent="0.35">
      <c r="B22" s="38"/>
      <c r="C22" s="26"/>
      <c r="D22" s="25" t="s">
        <v>51</v>
      </c>
    </row>
  </sheetData>
  <mergeCells count="6">
    <mergeCell ref="B21:B22"/>
    <mergeCell ref="B7:B8"/>
    <mergeCell ref="B9:B10"/>
    <mergeCell ref="B15:B16"/>
    <mergeCell ref="B17:B18"/>
    <mergeCell ref="B19:B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A12" sqref="A12:A13"/>
    </sheetView>
  </sheetViews>
  <sheetFormatPr defaultRowHeight="14.5" x14ac:dyDescent="0.35"/>
  <cols>
    <col min="1" max="1" width="75.6328125" bestFit="1" customWidth="1"/>
    <col min="2" max="2" width="37.08984375" bestFit="1" customWidth="1"/>
    <col min="3" max="3" width="13.90625" customWidth="1"/>
    <col min="4" max="4" width="17.54296875" customWidth="1"/>
  </cols>
  <sheetData>
    <row r="2" spans="1:4" x14ac:dyDescent="0.35">
      <c r="A2" s="1" t="s">
        <v>0</v>
      </c>
    </row>
    <row r="3" spans="1:4" x14ac:dyDescent="0.35">
      <c r="A3" s="1"/>
      <c r="B3" s="1"/>
      <c r="C3" s="40" t="s">
        <v>2</v>
      </c>
      <c r="D3" s="40"/>
    </row>
    <row r="4" spans="1:4" x14ac:dyDescent="0.35">
      <c r="A4" s="22" t="s">
        <v>1</v>
      </c>
      <c r="B4" s="21" t="s">
        <v>13</v>
      </c>
      <c r="C4" s="18" t="s">
        <v>3</v>
      </c>
      <c r="D4" s="18" t="s">
        <v>4</v>
      </c>
    </row>
    <row r="5" spans="1:4" x14ac:dyDescent="0.35">
      <c r="A5" s="39" t="s">
        <v>8</v>
      </c>
      <c r="B5" s="19" t="s">
        <v>5</v>
      </c>
      <c r="C5" s="20">
        <v>1.2999999999999999E-4</v>
      </c>
      <c r="D5" s="19">
        <v>0.01</v>
      </c>
    </row>
    <row r="6" spans="1:4" x14ac:dyDescent="0.35">
      <c r="A6" s="39"/>
      <c r="B6" s="19" t="s">
        <v>133</v>
      </c>
      <c r="C6" s="20">
        <v>1.3999999999999999E-4</v>
      </c>
      <c r="D6" s="19">
        <v>1.0999999999999999E-2</v>
      </c>
    </row>
    <row r="7" spans="1:4" x14ac:dyDescent="0.35">
      <c r="A7" s="39"/>
      <c r="B7" s="19" t="s">
        <v>6</v>
      </c>
      <c r="C7" s="20">
        <v>1.1E-4</v>
      </c>
      <c r="D7" s="19">
        <v>1.0999999999999999E-2</v>
      </c>
    </row>
    <row r="8" spans="1:4" x14ac:dyDescent="0.35">
      <c r="A8" s="39" t="s">
        <v>9</v>
      </c>
      <c r="B8" s="19" t="s">
        <v>10</v>
      </c>
      <c r="C8" s="19" t="e">
        <f>0.00005*Input!$C$7^(-0.3)*LN(Input!$C$8)</f>
        <v>#DIV/0!</v>
      </c>
      <c r="D8" s="19" t="e">
        <f>0.0009*LN(Input!$C$8)</f>
        <v>#NUM!</v>
      </c>
    </row>
    <row r="9" spans="1:4" x14ac:dyDescent="0.35">
      <c r="A9" s="39"/>
      <c r="B9" s="19" t="s">
        <v>11</v>
      </c>
      <c r="C9" s="19" t="e">
        <f>0.000045*Input!$C$7^(-0.3)*LN(Input!$C$8)</f>
        <v>#DIV/0!</v>
      </c>
      <c r="D9" s="19" t="e">
        <f>0.0009*LN(Input!$C$8)</f>
        <v>#NUM!</v>
      </c>
    </row>
    <row r="10" spans="1:4" x14ac:dyDescent="0.35">
      <c r="A10" s="39" t="s">
        <v>34</v>
      </c>
      <c r="B10" s="19" t="s">
        <v>10</v>
      </c>
      <c r="C10" s="20">
        <v>1.25E-4</v>
      </c>
      <c r="D10" s="20">
        <v>1.25E-3</v>
      </c>
    </row>
    <row r="11" spans="1:4" x14ac:dyDescent="0.35">
      <c r="A11" s="39"/>
      <c r="B11" s="19" t="s">
        <v>11</v>
      </c>
      <c r="C11" s="20">
        <v>1.15E-4</v>
      </c>
      <c r="D11" s="20">
        <v>1.25E-3</v>
      </c>
    </row>
    <row r="12" spans="1:4" x14ac:dyDescent="0.35">
      <c r="A12" s="39" t="s">
        <v>35</v>
      </c>
      <c r="B12" s="19" t="s">
        <v>10</v>
      </c>
      <c r="C12" s="19">
        <f>0.000027*Input!$C$10^(-0.9)</f>
        <v>5.3474019895329363E-6</v>
      </c>
      <c r="D12" s="19">
        <f>0.0034*Input!$C$9^0.05</f>
        <v>4.088668652909239E-3</v>
      </c>
    </row>
    <row r="13" spans="1:4" x14ac:dyDescent="0.35">
      <c r="A13" s="39"/>
      <c r="B13" s="19" t="s">
        <v>11</v>
      </c>
      <c r="C13" s="19">
        <f>0.000023*Input!$C$10^(-0.9)</f>
        <v>4.5551942873799088E-6</v>
      </c>
      <c r="D13" s="19">
        <f>0.0034*Input!$C$9^0.05</f>
        <v>4.088668652909239E-3</v>
      </c>
    </row>
    <row r="14" spans="1:4" x14ac:dyDescent="0.35">
      <c r="A14" s="39" t="s">
        <v>36</v>
      </c>
      <c r="B14" s="19" t="s">
        <v>10</v>
      </c>
      <c r="C14" s="19">
        <f>0.0001 + 0.00003*Input!$C$11^-1</f>
        <v>1.0625628524953309E-4</v>
      </c>
      <c r="D14" s="19">
        <v>3.0000000000000001E-3</v>
      </c>
    </row>
    <row r="15" spans="1:4" x14ac:dyDescent="0.35">
      <c r="A15" s="39"/>
      <c r="B15" s="19" t="s">
        <v>11</v>
      </c>
      <c r="C15" s="19">
        <f>0.00007 + 0.000025*Input!$C$11^-1</f>
        <v>7.5213571041277577E-5</v>
      </c>
      <c r="D15" s="19">
        <v>3.0000000000000001E-3</v>
      </c>
    </row>
    <row r="16" spans="1:4" x14ac:dyDescent="0.35">
      <c r="A16" s="39" t="s">
        <v>37</v>
      </c>
      <c r="B16" s="19" t="s">
        <v>10</v>
      </c>
      <c r="C16" s="19" t="e">
        <f>0.007 + 0.00025*Input!$C$12^-0.6</f>
        <v>#DIV/0!</v>
      </c>
      <c r="D16" s="19">
        <v>0.04</v>
      </c>
    </row>
    <row r="17" spans="1:4" x14ac:dyDescent="0.35">
      <c r="A17" s="39"/>
      <c r="B17" s="19" t="s">
        <v>11</v>
      </c>
      <c r="C17" s="19" t="e">
        <f>0.005 + 0.0002*Input!$C$12^-0.6</f>
        <v>#DIV/0!</v>
      </c>
      <c r="D17" s="19">
        <v>0.04</v>
      </c>
    </row>
    <row r="18" spans="1:4" x14ac:dyDescent="0.35">
      <c r="A18" s="39" t="s">
        <v>38</v>
      </c>
      <c r="B18" s="19" t="s">
        <v>10</v>
      </c>
      <c r="C18" s="19" t="e">
        <f>0.0007 + 0.00003*Input!$C$13^-0.6</f>
        <v>#DIV/0!</v>
      </c>
      <c r="D18" s="19">
        <v>0.02</v>
      </c>
    </row>
    <row r="19" spans="1:4" x14ac:dyDescent="0.35">
      <c r="A19" s="39"/>
      <c r="B19" s="19" t="s">
        <v>11</v>
      </c>
      <c r="C19" s="19" t="e">
        <f>0.0005 + 0.000025*Input!$C$13^-0.6</f>
        <v>#DIV/0!</v>
      </c>
      <c r="D19" s="19">
        <v>0.02</v>
      </c>
    </row>
    <row r="20" spans="1:4" x14ac:dyDescent="0.35">
      <c r="A20" s="39" t="s">
        <v>39</v>
      </c>
      <c r="B20" s="19" t="s">
        <v>10</v>
      </c>
      <c r="C20" s="19">
        <f>0.0001 + 0.000003*Input!$C$14^-0.6</f>
        <v>1.1604904322297134E-4</v>
      </c>
      <c r="D20" s="19">
        <v>3.0000000000000001E-3</v>
      </c>
    </row>
    <row r="21" spans="1:4" x14ac:dyDescent="0.35">
      <c r="A21" s="39"/>
      <c r="B21" s="19" t="s">
        <v>11</v>
      </c>
      <c r="C21" s="19">
        <f>0.00007 + 0.000002*Input!$C$14^-0.6</f>
        <v>8.0699362148647558E-5</v>
      </c>
      <c r="D21" s="19">
        <v>3.0000000000000001E-3</v>
      </c>
    </row>
    <row r="22" spans="1:4" x14ac:dyDescent="0.35">
      <c r="A22" s="39" t="s">
        <v>40</v>
      </c>
      <c r="B22" s="19" t="s">
        <v>10</v>
      </c>
      <c r="C22" s="19" t="e">
        <f>0.6*(Input!$C$15^-0.9)*(Input!$C$16^-3)</f>
        <v>#DIV/0!</v>
      </c>
      <c r="D22" s="19" t="e">
        <f>1100000*Input!$C$16^-5</f>
        <v>#DIV/0!</v>
      </c>
    </row>
    <row r="23" spans="1:4" x14ac:dyDescent="0.35">
      <c r="A23" s="39"/>
      <c r="B23" s="19" t="s">
        <v>11</v>
      </c>
      <c r="C23" s="19" t="e">
        <f>0.5*(Input!$C$15^-0.9)*(Input!$C$16^-3)</f>
        <v>#DIV/0!</v>
      </c>
      <c r="D23" s="19" t="e">
        <f>1100000*Input!$C$16^-5</f>
        <v>#DIV/0!</v>
      </c>
    </row>
    <row r="24" spans="1:4" x14ac:dyDescent="0.35">
      <c r="A24" s="39" t="s">
        <v>41</v>
      </c>
      <c r="B24" s="19" t="s">
        <v>10</v>
      </c>
      <c r="C24" s="19">
        <f>0.0000007*(Input!$C$17^-0.9)*(Input!$C$18^0.5)</f>
        <v>7.3039301609836408E-8</v>
      </c>
      <c r="D24" s="19">
        <f>0.00000006*(Input!$C$18^0.5)</f>
        <v>1.556708065116899E-6</v>
      </c>
    </row>
    <row r="25" spans="1:4" x14ac:dyDescent="0.35">
      <c r="A25" s="39"/>
      <c r="B25" s="19" t="s">
        <v>11</v>
      </c>
      <c r="C25" s="19">
        <f>0.0000006*(Input!$C$17^-0.9)*(Input!$C$18^0.5)</f>
        <v>6.2605115665574062E-8</v>
      </c>
      <c r="D25" s="19">
        <f>0.00000006*(Input!$C$18^0.5)</f>
        <v>1.556708065116899E-6</v>
      </c>
    </row>
    <row r="26" spans="1:4" x14ac:dyDescent="0.35">
      <c r="A26" s="39" t="s">
        <v>42</v>
      </c>
      <c r="B26" s="19" t="s">
        <v>10</v>
      </c>
      <c r="C26" s="19" t="e">
        <f>0.0001 + 0.0000002*(Input!$C$19^-1)</f>
        <v>#DIV/0!</v>
      </c>
      <c r="D26" s="19">
        <v>2E-3</v>
      </c>
    </row>
    <row r="27" spans="1:4" x14ac:dyDescent="0.35">
      <c r="A27" s="39"/>
      <c r="B27" s="19" t="s">
        <v>11</v>
      </c>
      <c r="C27" s="19" t="e">
        <f>0.00005 + 0.0000002*(Input!$C$19^-1)</f>
        <v>#DIV/0!</v>
      </c>
      <c r="D27" s="19">
        <v>2E-3</v>
      </c>
    </row>
    <row r="28" spans="1:4" x14ac:dyDescent="0.35">
      <c r="A28" s="39" t="s">
        <v>43</v>
      </c>
      <c r="B28" s="19" t="s">
        <v>10</v>
      </c>
      <c r="C28" s="19" t="e">
        <f>0.00007 + 0.000002*(Input!$C$19^-1)</f>
        <v>#DIV/0!</v>
      </c>
      <c r="D28" s="19">
        <v>3.0000000000000001E-3</v>
      </c>
    </row>
    <row r="29" spans="1:4" x14ac:dyDescent="0.35">
      <c r="A29" s="39"/>
      <c r="B29" s="19" t="s">
        <v>11</v>
      </c>
      <c r="C29" s="19" t="e">
        <f>0.000035 + 0.000002*(Input!$C$19^-1)</f>
        <v>#DIV/0!</v>
      </c>
      <c r="D29" s="19">
        <v>3.0000000000000001E-3</v>
      </c>
    </row>
    <row r="30" spans="1:4" x14ac:dyDescent="0.35">
      <c r="A30" s="39" t="s">
        <v>44</v>
      </c>
      <c r="B30" s="19" t="s">
        <v>10</v>
      </c>
      <c r="C30" s="19" t="e">
        <f>0.001 + 0.0002*(Input!$C$20^-0.6)</f>
        <v>#DIV/0!</v>
      </c>
      <c r="D30" s="19">
        <v>0.1</v>
      </c>
    </row>
    <row r="31" spans="1:4" x14ac:dyDescent="0.35">
      <c r="A31" s="39"/>
      <c r="B31" s="19" t="s">
        <v>11</v>
      </c>
      <c r="C31" s="19" t="e">
        <f>0.0005 + 0.0001*(Input!$C$20^-0.6)</f>
        <v>#DIV/0!</v>
      </c>
      <c r="D31" s="19">
        <v>0.1</v>
      </c>
    </row>
    <row r="32" spans="1:4" x14ac:dyDescent="0.35">
      <c r="A32" s="39" t="s">
        <v>45</v>
      </c>
      <c r="B32" s="19" t="s">
        <v>10</v>
      </c>
      <c r="C32" s="20">
        <v>4.0000000000000002E-4</v>
      </c>
      <c r="D32" s="19"/>
    </row>
    <row r="33" spans="1:4" x14ac:dyDescent="0.35">
      <c r="A33" s="39"/>
      <c r="B33" s="19" t="s">
        <v>11</v>
      </c>
      <c r="C33" s="20">
        <v>2.9999999999999997E-4</v>
      </c>
      <c r="D33" s="19"/>
    </row>
    <row r="34" spans="1:4" x14ac:dyDescent="0.35">
      <c r="A34" s="39" t="s">
        <v>46</v>
      </c>
      <c r="B34" s="19" t="s">
        <v>10</v>
      </c>
      <c r="C34" s="20">
        <v>2.5000000000000001E-3</v>
      </c>
      <c r="D34" s="19"/>
    </row>
    <row r="35" spans="1:4" x14ac:dyDescent="0.35">
      <c r="A35" s="39"/>
      <c r="B35" s="19" t="s">
        <v>11</v>
      </c>
      <c r="C35" s="20">
        <v>2E-3</v>
      </c>
      <c r="D35" s="19"/>
    </row>
    <row r="36" spans="1:4" x14ac:dyDescent="0.35">
      <c r="A36" s="39" t="s">
        <v>47</v>
      </c>
      <c r="B36" s="19" t="s">
        <v>10</v>
      </c>
      <c r="C36" s="19" t="e">
        <f>0.00003*(Input!$C$22^0.77)*(Input!$C$21^-0.23)</f>
        <v>#DIV/0!</v>
      </c>
      <c r="D36" s="19">
        <f>+-0.0005*Input!$C$22</f>
        <v>0</v>
      </c>
    </row>
    <row r="37" spans="1:4" x14ac:dyDescent="0.35">
      <c r="A37" s="39"/>
      <c r="B37" s="19" t="s">
        <v>11</v>
      </c>
      <c r="C37" s="19" t="e">
        <f>0.000025*(Input!$C$22^0.77)*(Input!$C$21^-0.23)</f>
        <v>#DIV/0!</v>
      </c>
      <c r="D37" s="19">
        <f>+-0.0005*Input!$C$22</f>
        <v>0</v>
      </c>
    </row>
    <row r="38" spans="1:4" x14ac:dyDescent="0.35">
      <c r="A38" s="39" t="s">
        <v>48</v>
      </c>
      <c r="B38" s="19" t="s">
        <v>10</v>
      </c>
      <c r="C38" s="19" t="e">
        <f>0.00005*(Input!$C$22^0.77)*(Input!$C$21^-0.23)</f>
        <v>#DIV/0!</v>
      </c>
      <c r="D38" s="19">
        <f>+-0.0004*Input!$C$22</f>
        <v>0</v>
      </c>
    </row>
    <row r="39" spans="1:4" x14ac:dyDescent="0.35">
      <c r="A39" s="39"/>
      <c r="B39" s="19" t="s">
        <v>11</v>
      </c>
      <c r="C39" s="19" t="e">
        <f>0.00004*(Input!$C$22^0.77)*(Input!$C$21^-0.23)</f>
        <v>#DIV/0!</v>
      </c>
      <c r="D39" s="19">
        <f>+-0.0004*Input!$C$22</f>
        <v>0</v>
      </c>
    </row>
  </sheetData>
  <mergeCells count="18">
    <mergeCell ref="C3:D3"/>
    <mergeCell ref="A5:A7"/>
    <mergeCell ref="A8:A9"/>
    <mergeCell ref="A10:A11"/>
    <mergeCell ref="A12:A13"/>
    <mergeCell ref="A14:A15"/>
    <mergeCell ref="A16:A17"/>
    <mergeCell ref="A18:A19"/>
    <mergeCell ref="A20:A21"/>
    <mergeCell ref="A32:A33"/>
    <mergeCell ref="A34:A35"/>
    <mergeCell ref="A36:A37"/>
    <mergeCell ref="A38:A39"/>
    <mergeCell ref="A22:A23"/>
    <mergeCell ref="A24:A25"/>
    <mergeCell ref="A26:A27"/>
    <mergeCell ref="A28:A29"/>
    <mergeCell ref="A30:A3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36" sqref="B36"/>
    </sheetView>
  </sheetViews>
  <sheetFormatPr defaultRowHeight="14.5" x14ac:dyDescent="0.35"/>
  <cols>
    <col min="2" max="2" width="12.6328125" customWidth="1"/>
  </cols>
  <sheetData>
    <row r="2" spans="2:3" x14ac:dyDescent="0.35">
      <c r="B2" s="17" t="s">
        <v>130</v>
      </c>
    </row>
    <row r="4" spans="2:3" x14ac:dyDescent="0.35">
      <c r="B4" s="1" t="s">
        <v>128</v>
      </c>
      <c r="C4" s="1" t="s">
        <v>129</v>
      </c>
    </row>
    <row r="5" spans="2:3" x14ac:dyDescent="0.35">
      <c r="B5">
        <v>1964</v>
      </c>
      <c r="C5">
        <v>103.3</v>
      </c>
    </row>
    <row r="6" spans="2:3" x14ac:dyDescent="0.35">
      <c r="B6">
        <v>2002</v>
      </c>
      <c r="C6">
        <v>395.6</v>
      </c>
    </row>
    <row r="7" spans="2:3" x14ac:dyDescent="0.35">
      <c r="B7">
        <v>2003</v>
      </c>
      <c r="C7">
        <v>402</v>
      </c>
    </row>
    <row r="8" spans="2:3" x14ac:dyDescent="0.35">
      <c r="B8">
        <v>2004</v>
      </c>
      <c r="C8">
        <v>444.2</v>
      </c>
    </row>
    <row r="9" spans="2:3" x14ac:dyDescent="0.35">
      <c r="B9">
        <v>2005</v>
      </c>
      <c r="C9">
        <v>468.2</v>
      </c>
    </row>
    <row r="10" spans="2:3" x14ac:dyDescent="0.35">
      <c r="B10">
        <v>2006</v>
      </c>
      <c r="C10">
        <v>499.6</v>
      </c>
    </row>
    <row r="11" spans="2:3" x14ac:dyDescent="0.35">
      <c r="B11">
        <v>2007</v>
      </c>
      <c r="C11">
        <v>525.4</v>
      </c>
    </row>
    <row r="12" spans="2:3" x14ac:dyDescent="0.35">
      <c r="B12">
        <v>2008</v>
      </c>
      <c r="C12">
        <v>575.4</v>
      </c>
    </row>
    <row r="13" spans="2:3" x14ac:dyDescent="0.35">
      <c r="B13">
        <v>2009</v>
      </c>
      <c r="C13">
        <v>521.9</v>
      </c>
    </row>
    <row r="14" spans="2:3" x14ac:dyDescent="0.35">
      <c r="B14">
        <v>2010</v>
      </c>
      <c r="C14">
        <v>550.79999999999995</v>
      </c>
    </row>
    <row r="15" spans="2:3" x14ac:dyDescent="0.35">
      <c r="B15">
        <v>2011</v>
      </c>
      <c r="C15">
        <v>585.70000000000005</v>
      </c>
    </row>
    <row r="16" spans="2:3" x14ac:dyDescent="0.35">
      <c r="B16">
        <v>2012</v>
      </c>
      <c r="C16">
        <v>584.6</v>
      </c>
    </row>
    <row r="17" spans="2:3" x14ac:dyDescent="0.35">
      <c r="B17">
        <v>2013</v>
      </c>
      <c r="C17">
        <v>567.29999999999995</v>
      </c>
    </row>
    <row r="18" spans="2:3" x14ac:dyDescent="0.35">
      <c r="B18">
        <v>2014</v>
      </c>
      <c r="C18">
        <v>576.1</v>
      </c>
    </row>
    <row r="19" spans="2:3" x14ac:dyDescent="0.35">
      <c r="B19">
        <v>2015</v>
      </c>
      <c r="C19">
        <v>556.79999999999995</v>
      </c>
    </row>
    <row r="20" spans="2:3" x14ac:dyDescent="0.35">
      <c r="B20">
        <v>2016</v>
      </c>
      <c r="C20">
        <v>541.70000000000005</v>
      </c>
    </row>
    <row r="21" spans="2:3" x14ac:dyDescent="0.35">
      <c r="B21">
        <v>2017</v>
      </c>
      <c r="C21">
        <v>567.5</v>
      </c>
    </row>
    <row r="22" spans="2:3" x14ac:dyDescent="0.35">
      <c r="B22">
        <v>2018</v>
      </c>
      <c r="C22">
        <v>603.1</v>
      </c>
    </row>
    <row r="23" spans="2:3" x14ac:dyDescent="0.35">
      <c r="B23">
        <v>2019</v>
      </c>
      <c r="C23">
        <v>607.5</v>
      </c>
    </row>
    <row r="25" spans="2:3" x14ac:dyDescent="0.35">
      <c r="B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pane xSplit="1" ySplit="13" topLeftCell="B14" activePane="bottomRight" state="frozen"/>
      <selection pane="topRight"/>
      <selection pane="bottomLeft"/>
      <selection pane="bottomRight" activeCell="B62" sqref="B62"/>
    </sheetView>
  </sheetViews>
  <sheetFormatPr defaultRowHeight="11.4" customHeight="1" x14ac:dyDescent="0.35"/>
  <cols>
    <col min="1" max="1" width="29.90625" style="5" customWidth="1"/>
    <col min="2" max="2" width="10" style="5" customWidth="1"/>
    <col min="3" max="3" width="5" style="5" customWidth="1"/>
    <col min="4" max="4" width="10" style="5" customWidth="1"/>
    <col min="5" max="5" width="5" style="5" customWidth="1"/>
    <col min="6" max="6" width="10" style="5" customWidth="1"/>
    <col min="7" max="7" width="5" style="5" customWidth="1"/>
    <col min="8" max="8" width="10" style="5" customWidth="1"/>
    <col min="9" max="9" width="5" style="5" customWidth="1"/>
    <col min="10" max="10" width="10" style="5" customWidth="1"/>
    <col min="11" max="11" width="5" style="5" customWidth="1"/>
    <col min="12" max="12" width="10" style="5" customWidth="1"/>
    <col min="13" max="13" width="5" style="5" customWidth="1"/>
    <col min="14" max="14" width="10" style="5" customWidth="1"/>
    <col min="15" max="15" width="5" style="5" customWidth="1"/>
    <col min="16" max="16" width="10" style="5" customWidth="1"/>
    <col min="17" max="17" width="5" style="5" customWidth="1"/>
    <col min="18" max="18" width="10" style="5" customWidth="1"/>
    <col min="19" max="19" width="5" style="5" customWidth="1"/>
    <col min="20" max="20" width="10" style="5" customWidth="1"/>
    <col min="21" max="21" width="5" style="5" customWidth="1"/>
    <col min="22" max="16384" width="8.7265625" style="5"/>
  </cols>
  <sheetData>
    <row r="1" spans="1:21" x14ac:dyDescent="0.35">
      <c r="A1" s="4" t="s">
        <v>52</v>
      </c>
    </row>
    <row r="2" spans="1:21" x14ac:dyDescent="0.35">
      <c r="A2" s="4" t="s">
        <v>53</v>
      </c>
      <c r="B2" s="6" t="s">
        <v>54</v>
      </c>
    </row>
    <row r="3" spans="1:21" x14ac:dyDescent="0.35">
      <c r="A3" s="4" t="s">
        <v>55</v>
      </c>
      <c r="B3" s="4" t="s">
        <v>56</v>
      </c>
    </row>
    <row r="5" spans="1:21" x14ac:dyDescent="0.35">
      <c r="A5" s="6" t="s">
        <v>57</v>
      </c>
      <c r="C5" s="4" t="s">
        <v>58</v>
      </c>
    </row>
    <row r="6" spans="1:21" x14ac:dyDescent="0.35">
      <c r="A6" s="6" t="s">
        <v>59</v>
      </c>
      <c r="C6" s="4" t="s">
        <v>60</v>
      </c>
    </row>
    <row r="7" spans="1:21" x14ac:dyDescent="0.35">
      <c r="A7" s="6" t="s">
        <v>61</v>
      </c>
      <c r="C7" s="4" t="s">
        <v>62</v>
      </c>
    </row>
    <row r="8" spans="1:21" x14ac:dyDescent="0.35">
      <c r="A8" s="6" t="s">
        <v>63</v>
      </c>
      <c r="C8" s="4" t="s">
        <v>64</v>
      </c>
    </row>
    <row r="9" spans="1:21" x14ac:dyDescent="0.35">
      <c r="A9" s="6" t="s">
        <v>65</v>
      </c>
      <c r="C9" s="4" t="s">
        <v>66</v>
      </c>
    </row>
    <row r="10" spans="1:21" x14ac:dyDescent="0.35">
      <c r="A10" s="6" t="s">
        <v>67</v>
      </c>
      <c r="C10" s="4" t="s">
        <v>68</v>
      </c>
    </row>
    <row r="12" spans="1:21" x14ac:dyDescent="0.35">
      <c r="A12" s="7" t="s">
        <v>69</v>
      </c>
      <c r="B12" s="47" t="s">
        <v>70</v>
      </c>
      <c r="C12" s="47" t="s">
        <v>71</v>
      </c>
      <c r="D12" s="47" t="s">
        <v>72</v>
      </c>
      <c r="E12" s="47" t="s">
        <v>71</v>
      </c>
      <c r="F12" s="47" t="s">
        <v>73</v>
      </c>
      <c r="G12" s="47" t="s">
        <v>71</v>
      </c>
      <c r="H12" s="47" t="s">
        <v>74</v>
      </c>
      <c r="I12" s="47" t="s">
        <v>71</v>
      </c>
      <c r="J12" s="47" t="s">
        <v>75</v>
      </c>
      <c r="K12" s="47" t="s">
        <v>71</v>
      </c>
      <c r="L12" s="47" t="s">
        <v>76</v>
      </c>
      <c r="M12" s="47" t="s">
        <v>71</v>
      </c>
      <c r="N12" s="47" t="s">
        <v>77</v>
      </c>
      <c r="O12" s="47" t="s">
        <v>71</v>
      </c>
      <c r="P12" s="47" t="s">
        <v>78</v>
      </c>
      <c r="Q12" s="47" t="s">
        <v>71</v>
      </c>
      <c r="R12" s="47" t="s">
        <v>79</v>
      </c>
      <c r="S12" s="47" t="s">
        <v>71</v>
      </c>
      <c r="T12" s="47" t="s">
        <v>80</v>
      </c>
      <c r="U12" s="47" t="s">
        <v>71</v>
      </c>
    </row>
    <row r="13" spans="1:21" x14ac:dyDescent="0.35">
      <c r="A13" s="8" t="s">
        <v>81</v>
      </c>
      <c r="B13" s="9" t="s">
        <v>71</v>
      </c>
      <c r="C13" s="9" t="s">
        <v>71</v>
      </c>
      <c r="D13" s="9" t="s">
        <v>71</v>
      </c>
      <c r="E13" s="9" t="s">
        <v>71</v>
      </c>
      <c r="F13" s="9" t="s">
        <v>71</v>
      </c>
      <c r="G13" s="9" t="s">
        <v>71</v>
      </c>
      <c r="H13" s="9" t="s">
        <v>71</v>
      </c>
      <c r="I13" s="9" t="s">
        <v>71</v>
      </c>
      <c r="J13" s="9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9" t="s">
        <v>71</v>
      </c>
      <c r="P13" s="9" t="s">
        <v>71</v>
      </c>
      <c r="Q13" s="9" t="s">
        <v>71</v>
      </c>
      <c r="R13" s="9" t="s">
        <v>71</v>
      </c>
      <c r="S13" s="9" t="s">
        <v>71</v>
      </c>
      <c r="T13" s="9" t="s">
        <v>71</v>
      </c>
      <c r="U13" s="9" t="s">
        <v>71</v>
      </c>
    </row>
    <row r="14" spans="1:21" x14ac:dyDescent="0.35">
      <c r="A14" s="10" t="s">
        <v>82</v>
      </c>
      <c r="B14" s="11">
        <v>8.5904000000000007</v>
      </c>
      <c r="C14" s="12" t="s">
        <v>71</v>
      </c>
      <c r="D14" s="11">
        <v>7.6544999999999996</v>
      </c>
      <c r="E14" s="12" t="s">
        <v>71</v>
      </c>
      <c r="F14" s="11">
        <v>7.5285000000000002</v>
      </c>
      <c r="G14" s="12" t="s">
        <v>71</v>
      </c>
      <c r="H14" s="11">
        <v>7.1822999999999997</v>
      </c>
      <c r="I14" s="12" t="s">
        <v>71</v>
      </c>
      <c r="J14" s="11">
        <v>7.1243999999999996</v>
      </c>
      <c r="K14" s="12" t="s">
        <v>71</v>
      </c>
      <c r="L14" s="11">
        <v>7.4123000000000001</v>
      </c>
      <c r="M14" s="12" t="s">
        <v>71</v>
      </c>
      <c r="N14" s="11">
        <v>7.8052999999999999</v>
      </c>
      <c r="O14" s="12" t="s">
        <v>71</v>
      </c>
      <c r="P14" s="11">
        <v>7.8996000000000004</v>
      </c>
      <c r="Q14" s="12" t="s">
        <v>71</v>
      </c>
      <c r="R14" s="11">
        <v>7.4337</v>
      </c>
      <c r="S14" s="12" t="s">
        <v>71</v>
      </c>
      <c r="T14" s="11">
        <v>6.9532999999999996</v>
      </c>
      <c r="U14" s="12" t="s">
        <v>71</v>
      </c>
    </row>
    <row r="15" spans="1:21" x14ac:dyDescent="0.35">
      <c r="A15" s="10" t="s">
        <v>83</v>
      </c>
      <c r="B15" s="13">
        <v>8.6678999999999995</v>
      </c>
      <c r="C15" s="14" t="s">
        <v>71</v>
      </c>
      <c r="D15" s="13">
        <v>7.6531000000000002</v>
      </c>
      <c r="E15" s="14" t="s">
        <v>71</v>
      </c>
      <c r="F15" s="13">
        <v>7.4162999999999997</v>
      </c>
      <c r="G15" s="14" t="s">
        <v>71</v>
      </c>
      <c r="H15" s="13">
        <v>7.1153000000000004</v>
      </c>
      <c r="I15" s="14" t="s">
        <v>71</v>
      </c>
      <c r="J15" s="15">
        <v>6.9859999999999998</v>
      </c>
      <c r="K15" s="14" t="s">
        <v>71</v>
      </c>
      <c r="L15" s="13">
        <v>7.3525</v>
      </c>
      <c r="M15" s="14" t="s">
        <v>71</v>
      </c>
      <c r="N15" s="13">
        <v>7.7587000000000002</v>
      </c>
      <c r="O15" s="14" t="s">
        <v>71</v>
      </c>
      <c r="P15" s="13">
        <v>7.8297999999999996</v>
      </c>
      <c r="Q15" s="14" t="s">
        <v>71</v>
      </c>
      <c r="R15" s="13">
        <v>7.3903999999999996</v>
      </c>
      <c r="S15" s="14" t="s">
        <v>71</v>
      </c>
      <c r="T15" s="14" t="s">
        <v>84</v>
      </c>
      <c r="U15" s="14" t="s">
        <v>71</v>
      </c>
    </row>
    <row r="16" spans="1:21" x14ac:dyDescent="0.35">
      <c r="A16" s="10" t="s">
        <v>85</v>
      </c>
      <c r="B16" s="11">
        <v>8.6844000000000001</v>
      </c>
      <c r="C16" s="12" t="s">
        <v>71</v>
      </c>
      <c r="D16" s="11">
        <v>7.7713000000000001</v>
      </c>
      <c r="E16" s="12" t="s">
        <v>71</v>
      </c>
      <c r="F16" s="11">
        <v>7.7026000000000003</v>
      </c>
      <c r="G16" s="12" t="s">
        <v>71</v>
      </c>
      <c r="H16" s="11">
        <v>7.2343999999999999</v>
      </c>
      <c r="I16" s="12" t="s">
        <v>71</v>
      </c>
      <c r="J16" s="11">
        <v>7.1444999999999999</v>
      </c>
      <c r="K16" s="12" t="s">
        <v>71</v>
      </c>
      <c r="L16" s="11">
        <v>7.4154999999999998</v>
      </c>
      <c r="M16" s="12" t="s">
        <v>71</v>
      </c>
      <c r="N16" s="11">
        <v>7.7876000000000003</v>
      </c>
      <c r="O16" s="12" t="s">
        <v>71</v>
      </c>
      <c r="P16" s="11">
        <v>7.8102999999999998</v>
      </c>
      <c r="Q16" s="12" t="s">
        <v>71</v>
      </c>
      <c r="R16" s="11">
        <v>7.3129</v>
      </c>
      <c r="S16" s="12" t="s">
        <v>71</v>
      </c>
      <c r="T16" s="11">
        <v>6.8593000000000002</v>
      </c>
      <c r="U16" s="12" t="s">
        <v>71</v>
      </c>
    </row>
    <row r="17" spans="1:21" x14ac:dyDescent="0.35">
      <c r="A17" s="10" t="s">
        <v>86</v>
      </c>
      <c r="B17" s="15">
        <v>7.33</v>
      </c>
      <c r="C17" s="14" t="s">
        <v>71</v>
      </c>
      <c r="D17" s="15">
        <v>6.63</v>
      </c>
      <c r="E17" s="14" t="s">
        <v>71</v>
      </c>
      <c r="F17" s="15">
        <v>6.48</v>
      </c>
      <c r="G17" s="14" t="s">
        <v>71</v>
      </c>
      <c r="H17" s="13">
        <v>6.0938999999999997</v>
      </c>
      <c r="I17" s="14" t="s">
        <v>71</v>
      </c>
      <c r="J17" s="13">
        <v>5.9686000000000003</v>
      </c>
      <c r="K17" s="14" t="s">
        <v>71</v>
      </c>
      <c r="L17" s="13">
        <v>5.9066000000000001</v>
      </c>
      <c r="M17" s="14" t="s">
        <v>71</v>
      </c>
      <c r="N17" s="13">
        <v>6.4207000000000001</v>
      </c>
      <c r="O17" s="14" t="s">
        <v>71</v>
      </c>
      <c r="P17" s="13">
        <v>6.2507999999999999</v>
      </c>
      <c r="Q17" s="14" t="s">
        <v>71</v>
      </c>
      <c r="R17" s="13">
        <v>5.9123000000000001</v>
      </c>
      <c r="S17" s="14" t="s">
        <v>71</v>
      </c>
      <c r="T17" s="13">
        <v>5.3556999999999997</v>
      </c>
      <c r="U17" s="14" t="s">
        <v>71</v>
      </c>
    </row>
    <row r="18" spans="1:21" x14ac:dyDescent="0.35">
      <c r="A18" s="10" t="s">
        <v>87</v>
      </c>
      <c r="B18" s="11">
        <v>7.2042000000000002</v>
      </c>
      <c r="C18" s="12" t="s">
        <v>71</v>
      </c>
      <c r="D18" s="11">
        <v>6.0845000000000002</v>
      </c>
      <c r="E18" s="12" t="s">
        <v>71</v>
      </c>
      <c r="F18" s="11">
        <v>5.0465</v>
      </c>
      <c r="G18" s="12" t="s">
        <v>71</v>
      </c>
      <c r="H18" s="11">
        <v>5.7725999999999997</v>
      </c>
      <c r="I18" s="12" t="s">
        <v>71</v>
      </c>
      <c r="J18" s="11">
        <v>6.7286000000000001</v>
      </c>
      <c r="K18" s="12" t="s">
        <v>71</v>
      </c>
      <c r="L18" s="11">
        <v>6.8281999999999998</v>
      </c>
      <c r="M18" s="12" t="s">
        <v>71</v>
      </c>
      <c r="N18" s="11">
        <v>7.7408000000000001</v>
      </c>
      <c r="O18" s="12" t="s">
        <v>71</v>
      </c>
      <c r="P18" s="11">
        <v>8.2636000000000003</v>
      </c>
      <c r="Q18" s="12" t="s">
        <v>71</v>
      </c>
      <c r="R18" s="11">
        <v>8.1675000000000004</v>
      </c>
      <c r="S18" s="12" t="s">
        <v>71</v>
      </c>
      <c r="T18" s="11">
        <v>6.1498999999999997</v>
      </c>
      <c r="U18" s="12" t="s">
        <v>71</v>
      </c>
    </row>
    <row r="19" spans="1:21" x14ac:dyDescent="0.35">
      <c r="A19" s="10" t="s">
        <v>88</v>
      </c>
      <c r="B19" s="13">
        <v>7.8522999999999996</v>
      </c>
      <c r="C19" s="14" t="s">
        <v>71</v>
      </c>
      <c r="D19" s="13">
        <v>6.9718999999999998</v>
      </c>
      <c r="E19" s="14" t="s">
        <v>71</v>
      </c>
      <c r="F19" s="13">
        <v>6.8467000000000002</v>
      </c>
      <c r="G19" s="14" t="s">
        <v>71</v>
      </c>
      <c r="H19" s="13">
        <v>6.2827999999999999</v>
      </c>
      <c r="I19" s="14" t="s">
        <v>71</v>
      </c>
      <c r="J19" s="13">
        <v>6.4615999999999998</v>
      </c>
      <c r="K19" s="14" t="s">
        <v>71</v>
      </c>
      <c r="L19" s="13">
        <v>6.7610999999999999</v>
      </c>
      <c r="M19" s="14" t="s">
        <v>71</v>
      </c>
      <c r="N19" s="13">
        <v>7.0547000000000004</v>
      </c>
      <c r="O19" s="14" t="s">
        <v>71</v>
      </c>
      <c r="P19" s="13">
        <v>7.7801999999999998</v>
      </c>
      <c r="Q19" s="14" t="s">
        <v>71</v>
      </c>
      <c r="R19" s="13">
        <v>7.5998000000000001</v>
      </c>
      <c r="S19" s="14" t="s">
        <v>71</v>
      </c>
      <c r="T19" s="13">
        <v>6.6982999999999997</v>
      </c>
      <c r="U19" s="14" t="s">
        <v>71</v>
      </c>
    </row>
    <row r="20" spans="1:21" x14ac:dyDescent="0.35">
      <c r="A20" s="10" t="s">
        <v>89</v>
      </c>
      <c r="B20" s="11">
        <v>7.1359000000000004</v>
      </c>
      <c r="C20" s="12" t="s">
        <v>71</v>
      </c>
      <c r="D20" s="11">
        <v>5.5682999999999998</v>
      </c>
      <c r="E20" s="12" t="s">
        <v>71</v>
      </c>
      <c r="F20" s="16">
        <v>5.9690000000000003</v>
      </c>
      <c r="G20" s="12" t="s">
        <v>71</v>
      </c>
      <c r="H20" s="11">
        <v>6.6055999999999999</v>
      </c>
      <c r="I20" s="12" t="s">
        <v>71</v>
      </c>
      <c r="J20" s="11">
        <v>6.6532</v>
      </c>
      <c r="K20" s="12" t="s">
        <v>71</v>
      </c>
      <c r="L20" s="11">
        <v>7.6181000000000001</v>
      </c>
      <c r="M20" s="12" t="s">
        <v>71</v>
      </c>
      <c r="N20" s="11">
        <v>8.0130999999999997</v>
      </c>
      <c r="O20" s="12" t="s">
        <v>71</v>
      </c>
      <c r="P20" s="16">
        <v>6.7460000000000004</v>
      </c>
      <c r="Q20" s="12" t="s">
        <v>71</v>
      </c>
      <c r="R20" s="16">
        <v>5.7560000000000002</v>
      </c>
      <c r="S20" s="12" t="s">
        <v>71</v>
      </c>
      <c r="T20" s="11">
        <v>4.6664000000000003</v>
      </c>
      <c r="U20" s="12" t="s">
        <v>71</v>
      </c>
    </row>
    <row r="21" spans="1:21" x14ac:dyDescent="0.35">
      <c r="A21" s="10" t="s">
        <v>90</v>
      </c>
      <c r="B21" s="15">
        <v>9.35</v>
      </c>
      <c r="C21" s="14" t="s">
        <v>71</v>
      </c>
      <c r="D21" s="15">
        <v>8.3000000000000007</v>
      </c>
      <c r="E21" s="14" t="s">
        <v>71</v>
      </c>
      <c r="F21" s="15">
        <v>8.09</v>
      </c>
      <c r="G21" s="14" t="s">
        <v>71</v>
      </c>
      <c r="H21" s="15">
        <v>7.69</v>
      </c>
      <c r="I21" s="14" t="s">
        <v>71</v>
      </c>
      <c r="J21" s="15">
        <v>7.3940000000000001</v>
      </c>
      <c r="K21" s="14" t="s">
        <v>71</v>
      </c>
      <c r="L21" s="13">
        <v>7.6924000000000001</v>
      </c>
      <c r="M21" s="14" t="s">
        <v>71</v>
      </c>
      <c r="N21" s="13">
        <v>7.6405000000000003</v>
      </c>
      <c r="O21" s="14" t="s">
        <v>71</v>
      </c>
      <c r="P21" s="13">
        <v>7.7126000000000001</v>
      </c>
      <c r="Q21" s="14" t="s">
        <v>71</v>
      </c>
      <c r="R21" s="13">
        <v>7.0218999999999996</v>
      </c>
      <c r="S21" s="14" t="s">
        <v>71</v>
      </c>
      <c r="T21" s="13">
        <v>6.8036000000000003</v>
      </c>
      <c r="U21" s="14" t="s">
        <v>71</v>
      </c>
    </row>
    <row r="22" spans="1:21" x14ac:dyDescent="0.35">
      <c r="A22" s="10" t="s">
        <v>91</v>
      </c>
      <c r="B22" s="16">
        <v>6.97</v>
      </c>
      <c r="C22" s="12" t="s">
        <v>71</v>
      </c>
      <c r="D22" s="16">
        <v>5.98</v>
      </c>
      <c r="E22" s="12" t="s">
        <v>71</v>
      </c>
      <c r="F22" s="16">
        <v>5.72</v>
      </c>
      <c r="G22" s="12" t="s">
        <v>71</v>
      </c>
      <c r="H22" s="16">
        <v>6.62</v>
      </c>
      <c r="I22" s="12" t="s">
        <v>71</v>
      </c>
      <c r="J22" s="11">
        <v>6.6330999999999998</v>
      </c>
      <c r="K22" s="12" t="s">
        <v>71</v>
      </c>
      <c r="L22" s="11">
        <v>7.1631</v>
      </c>
      <c r="M22" s="12" t="s">
        <v>71</v>
      </c>
      <c r="N22" s="11">
        <v>7.7073</v>
      </c>
      <c r="O22" s="12" t="s">
        <v>71</v>
      </c>
      <c r="P22" s="11">
        <v>7.9881000000000002</v>
      </c>
      <c r="Q22" s="12" t="s">
        <v>71</v>
      </c>
      <c r="R22" s="11">
        <v>7.7226999999999997</v>
      </c>
      <c r="S22" s="12" t="s">
        <v>71</v>
      </c>
      <c r="T22" s="11">
        <v>6.5654000000000003</v>
      </c>
      <c r="U22" s="12" t="s">
        <v>71</v>
      </c>
    </row>
    <row r="23" spans="1:21" x14ac:dyDescent="0.35">
      <c r="A23" s="10" t="s">
        <v>92</v>
      </c>
      <c r="B23" s="15">
        <v>9.31</v>
      </c>
      <c r="C23" s="14" t="s">
        <v>71</v>
      </c>
      <c r="D23" s="15">
        <v>8.02</v>
      </c>
      <c r="E23" s="14" t="s">
        <v>71</v>
      </c>
      <c r="F23" s="15">
        <v>8.4700000000000006</v>
      </c>
      <c r="G23" s="14" t="s">
        <v>71</v>
      </c>
      <c r="H23" s="15">
        <v>8.2799999999999994</v>
      </c>
      <c r="I23" s="14" t="s">
        <v>71</v>
      </c>
      <c r="J23" s="13">
        <v>8.0448000000000004</v>
      </c>
      <c r="K23" s="14" t="s">
        <v>71</v>
      </c>
      <c r="L23" s="13">
        <v>8.4887999999999995</v>
      </c>
      <c r="M23" s="14" t="s">
        <v>71</v>
      </c>
      <c r="N23" s="13">
        <v>9.7643000000000004</v>
      </c>
      <c r="O23" s="14" t="s">
        <v>71</v>
      </c>
      <c r="P23" s="13">
        <v>8.6495999999999995</v>
      </c>
      <c r="Q23" s="14" t="s">
        <v>71</v>
      </c>
      <c r="R23" s="13">
        <v>7.9645999999999999</v>
      </c>
      <c r="S23" s="14" t="s">
        <v>71</v>
      </c>
      <c r="T23" s="13">
        <v>6.9149000000000003</v>
      </c>
      <c r="U23" s="14" t="s">
        <v>71</v>
      </c>
    </row>
    <row r="24" spans="1:21" x14ac:dyDescent="0.35">
      <c r="A24" s="10" t="s">
        <v>93</v>
      </c>
      <c r="B24" s="16">
        <v>8.42</v>
      </c>
      <c r="C24" s="12" t="s">
        <v>71</v>
      </c>
      <c r="D24" s="16">
        <v>6.64</v>
      </c>
      <c r="E24" s="12" t="s">
        <v>71</v>
      </c>
      <c r="F24" s="16">
        <v>6.33</v>
      </c>
      <c r="G24" s="12" t="s">
        <v>71</v>
      </c>
      <c r="H24" s="16">
        <v>6.73</v>
      </c>
      <c r="I24" s="12" t="s">
        <v>94</v>
      </c>
      <c r="J24" s="16">
        <v>6.55</v>
      </c>
      <c r="K24" s="12" t="s">
        <v>71</v>
      </c>
      <c r="L24" s="16">
        <v>7.2</v>
      </c>
      <c r="M24" s="12" t="s">
        <v>95</v>
      </c>
      <c r="N24" s="16">
        <v>8.6539999999999999</v>
      </c>
      <c r="O24" s="12" t="s">
        <v>71</v>
      </c>
      <c r="P24" s="11">
        <v>8.6762999999999995</v>
      </c>
      <c r="Q24" s="12" t="s">
        <v>71</v>
      </c>
      <c r="R24" s="11">
        <v>8.4009</v>
      </c>
      <c r="S24" s="12" t="s">
        <v>71</v>
      </c>
      <c r="T24" s="11">
        <v>6.2271999999999998</v>
      </c>
      <c r="U24" s="12" t="s">
        <v>71</v>
      </c>
    </row>
    <row r="25" spans="1:21" x14ac:dyDescent="0.35">
      <c r="A25" s="10" t="s">
        <v>96</v>
      </c>
      <c r="B25" s="15">
        <v>8.66</v>
      </c>
      <c r="C25" s="14" t="s">
        <v>71</v>
      </c>
      <c r="D25" s="15">
        <v>7.66</v>
      </c>
      <c r="E25" s="14" t="s">
        <v>71</v>
      </c>
      <c r="F25" s="15">
        <v>7.07</v>
      </c>
      <c r="G25" s="14" t="s">
        <v>71</v>
      </c>
      <c r="H25" s="15">
        <v>7.4290000000000003</v>
      </c>
      <c r="I25" s="14" t="s">
        <v>71</v>
      </c>
      <c r="J25" s="13">
        <v>7.2531999999999996</v>
      </c>
      <c r="K25" s="14" t="s">
        <v>71</v>
      </c>
      <c r="L25" s="13">
        <v>7.9077999999999999</v>
      </c>
      <c r="M25" s="14" t="s">
        <v>71</v>
      </c>
      <c r="N25" s="13">
        <v>8.1435999999999993</v>
      </c>
      <c r="O25" s="14" t="s">
        <v>71</v>
      </c>
      <c r="P25" s="13">
        <v>8.0565999999999995</v>
      </c>
      <c r="Q25" s="14" t="s">
        <v>71</v>
      </c>
      <c r="R25" s="13">
        <v>8.0349000000000004</v>
      </c>
      <c r="S25" s="14" t="s">
        <v>71</v>
      </c>
      <c r="T25" s="15">
        <v>7.4509999999999996</v>
      </c>
      <c r="U25" s="14" t="s">
        <v>71</v>
      </c>
    </row>
    <row r="26" spans="1:21" x14ac:dyDescent="0.35">
      <c r="A26" s="10" t="s">
        <v>97</v>
      </c>
      <c r="B26" s="16">
        <v>9.27</v>
      </c>
      <c r="C26" s="12" t="s">
        <v>71</v>
      </c>
      <c r="D26" s="16">
        <v>7.92</v>
      </c>
      <c r="E26" s="12" t="s">
        <v>71</v>
      </c>
      <c r="F26" s="16">
        <v>9.24</v>
      </c>
      <c r="G26" s="12" t="s">
        <v>71</v>
      </c>
      <c r="H26" s="11">
        <v>7.6891999999999996</v>
      </c>
      <c r="I26" s="12" t="s">
        <v>71</v>
      </c>
      <c r="J26" s="11">
        <v>8.0075000000000003</v>
      </c>
      <c r="K26" s="12" t="s">
        <v>71</v>
      </c>
      <c r="L26" s="11">
        <v>7.8003</v>
      </c>
      <c r="M26" s="12" t="s">
        <v>71</v>
      </c>
      <c r="N26" s="11">
        <v>8.7518999999999991</v>
      </c>
      <c r="O26" s="12" t="s">
        <v>71</v>
      </c>
      <c r="P26" s="11">
        <v>8.4895999999999994</v>
      </c>
      <c r="Q26" s="12" t="s">
        <v>71</v>
      </c>
      <c r="R26" s="11">
        <v>8.2805999999999997</v>
      </c>
      <c r="S26" s="12" t="s">
        <v>71</v>
      </c>
      <c r="T26" s="11">
        <v>7.4488000000000003</v>
      </c>
      <c r="U26" s="12" t="s">
        <v>71</v>
      </c>
    </row>
    <row r="27" spans="1:21" x14ac:dyDescent="0.35">
      <c r="A27" s="10" t="s">
        <v>98</v>
      </c>
      <c r="B27" s="13">
        <v>9.6204000000000001</v>
      </c>
      <c r="C27" s="14" t="s">
        <v>71</v>
      </c>
      <c r="D27" s="13">
        <v>8.9765999999999995</v>
      </c>
      <c r="E27" s="14" t="s">
        <v>71</v>
      </c>
      <c r="F27" s="13">
        <v>7.5186000000000002</v>
      </c>
      <c r="G27" s="14" t="s">
        <v>71</v>
      </c>
      <c r="H27" s="13">
        <v>6.7103999999999999</v>
      </c>
      <c r="I27" s="14" t="s">
        <v>71</v>
      </c>
      <c r="J27" s="13">
        <v>6.7550999999999997</v>
      </c>
      <c r="K27" s="14" t="s">
        <v>71</v>
      </c>
      <c r="L27" s="13">
        <v>6.9596</v>
      </c>
      <c r="M27" s="14" t="s">
        <v>71</v>
      </c>
      <c r="N27" s="13">
        <v>7.7104999999999997</v>
      </c>
      <c r="O27" s="14" t="s">
        <v>71</v>
      </c>
      <c r="P27" s="13">
        <v>8.1402000000000001</v>
      </c>
      <c r="Q27" s="14" t="s">
        <v>71</v>
      </c>
      <c r="R27" s="13">
        <v>7.9789000000000003</v>
      </c>
      <c r="S27" s="14" t="s">
        <v>71</v>
      </c>
      <c r="T27" s="15">
        <v>7.4889999999999999</v>
      </c>
      <c r="U27" s="14" t="s">
        <v>71</v>
      </c>
    </row>
    <row r="28" spans="1:21" x14ac:dyDescent="0.35">
      <c r="A28" s="10" t="s">
        <v>99</v>
      </c>
      <c r="B28" s="16">
        <v>8.35</v>
      </c>
      <c r="C28" s="12" t="s">
        <v>71</v>
      </c>
      <c r="D28" s="16">
        <v>8</v>
      </c>
      <c r="E28" s="12" t="s">
        <v>71</v>
      </c>
      <c r="F28" s="16">
        <v>7.1</v>
      </c>
      <c r="G28" s="12" t="s">
        <v>71</v>
      </c>
      <c r="H28" s="16">
        <v>6.88</v>
      </c>
      <c r="I28" s="12" t="s">
        <v>71</v>
      </c>
      <c r="J28" s="11">
        <v>6.5892999999999997</v>
      </c>
      <c r="K28" s="12" t="s">
        <v>71</v>
      </c>
      <c r="L28" s="11">
        <v>7.3071999999999999</v>
      </c>
      <c r="M28" s="12" t="s">
        <v>71</v>
      </c>
      <c r="N28" s="11">
        <v>7.6837999999999997</v>
      </c>
      <c r="O28" s="12" t="s">
        <v>71</v>
      </c>
      <c r="P28" s="11">
        <v>8.2731999999999992</v>
      </c>
      <c r="Q28" s="12" t="s">
        <v>71</v>
      </c>
      <c r="R28" s="16">
        <v>7.3380000000000001</v>
      </c>
      <c r="S28" s="12" t="s">
        <v>71</v>
      </c>
      <c r="T28" s="11">
        <v>7.2576000000000001</v>
      </c>
      <c r="U28" s="12" t="s">
        <v>71</v>
      </c>
    </row>
    <row r="29" spans="1:21" x14ac:dyDescent="0.35">
      <c r="A29" s="10" t="s">
        <v>100</v>
      </c>
      <c r="B29" s="15">
        <v>7.7</v>
      </c>
      <c r="C29" s="14" t="s">
        <v>71</v>
      </c>
      <c r="D29" s="15">
        <v>6.96</v>
      </c>
      <c r="E29" s="14" t="s">
        <v>71</v>
      </c>
      <c r="F29" s="15">
        <v>6.41</v>
      </c>
      <c r="G29" s="14" t="s">
        <v>71</v>
      </c>
      <c r="H29" s="15">
        <v>7.09</v>
      </c>
      <c r="I29" s="14" t="s">
        <v>71</v>
      </c>
      <c r="J29" s="13">
        <v>7.5846999999999998</v>
      </c>
      <c r="K29" s="14" t="s">
        <v>71</v>
      </c>
      <c r="L29" s="13">
        <v>7.9386999999999999</v>
      </c>
      <c r="M29" s="14" t="s">
        <v>71</v>
      </c>
      <c r="N29" s="13">
        <v>8.6577000000000002</v>
      </c>
      <c r="O29" s="14" t="s">
        <v>71</v>
      </c>
      <c r="P29" s="13">
        <v>8.2971000000000004</v>
      </c>
      <c r="Q29" s="14" t="s">
        <v>71</v>
      </c>
      <c r="R29" s="13">
        <v>7.4501999999999997</v>
      </c>
      <c r="S29" s="14" t="s">
        <v>71</v>
      </c>
      <c r="T29" s="13">
        <v>6.8146000000000004</v>
      </c>
      <c r="U29" s="14" t="s">
        <v>71</v>
      </c>
    </row>
    <row r="30" spans="1:21" x14ac:dyDescent="0.35">
      <c r="A30" s="10" t="s">
        <v>101</v>
      </c>
      <c r="B30" s="16">
        <v>6.05</v>
      </c>
      <c r="C30" s="12" t="s">
        <v>71</v>
      </c>
      <c r="D30" s="16">
        <v>7.45</v>
      </c>
      <c r="E30" s="12" t="s">
        <v>71</v>
      </c>
      <c r="F30" s="16">
        <v>6.81</v>
      </c>
      <c r="G30" s="12" t="s">
        <v>71</v>
      </c>
      <c r="H30" s="16">
        <v>6.7</v>
      </c>
      <c r="I30" s="12" t="s">
        <v>71</v>
      </c>
      <c r="J30" s="11">
        <v>7.8455000000000004</v>
      </c>
      <c r="K30" s="12" t="s">
        <v>71</v>
      </c>
      <c r="L30" s="11">
        <v>7.9858000000000002</v>
      </c>
      <c r="M30" s="12" t="s">
        <v>71</v>
      </c>
      <c r="N30" s="11">
        <v>9.5015000000000001</v>
      </c>
      <c r="O30" s="12" t="s">
        <v>71</v>
      </c>
      <c r="P30" s="11">
        <v>7.7945000000000002</v>
      </c>
      <c r="Q30" s="12" t="s">
        <v>71</v>
      </c>
      <c r="R30" s="11">
        <v>6.2344999999999997</v>
      </c>
      <c r="S30" s="12" t="s">
        <v>71</v>
      </c>
      <c r="T30" s="11">
        <v>5.1462000000000003</v>
      </c>
      <c r="U30" s="12" t="s">
        <v>71</v>
      </c>
    </row>
    <row r="31" spans="1:21" x14ac:dyDescent="0.35">
      <c r="A31" s="10" t="s">
        <v>102</v>
      </c>
      <c r="B31" s="15">
        <v>9.9600000000000009</v>
      </c>
      <c r="C31" s="14" t="s">
        <v>71</v>
      </c>
      <c r="D31" s="15">
        <v>9.49</v>
      </c>
      <c r="E31" s="14" t="s">
        <v>71</v>
      </c>
      <c r="F31" s="15">
        <v>8.82</v>
      </c>
      <c r="G31" s="14" t="s">
        <v>71</v>
      </c>
      <c r="H31" s="15">
        <v>8.85</v>
      </c>
      <c r="I31" s="14" t="s">
        <v>71</v>
      </c>
      <c r="J31" s="13">
        <v>8.6146999999999991</v>
      </c>
      <c r="K31" s="14" t="s">
        <v>71</v>
      </c>
      <c r="L31" s="13">
        <v>8.7516999999999996</v>
      </c>
      <c r="M31" s="14" t="s">
        <v>71</v>
      </c>
      <c r="N31" s="13">
        <v>9.1155000000000008</v>
      </c>
      <c r="O31" s="14" t="s">
        <v>71</v>
      </c>
      <c r="P31" s="13">
        <v>9.1745999999999999</v>
      </c>
      <c r="Q31" s="14" t="s">
        <v>71</v>
      </c>
      <c r="R31" s="13">
        <v>7.8194999999999997</v>
      </c>
      <c r="S31" s="14" t="s">
        <v>71</v>
      </c>
      <c r="T31" s="13">
        <v>8.3124000000000002</v>
      </c>
      <c r="U31" s="14" t="s">
        <v>71</v>
      </c>
    </row>
    <row r="32" spans="1:21" x14ac:dyDescent="0.35">
      <c r="A32" s="10" t="s">
        <v>103</v>
      </c>
      <c r="B32" s="11">
        <v>8.8988999999999994</v>
      </c>
      <c r="C32" s="12" t="s">
        <v>71</v>
      </c>
      <c r="D32" s="11">
        <v>8.3145000000000007</v>
      </c>
      <c r="E32" s="12" t="s">
        <v>71</v>
      </c>
      <c r="F32" s="11">
        <v>7.0750999999999999</v>
      </c>
      <c r="G32" s="12" t="s">
        <v>71</v>
      </c>
      <c r="H32" s="11">
        <v>6.6197999999999997</v>
      </c>
      <c r="I32" s="12" t="s">
        <v>71</v>
      </c>
      <c r="J32" s="16">
        <v>6.3479999999999999</v>
      </c>
      <c r="K32" s="12" t="s">
        <v>71</v>
      </c>
      <c r="L32" s="11">
        <v>6.2831999999999999</v>
      </c>
      <c r="M32" s="12" t="s">
        <v>71</v>
      </c>
      <c r="N32" s="11">
        <v>7.4908000000000001</v>
      </c>
      <c r="O32" s="12" t="s">
        <v>71</v>
      </c>
      <c r="P32" s="11">
        <v>7.5669000000000004</v>
      </c>
      <c r="Q32" s="12" t="s">
        <v>71</v>
      </c>
      <c r="R32" s="11">
        <v>7.0823999999999998</v>
      </c>
      <c r="S32" s="12" t="s">
        <v>71</v>
      </c>
      <c r="T32" s="11">
        <v>6.8376000000000001</v>
      </c>
      <c r="U32" s="12" t="s">
        <v>71</v>
      </c>
    </row>
    <row r="33" spans="1:21" x14ac:dyDescent="0.35">
      <c r="A33" s="10" t="s">
        <v>104</v>
      </c>
      <c r="B33" s="15">
        <v>7.05</v>
      </c>
      <c r="C33" s="14" t="s">
        <v>71</v>
      </c>
      <c r="D33" s="15">
        <v>6.29</v>
      </c>
      <c r="E33" s="14" t="s">
        <v>71</v>
      </c>
      <c r="F33" s="15">
        <v>6.25</v>
      </c>
      <c r="G33" s="14" t="s">
        <v>71</v>
      </c>
      <c r="H33" s="15">
        <v>5.89</v>
      </c>
      <c r="I33" s="14" t="s">
        <v>71</v>
      </c>
      <c r="J33" s="13">
        <v>5.9321000000000002</v>
      </c>
      <c r="K33" s="14" t="s">
        <v>71</v>
      </c>
      <c r="L33" s="13">
        <v>6.0849000000000002</v>
      </c>
      <c r="M33" s="14" t="s">
        <v>71</v>
      </c>
      <c r="N33" s="13">
        <v>6.4965999999999999</v>
      </c>
      <c r="O33" s="14" t="s">
        <v>71</v>
      </c>
      <c r="P33" s="13">
        <v>6.1856</v>
      </c>
      <c r="Q33" s="14" t="s">
        <v>71</v>
      </c>
      <c r="R33" s="13">
        <v>5.9081999999999999</v>
      </c>
      <c r="S33" s="14" t="s">
        <v>71</v>
      </c>
      <c r="T33" s="13">
        <v>5.3364000000000003</v>
      </c>
      <c r="U33" s="14" t="s">
        <v>71</v>
      </c>
    </row>
    <row r="34" spans="1:21" x14ac:dyDescent="0.35">
      <c r="A34" s="10" t="s">
        <v>105</v>
      </c>
      <c r="B34" s="16">
        <v>8.19</v>
      </c>
      <c r="C34" s="12" t="s">
        <v>71</v>
      </c>
      <c r="D34" s="16">
        <v>7.45</v>
      </c>
      <c r="E34" s="12" t="s">
        <v>71</v>
      </c>
      <c r="F34" s="16">
        <v>7.61</v>
      </c>
      <c r="G34" s="12" t="s">
        <v>71</v>
      </c>
      <c r="H34" s="16">
        <v>7.43</v>
      </c>
      <c r="I34" s="12" t="s">
        <v>71</v>
      </c>
      <c r="J34" s="11">
        <v>7.4962999999999997</v>
      </c>
      <c r="K34" s="12" t="s">
        <v>71</v>
      </c>
      <c r="L34" s="11">
        <v>7.2728000000000002</v>
      </c>
      <c r="M34" s="12" t="s">
        <v>71</v>
      </c>
      <c r="N34" s="11">
        <v>7.6894</v>
      </c>
      <c r="O34" s="12" t="s">
        <v>71</v>
      </c>
      <c r="P34" s="11">
        <v>7.3743999999999996</v>
      </c>
      <c r="Q34" s="12" t="s">
        <v>71</v>
      </c>
      <c r="R34" s="11">
        <v>6.8933</v>
      </c>
      <c r="S34" s="12" t="s">
        <v>71</v>
      </c>
      <c r="T34" s="11">
        <v>6.6764999999999999</v>
      </c>
      <c r="U34" s="12" t="s">
        <v>71</v>
      </c>
    </row>
    <row r="35" spans="1:21" x14ac:dyDescent="0.35">
      <c r="A35" s="10" t="s">
        <v>106</v>
      </c>
      <c r="B35" s="13">
        <v>9.2317</v>
      </c>
      <c r="C35" s="14" t="s">
        <v>71</v>
      </c>
      <c r="D35" s="13">
        <v>7.3636999999999997</v>
      </c>
      <c r="E35" s="14" t="s">
        <v>71</v>
      </c>
      <c r="F35" s="13">
        <v>7.1064999999999996</v>
      </c>
      <c r="G35" s="14" t="s">
        <v>71</v>
      </c>
      <c r="H35" s="13">
        <v>7.4211999999999998</v>
      </c>
      <c r="I35" s="14" t="s">
        <v>71</v>
      </c>
      <c r="J35" s="13">
        <v>7.4813000000000001</v>
      </c>
      <c r="K35" s="14" t="s">
        <v>71</v>
      </c>
      <c r="L35" s="13">
        <v>8.2531999999999996</v>
      </c>
      <c r="M35" s="14" t="s">
        <v>71</v>
      </c>
      <c r="N35" s="13">
        <v>8.4412000000000003</v>
      </c>
      <c r="O35" s="14" t="s">
        <v>71</v>
      </c>
      <c r="P35" s="13">
        <v>9.3668999999999993</v>
      </c>
      <c r="Q35" s="14" t="s">
        <v>71</v>
      </c>
      <c r="R35" s="13">
        <v>9.0838999999999999</v>
      </c>
      <c r="S35" s="14" t="s">
        <v>71</v>
      </c>
      <c r="T35" s="13">
        <v>8.5372000000000003</v>
      </c>
      <c r="U35" s="14" t="s">
        <v>71</v>
      </c>
    </row>
    <row r="36" spans="1:21" x14ac:dyDescent="0.35">
      <c r="A36" s="10" t="s">
        <v>107</v>
      </c>
      <c r="B36" s="16">
        <v>10.39</v>
      </c>
      <c r="C36" s="12" t="s">
        <v>71</v>
      </c>
      <c r="D36" s="16">
        <v>9.24</v>
      </c>
      <c r="E36" s="12" t="s">
        <v>71</v>
      </c>
      <c r="F36" s="16">
        <v>7.52</v>
      </c>
      <c r="G36" s="12" t="s">
        <v>71</v>
      </c>
      <c r="H36" s="16">
        <v>7.52</v>
      </c>
      <c r="I36" s="12" t="s">
        <v>71</v>
      </c>
      <c r="J36" s="11">
        <v>7.3113000000000001</v>
      </c>
      <c r="K36" s="12" t="s">
        <v>71</v>
      </c>
      <c r="L36" s="11">
        <v>7.4047999999999998</v>
      </c>
      <c r="M36" s="12" t="s">
        <v>71</v>
      </c>
      <c r="N36" s="16">
        <v>8.0060000000000002</v>
      </c>
      <c r="O36" s="12" t="s">
        <v>71</v>
      </c>
      <c r="P36" s="11">
        <v>8.6290999999999993</v>
      </c>
      <c r="Q36" s="12" t="s">
        <v>71</v>
      </c>
      <c r="R36" s="11">
        <v>8.2773000000000003</v>
      </c>
      <c r="S36" s="12" t="s">
        <v>71</v>
      </c>
      <c r="T36" s="11">
        <v>7.3083</v>
      </c>
      <c r="U36" s="12" t="s">
        <v>71</v>
      </c>
    </row>
    <row r="37" spans="1:21" x14ac:dyDescent="0.35">
      <c r="A37" s="10" t="s">
        <v>108</v>
      </c>
      <c r="B37" s="13">
        <v>5.6401000000000003</v>
      </c>
      <c r="C37" s="14" t="s">
        <v>71</v>
      </c>
      <c r="D37" s="13">
        <v>5.3676000000000004</v>
      </c>
      <c r="E37" s="14" t="s">
        <v>71</v>
      </c>
      <c r="F37" s="13">
        <v>4.9824000000000002</v>
      </c>
      <c r="G37" s="14" t="s">
        <v>71</v>
      </c>
      <c r="H37" s="13">
        <v>7.1021000000000001</v>
      </c>
      <c r="I37" s="14" t="s">
        <v>95</v>
      </c>
      <c r="J37" s="13">
        <v>7.1041999999999996</v>
      </c>
      <c r="K37" s="14" t="s">
        <v>95</v>
      </c>
      <c r="L37" s="13">
        <v>7.1824000000000003</v>
      </c>
      <c r="M37" s="14" t="s">
        <v>95</v>
      </c>
      <c r="N37" s="13">
        <v>7.8103999999999996</v>
      </c>
      <c r="O37" s="14" t="s">
        <v>95</v>
      </c>
      <c r="P37" s="15">
        <v>8.6020000000000003</v>
      </c>
      <c r="Q37" s="14" t="s">
        <v>95</v>
      </c>
      <c r="R37" s="13">
        <v>8.5905000000000005</v>
      </c>
      <c r="S37" s="14" t="s">
        <v>95</v>
      </c>
      <c r="T37" s="15">
        <v>8.17</v>
      </c>
      <c r="U37" s="14" t="s">
        <v>95</v>
      </c>
    </row>
    <row r="38" spans="1:21" x14ac:dyDescent="0.35">
      <c r="A38" s="10" t="s">
        <v>109</v>
      </c>
      <c r="B38" s="16">
        <v>9.07</v>
      </c>
      <c r="C38" s="12" t="s">
        <v>71</v>
      </c>
      <c r="D38" s="16">
        <v>8.18</v>
      </c>
      <c r="E38" s="12" t="s">
        <v>71</v>
      </c>
      <c r="F38" s="16">
        <v>7.68</v>
      </c>
      <c r="G38" s="12" t="s">
        <v>71</v>
      </c>
      <c r="H38" s="16">
        <v>7.19</v>
      </c>
      <c r="I38" s="12" t="s">
        <v>71</v>
      </c>
      <c r="J38" s="11">
        <v>7.4481999999999999</v>
      </c>
      <c r="K38" s="12" t="s">
        <v>71</v>
      </c>
      <c r="L38" s="11">
        <v>7.6043000000000003</v>
      </c>
      <c r="M38" s="12" t="s">
        <v>71</v>
      </c>
      <c r="N38" s="11">
        <v>8.2096999999999998</v>
      </c>
      <c r="O38" s="12" t="s">
        <v>71</v>
      </c>
      <c r="P38" s="11">
        <v>8.5023999999999997</v>
      </c>
      <c r="Q38" s="12" t="s">
        <v>71</v>
      </c>
      <c r="R38" s="11">
        <v>7.8832000000000004</v>
      </c>
      <c r="S38" s="12" t="s">
        <v>71</v>
      </c>
      <c r="T38" s="11">
        <v>6.8560999999999996</v>
      </c>
      <c r="U38" s="12" t="s">
        <v>71</v>
      </c>
    </row>
    <row r="39" spans="1:21" x14ac:dyDescent="0.35">
      <c r="A39" s="10" t="s">
        <v>110</v>
      </c>
      <c r="B39" s="15">
        <v>9.26</v>
      </c>
      <c r="C39" s="14" t="s">
        <v>71</v>
      </c>
      <c r="D39" s="15">
        <v>8.11</v>
      </c>
      <c r="E39" s="14" t="s">
        <v>71</v>
      </c>
      <c r="F39" s="15">
        <v>8.3000000000000007</v>
      </c>
      <c r="G39" s="14" t="s">
        <v>71</v>
      </c>
      <c r="H39" s="13">
        <v>7.4748000000000001</v>
      </c>
      <c r="I39" s="14" t="s">
        <v>71</v>
      </c>
      <c r="J39" s="13">
        <v>7.7039</v>
      </c>
      <c r="K39" s="14" t="s">
        <v>71</v>
      </c>
      <c r="L39" s="15">
        <v>7.6680000000000001</v>
      </c>
      <c r="M39" s="14" t="s">
        <v>71</v>
      </c>
      <c r="N39" s="15">
        <v>8.1880000000000006</v>
      </c>
      <c r="O39" s="14" t="s">
        <v>71</v>
      </c>
      <c r="P39" s="15">
        <v>9.1349999999999998</v>
      </c>
      <c r="Q39" s="14" t="s">
        <v>71</v>
      </c>
      <c r="R39" s="15">
        <v>9.5540000000000003</v>
      </c>
      <c r="S39" s="14" t="s">
        <v>71</v>
      </c>
      <c r="T39" s="15">
        <v>8.1739999999999995</v>
      </c>
      <c r="U39" s="14" t="s">
        <v>71</v>
      </c>
    </row>
    <row r="40" spans="1:21" x14ac:dyDescent="0.35">
      <c r="A40" s="10" t="s">
        <v>111</v>
      </c>
      <c r="B40" s="16">
        <v>7.87</v>
      </c>
      <c r="C40" s="12" t="s">
        <v>71</v>
      </c>
      <c r="D40" s="16">
        <v>7.15</v>
      </c>
      <c r="E40" s="12" t="s">
        <v>71</v>
      </c>
      <c r="F40" s="16">
        <v>7.85</v>
      </c>
      <c r="G40" s="12" t="s">
        <v>71</v>
      </c>
      <c r="H40" s="16">
        <v>8.2100000000000009</v>
      </c>
      <c r="I40" s="12" t="s">
        <v>71</v>
      </c>
      <c r="J40" s="11">
        <v>10.134499999999999</v>
      </c>
      <c r="K40" s="12" t="s">
        <v>71</v>
      </c>
      <c r="L40" s="11">
        <v>10.6206</v>
      </c>
      <c r="M40" s="12" t="s">
        <v>71</v>
      </c>
      <c r="N40" s="11">
        <v>11.312200000000001</v>
      </c>
      <c r="O40" s="12" t="s">
        <v>71</v>
      </c>
      <c r="P40" s="16">
        <v>12.254</v>
      </c>
      <c r="Q40" s="12" t="s">
        <v>71</v>
      </c>
      <c r="R40" s="11">
        <v>10.2483</v>
      </c>
      <c r="S40" s="12" t="s">
        <v>71</v>
      </c>
      <c r="T40" s="11">
        <v>9.0647000000000002</v>
      </c>
      <c r="U40" s="12" t="s">
        <v>71</v>
      </c>
    </row>
    <row r="41" spans="1:21" x14ac:dyDescent="0.35">
      <c r="A41" s="10" t="s">
        <v>112</v>
      </c>
      <c r="B41" s="13">
        <v>9.1684999999999999</v>
      </c>
      <c r="C41" s="14" t="s">
        <v>71</v>
      </c>
      <c r="D41" s="13">
        <v>7.9259000000000004</v>
      </c>
      <c r="E41" s="14" t="s">
        <v>71</v>
      </c>
      <c r="F41" s="13">
        <v>8.3091000000000008</v>
      </c>
      <c r="G41" s="14" t="s">
        <v>71</v>
      </c>
      <c r="H41" s="13">
        <v>9.0821000000000005</v>
      </c>
      <c r="I41" s="14" t="s">
        <v>71</v>
      </c>
      <c r="J41" s="13">
        <v>10.5687</v>
      </c>
      <c r="K41" s="14" t="s">
        <v>71</v>
      </c>
      <c r="L41" s="13">
        <v>11.0479</v>
      </c>
      <c r="M41" s="14" t="s">
        <v>71</v>
      </c>
      <c r="N41" s="13">
        <v>11.0914</v>
      </c>
      <c r="O41" s="14" t="s">
        <v>71</v>
      </c>
      <c r="P41" s="13">
        <v>8.7466000000000008</v>
      </c>
      <c r="Q41" s="14" t="s">
        <v>71</v>
      </c>
      <c r="R41" s="13">
        <v>7.6768999999999998</v>
      </c>
      <c r="S41" s="14" t="s">
        <v>71</v>
      </c>
      <c r="T41" s="15">
        <v>8.6310000000000002</v>
      </c>
      <c r="U41" s="14" t="s">
        <v>95</v>
      </c>
    </row>
    <row r="42" spans="1:21" x14ac:dyDescent="0.35">
      <c r="A42" s="10" t="s">
        <v>113</v>
      </c>
      <c r="B42" s="11">
        <v>9.2818000000000005</v>
      </c>
      <c r="C42" s="12" t="s">
        <v>71</v>
      </c>
      <c r="D42" s="11">
        <v>7.6421999999999999</v>
      </c>
      <c r="E42" s="12" t="s">
        <v>71</v>
      </c>
      <c r="F42" s="11">
        <v>6.5278</v>
      </c>
      <c r="G42" s="12" t="s">
        <v>71</v>
      </c>
      <c r="H42" s="11">
        <v>6.5777999999999999</v>
      </c>
      <c r="I42" s="12" t="s">
        <v>71</v>
      </c>
      <c r="J42" s="11">
        <v>5.8750999999999998</v>
      </c>
      <c r="K42" s="12" t="s">
        <v>71</v>
      </c>
      <c r="L42" s="11">
        <v>6.8814000000000002</v>
      </c>
      <c r="M42" s="12" t="s">
        <v>71</v>
      </c>
      <c r="N42" s="11">
        <v>7.3917999999999999</v>
      </c>
      <c r="O42" s="12" t="s">
        <v>71</v>
      </c>
      <c r="P42" s="11">
        <v>7.2798999999999996</v>
      </c>
      <c r="Q42" s="12" t="s">
        <v>71</v>
      </c>
      <c r="R42" s="16">
        <v>7.05</v>
      </c>
      <c r="S42" s="12" t="s">
        <v>71</v>
      </c>
      <c r="T42" s="11">
        <v>6.9936999999999996</v>
      </c>
      <c r="U42" s="12" t="s">
        <v>71</v>
      </c>
    </row>
    <row r="43" spans="1:21" x14ac:dyDescent="0.35">
      <c r="A43" s="10" t="s">
        <v>114</v>
      </c>
      <c r="B43" s="13">
        <v>13.7963</v>
      </c>
      <c r="C43" s="14" t="s">
        <v>71</v>
      </c>
      <c r="D43" s="15">
        <v>12.098000000000001</v>
      </c>
      <c r="E43" s="14" t="s">
        <v>71</v>
      </c>
      <c r="F43" s="13">
        <v>10.808299999999999</v>
      </c>
      <c r="G43" s="14" t="s">
        <v>71</v>
      </c>
      <c r="H43" s="13">
        <v>10.057700000000001</v>
      </c>
      <c r="I43" s="14" t="s">
        <v>71</v>
      </c>
      <c r="J43" s="13">
        <v>9.7548999999999992</v>
      </c>
      <c r="K43" s="14" t="s">
        <v>71</v>
      </c>
      <c r="L43" s="13">
        <v>9.4742999999999995</v>
      </c>
      <c r="M43" s="14" t="s">
        <v>71</v>
      </c>
      <c r="N43" s="13">
        <v>12.3171</v>
      </c>
      <c r="O43" s="14" t="s">
        <v>71</v>
      </c>
      <c r="P43" s="13">
        <v>10.516400000000001</v>
      </c>
      <c r="Q43" s="14" t="s">
        <v>71</v>
      </c>
      <c r="R43" s="13">
        <v>10.434100000000001</v>
      </c>
      <c r="S43" s="14" t="s">
        <v>71</v>
      </c>
      <c r="T43" s="13">
        <v>11.1037</v>
      </c>
      <c r="U43" s="14" t="s">
        <v>71</v>
      </c>
    </row>
    <row r="44" spans="1:21" x14ac:dyDescent="0.35">
      <c r="A44" s="10" t="s">
        <v>115</v>
      </c>
      <c r="B44" s="11">
        <v>7.0244999999999997</v>
      </c>
      <c r="C44" s="12" t="s">
        <v>71</v>
      </c>
      <c r="D44" s="11">
        <v>6.2786999999999997</v>
      </c>
      <c r="E44" s="12" t="s">
        <v>71</v>
      </c>
      <c r="F44" s="11">
        <v>5.9081000000000001</v>
      </c>
      <c r="G44" s="12" t="s">
        <v>71</v>
      </c>
      <c r="H44" s="11">
        <v>7.2188999999999997</v>
      </c>
      <c r="I44" s="12" t="s">
        <v>71</v>
      </c>
      <c r="J44" s="11">
        <v>7.2461000000000002</v>
      </c>
      <c r="K44" s="12" t="s">
        <v>71</v>
      </c>
      <c r="L44" s="11">
        <v>7.5092999999999996</v>
      </c>
      <c r="M44" s="12" t="s">
        <v>71</v>
      </c>
      <c r="N44" s="11">
        <v>9.1214999999999993</v>
      </c>
      <c r="O44" s="12" t="s">
        <v>71</v>
      </c>
      <c r="P44" s="11">
        <v>8.9718</v>
      </c>
      <c r="Q44" s="12" t="s">
        <v>71</v>
      </c>
      <c r="R44" s="11">
        <v>8.8013999999999992</v>
      </c>
      <c r="S44" s="12" t="s">
        <v>71</v>
      </c>
      <c r="T44" s="11">
        <v>8.6262000000000008</v>
      </c>
      <c r="U44" s="12" t="s">
        <v>71</v>
      </c>
    </row>
    <row r="45" spans="1:21" x14ac:dyDescent="0.35">
      <c r="A45" s="10" t="s">
        <v>116</v>
      </c>
      <c r="B45" s="13">
        <v>10.0395</v>
      </c>
      <c r="C45" s="14" t="s">
        <v>71</v>
      </c>
      <c r="D45" s="13">
        <v>8.4032</v>
      </c>
      <c r="E45" s="14" t="s">
        <v>71</v>
      </c>
      <c r="F45" s="13">
        <v>8.3253000000000004</v>
      </c>
      <c r="G45" s="14" t="s">
        <v>71</v>
      </c>
      <c r="H45" s="13">
        <v>8.6167999999999996</v>
      </c>
      <c r="I45" s="14" t="s">
        <v>71</v>
      </c>
      <c r="J45" s="13">
        <v>8.5870999999999995</v>
      </c>
      <c r="K45" s="14" t="s">
        <v>71</v>
      </c>
      <c r="L45" s="13">
        <v>8.9075000000000006</v>
      </c>
      <c r="M45" s="14" t="s">
        <v>71</v>
      </c>
      <c r="N45" s="13">
        <v>10.432499999999999</v>
      </c>
      <c r="O45" s="14" t="s">
        <v>71</v>
      </c>
      <c r="P45" s="13">
        <v>10.846399999999999</v>
      </c>
      <c r="Q45" s="14" t="s">
        <v>71</v>
      </c>
      <c r="R45" s="13">
        <v>10.709199999999999</v>
      </c>
      <c r="S45" s="14" t="s">
        <v>71</v>
      </c>
      <c r="T45" s="13">
        <v>10.074199999999999</v>
      </c>
      <c r="U45" s="14" t="s">
        <v>71</v>
      </c>
    </row>
    <row r="46" spans="1:21" x14ac:dyDescent="0.35">
      <c r="A46" s="10" t="s">
        <v>117</v>
      </c>
      <c r="B46" s="11">
        <v>6.8251999999999997</v>
      </c>
      <c r="C46" s="12" t="s">
        <v>71</v>
      </c>
      <c r="D46" s="11">
        <v>6.6186999999999996</v>
      </c>
      <c r="E46" s="12" t="s">
        <v>71</v>
      </c>
      <c r="F46" s="11">
        <v>6.0605000000000002</v>
      </c>
      <c r="G46" s="12" t="s">
        <v>71</v>
      </c>
      <c r="H46" s="11">
        <v>5.0315000000000003</v>
      </c>
      <c r="I46" s="12" t="s">
        <v>71</v>
      </c>
      <c r="J46" s="11">
        <v>4.6597</v>
      </c>
      <c r="K46" s="12" t="s">
        <v>71</v>
      </c>
      <c r="L46" s="11">
        <v>4.7541000000000002</v>
      </c>
      <c r="M46" s="12" t="s">
        <v>71</v>
      </c>
      <c r="N46" s="16">
        <v>5.1340000000000003</v>
      </c>
      <c r="O46" s="12" t="s">
        <v>71</v>
      </c>
      <c r="P46" s="11">
        <v>5.7576999999999998</v>
      </c>
      <c r="Q46" s="12" t="s">
        <v>71</v>
      </c>
      <c r="R46" s="11">
        <v>6.5888</v>
      </c>
      <c r="S46" s="12" t="s">
        <v>71</v>
      </c>
      <c r="T46" s="11">
        <v>5.9961000000000002</v>
      </c>
      <c r="U46" s="12" t="s">
        <v>71</v>
      </c>
    </row>
    <row r="47" spans="1:21" x14ac:dyDescent="0.35">
      <c r="A47" s="10" t="s">
        <v>118</v>
      </c>
      <c r="B47" s="13">
        <v>11.2996</v>
      </c>
      <c r="C47" s="14" t="s">
        <v>71</v>
      </c>
      <c r="D47" s="13">
        <v>8.0784000000000002</v>
      </c>
      <c r="E47" s="14" t="s">
        <v>71</v>
      </c>
      <c r="F47" s="13">
        <v>6.8002000000000002</v>
      </c>
      <c r="G47" s="14" t="s">
        <v>71</v>
      </c>
      <c r="H47" s="13">
        <v>9.5356000000000005</v>
      </c>
      <c r="I47" s="14" t="s">
        <v>71</v>
      </c>
      <c r="J47" s="13">
        <v>9.9341000000000008</v>
      </c>
      <c r="K47" s="14" t="s">
        <v>71</v>
      </c>
      <c r="L47" s="13">
        <v>9.9003999999999994</v>
      </c>
      <c r="M47" s="14" t="s">
        <v>71</v>
      </c>
      <c r="N47" s="15">
        <v>9.9139999999999997</v>
      </c>
      <c r="O47" s="14" t="s">
        <v>71</v>
      </c>
      <c r="P47" s="13">
        <v>10.1953</v>
      </c>
      <c r="Q47" s="14" t="s">
        <v>71</v>
      </c>
      <c r="R47" s="13">
        <v>10.323499999999999</v>
      </c>
      <c r="S47" s="14" t="s">
        <v>71</v>
      </c>
      <c r="T47" s="13">
        <v>11.0284</v>
      </c>
      <c r="U47" s="14" t="s">
        <v>71</v>
      </c>
    </row>
    <row r="48" spans="1:21" x14ac:dyDescent="0.35">
      <c r="A48" s="10" t="s">
        <v>119</v>
      </c>
      <c r="B48" s="11">
        <v>7.5416999999999996</v>
      </c>
      <c r="C48" s="12" t="s">
        <v>71</v>
      </c>
      <c r="D48" s="11">
        <v>7.1185999999999998</v>
      </c>
      <c r="E48" s="12" t="s">
        <v>71</v>
      </c>
      <c r="F48" s="11">
        <v>7.0050999999999997</v>
      </c>
      <c r="G48" s="12" t="s">
        <v>71</v>
      </c>
      <c r="H48" s="11">
        <v>7.2927</v>
      </c>
      <c r="I48" s="12" t="s">
        <v>71</v>
      </c>
      <c r="J48" s="11">
        <v>7.3634000000000004</v>
      </c>
      <c r="K48" s="12" t="s">
        <v>71</v>
      </c>
      <c r="L48" s="11">
        <v>6.7206000000000001</v>
      </c>
      <c r="M48" s="12" t="s">
        <v>71</v>
      </c>
      <c r="N48" s="11">
        <v>6.7195999999999998</v>
      </c>
      <c r="O48" s="12" t="s">
        <v>71</v>
      </c>
      <c r="P48" s="11">
        <v>7.3501000000000003</v>
      </c>
      <c r="Q48" s="12" t="s">
        <v>71</v>
      </c>
      <c r="R48" s="11">
        <v>7.4097</v>
      </c>
      <c r="S48" s="12" t="s">
        <v>71</v>
      </c>
      <c r="T48" s="16">
        <v>7.3979999999999997</v>
      </c>
      <c r="U48" s="12" t="s">
        <v>71</v>
      </c>
    </row>
    <row r="49" spans="1:21" x14ac:dyDescent="0.35">
      <c r="A49" s="10" t="s">
        <v>120</v>
      </c>
      <c r="B49" s="14" t="s">
        <v>84</v>
      </c>
      <c r="C49" s="14" t="s">
        <v>71</v>
      </c>
      <c r="D49" s="14" t="s">
        <v>84</v>
      </c>
      <c r="E49" s="14" t="s">
        <v>71</v>
      </c>
      <c r="F49" s="13">
        <v>6.2756999999999996</v>
      </c>
      <c r="G49" s="14" t="s">
        <v>71</v>
      </c>
      <c r="H49" s="13">
        <v>7.2732999999999999</v>
      </c>
      <c r="I49" s="14" t="s">
        <v>71</v>
      </c>
      <c r="J49" s="13">
        <v>6.6460999999999997</v>
      </c>
      <c r="K49" s="14" t="s">
        <v>71</v>
      </c>
      <c r="L49" s="13">
        <v>6.8202999999999996</v>
      </c>
      <c r="M49" s="14" t="s">
        <v>71</v>
      </c>
      <c r="N49" s="13">
        <v>8.7079000000000004</v>
      </c>
      <c r="O49" s="14" t="s">
        <v>71</v>
      </c>
      <c r="P49" s="13">
        <v>7.1642999999999999</v>
      </c>
      <c r="Q49" s="14" t="s">
        <v>71</v>
      </c>
      <c r="R49" s="13">
        <v>5.5742000000000003</v>
      </c>
      <c r="S49" s="14" t="s">
        <v>71</v>
      </c>
      <c r="T49" s="15">
        <v>4.2910000000000004</v>
      </c>
      <c r="U49" s="14" t="s">
        <v>71</v>
      </c>
    </row>
    <row r="50" spans="1:21" x14ac:dyDescent="0.35">
      <c r="A50" s="10" t="s">
        <v>121</v>
      </c>
      <c r="B50" s="12" t="s">
        <v>84</v>
      </c>
      <c r="C50" s="12" t="s">
        <v>71</v>
      </c>
      <c r="D50" s="12" t="s">
        <v>84</v>
      </c>
      <c r="E50" s="12" t="s">
        <v>71</v>
      </c>
      <c r="F50" s="12" t="s">
        <v>84</v>
      </c>
      <c r="G50" s="12" t="s">
        <v>71</v>
      </c>
      <c r="H50" s="12" t="s">
        <v>84</v>
      </c>
      <c r="I50" s="12" t="s">
        <v>71</v>
      </c>
      <c r="J50" s="12" t="s">
        <v>84</v>
      </c>
      <c r="K50" s="12" t="s">
        <v>71</v>
      </c>
      <c r="L50" s="16">
        <v>5.93</v>
      </c>
      <c r="M50" s="12" t="s">
        <v>71</v>
      </c>
      <c r="N50" s="11">
        <v>6.1334999999999997</v>
      </c>
      <c r="O50" s="12" t="s">
        <v>71</v>
      </c>
      <c r="P50" s="11">
        <v>6.3814000000000002</v>
      </c>
      <c r="Q50" s="12" t="s">
        <v>71</v>
      </c>
      <c r="R50" s="11">
        <v>6.2991999999999999</v>
      </c>
      <c r="S50" s="12" t="s">
        <v>71</v>
      </c>
      <c r="T50" s="11">
        <v>5.9466000000000001</v>
      </c>
      <c r="U50" s="12" t="s">
        <v>71</v>
      </c>
    </row>
    <row r="52" spans="1:21" x14ac:dyDescent="0.35">
      <c r="A52" s="6" t="s">
        <v>122</v>
      </c>
    </row>
    <row r="53" spans="1:21" x14ac:dyDescent="0.35">
      <c r="A53" s="6" t="s">
        <v>84</v>
      </c>
      <c r="B53" s="4" t="s">
        <v>123</v>
      </c>
    </row>
    <row r="54" spans="1:21" x14ac:dyDescent="0.35">
      <c r="A54" s="6" t="s">
        <v>124</v>
      </c>
    </row>
    <row r="55" spans="1:21" x14ac:dyDescent="0.35">
      <c r="A55" s="6" t="s">
        <v>95</v>
      </c>
      <c r="B55" s="4" t="s">
        <v>125</v>
      </c>
    </row>
    <row r="56" spans="1:21" x14ac:dyDescent="0.35">
      <c r="A56" s="6" t="s">
        <v>94</v>
      </c>
      <c r="B56" s="4" t="s">
        <v>126</v>
      </c>
    </row>
  </sheetData>
  <mergeCells count="10"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B30" sqref="B30:B31"/>
    </sheetView>
  </sheetViews>
  <sheetFormatPr defaultRowHeight="14.5" x14ac:dyDescent="0.35"/>
  <cols>
    <col min="2" max="2" width="76.36328125" customWidth="1"/>
    <col min="3" max="3" width="37.08984375" bestFit="1" customWidth="1"/>
    <col min="4" max="4" width="19.36328125" customWidth="1"/>
  </cols>
  <sheetData>
    <row r="2" spans="2:4" x14ac:dyDescent="0.35">
      <c r="B2" s="1" t="s">
        <v>127</v>
      </c>
    </row>
    <row r="14" spans="2:4" x14ac:dyDescent="0.35">
      <c r="B14" s="2" t="s">
        <v>1</v>
      </c>
      <c r="C14" s="2" t="s">
        <v>13</v>
      </c>
      <c r="D14" s="2" t="s">
        <v>131</v>
      </c>
    </row>
    <row r="15" spans="2:4" x14ac:dyDescent="0.35">
      <c r="B15" s="42" t="s">
        <v>8</v>
      </c>
      <c r="C15" s="28" t="s">
        <v>5</v>
      </c>
      <c r="D15" s="29">
        <f>+Coefficients!C5*CEPCI!$C$23+Coefficients!D5*Natural_Gas_Price!$T$33</f>
        <v>0.13233899999999998</v>
      </c>
    </row>
    <row r="16" spans="2:4" x14ac:dyDescent="0.35">
      <c r="B16" s="42"/>
      <c r="C16" s="28" t="s">
        <v>133</v>
      </c>
      <c r="D16" s="29">
        <f>+Coefficients!C6*CEPCI!$C$23+Coefficients!D6*Natural_Gas_Price!$T$33</f>
        <v>0.1437504</v>
      </c>
    </row>
    <row r="17" spans="2:4" x14ac:dyDescent="0.35">
      <c r="B17" s="42"/>
      <c r="C17" s="28" t="s">
        <v>6</v>
      </c>
      <c r="D17" s="29">
        <f>+Coefficients!C7*CEPCI!$C$23+Coefficients!D7*Natural_Gas_Price!$T$33</f>
        <v>0.12552540000000001</v>
      </c>
    </row>
    <row r="18" spans="2:4" x14ac:dyDescent="0.35">
      <c r="B18" s="41" t="s">
        <v>9</v>
      </c>
      <c r="C18" s="3" t="s">
        <v>10</v>
      </c>
      <c r="D18" s="23" t="e">
        <f>+Coefficients!C8*CEPCI!$C$23+Coefficients!D8*Natural_Gas_Price!$T$33</f>
        <v>#DIV/0!</v>
      </c>
    </row>
    <row r="19" spans="2:4" x14ac:dyDescent="0.35">
      <c r="B19" s="41"/>
      <c r="C19" s="3" t="s">
        <v>11</v>
      </c>
      <c r="D19" s="23" t="e">
        <f>+Coefficients!C9*CEPCI!$C$23+Coefficients!D9*Natural_Gas_Price!$T$33</f>
        <v>#DIV/0!</v>
      </c>
    </row>
    <row r="20" spans="2:4" x14ac:dyDescent="0.35">
      <c r="B20" s="41" t="s">
        <v>34</v>
      </c>
      <c r="C20" s="3" t="s">
        <v>10</v>
      </c>
      <c r="D20" s="23">
        <f>+Coefficients!C10*CEPCI!$C$23+Coefficients!D10*Natural_Gas_Price!$T$33</f>
        <v>8.2608000000000001E-2</v>
      </c>
    </row>
    <row r="21" spans="2:4" x14ac:dyDescent="0.35">
      <c r="B21" s="41"/>
      <c r="C21" s="3" t="s">
        <v>11</v>
      </c>
      <c r="D21" s="23">
        <f>+Coefficients!C11*CEPCI!$C$23+Coefficients!D11*Natural_Gas_Price!$T$33</f>
        <v>7.6533000000000004E-2</v>
      </c>
    </row>
    <row r="22" spans="2:4" x14ac:dyDescent="0.35">
      <c r="B22" s="43" t="s">
        <v>35</v>
      </c>
      <c r="C22" s="32" t="s">
        <v>10</v>
      </c>
      <c r="D22" s="33">
        <f>+Coefficients!C12*CEPCI!$C$23+Coefficients!D12*Natural_Gas_Price!$T$33</f>
        <v>2.5067318108026121E-2</v>
      </c>
    </row>
    <row r="23" spans="2:4" x14ac:dyDescent="0.35">
      <c r="B23" s="43"/>
      <c r="C23" s="32" t="s">
        <v>11</v>
      </c>
      <c r="D23" s="33">
        <f>+Coefficients!C13*CEPCI!$C$23+Coefficients!D13*Natural_Gas_Price!$T$33</f>
        <v>2.4586051928968157E-2</v>
      </c>
    </row>
    <row r="24" spans="2:4" x14ac:dyDescent="0.35">
      <c r="B24" s="44" t="s">
        <v>36</v>
      </c>
      <c r="C24" s="30" t="s">
        <v>10</v>
      </c>
      <c r="D24" s="31">
        <f>+Coefficients!C14*CEPCI!$C$23+Coefficients!D14*Natural_Gas_Price!$T$33</f>
        <v>8.0559893289091355E-2</v>
      </c>
    </row>
    <row r="25" spans="2:4" x14ac:dyDescent="0.35">
      <c r="B25" s="44"/>
      <c r="C25" s="30" t="s">
        <v>11</v>
      </c>
      <c r="D25" s="31">
        <f>+Coefficients!C15*CEPCI!$C$23+Coefficients!D15*Natural_Gas_Price!$T$33</f>
        <v>6.1701444407576127E-2</v>
      </c>
    </row>
    <row r="26" spans="2:4" x14ac:dyDescent="0.35">
      <c r="B26" s="41" t="s">
        <v>37</v>
      </c>
      <c r="C26" s="3" t="s">
        <v>10</v>
      </c>
      <c r="D26" s="23" t="e">
        <f>+Coefficients!C16*CEPCI!$C$23+Coefficients!D16*Natural_Gas_Price!$T$33</f>
        <v>#DIV/0!</v>
      </c>
    </row>
    <row r="27" spans="2:4" x14ac:dyDescent="0.35">
      <c r="B27" s="41"/>
      <c r="C27" s="3" t="s">
        <v>11</v>
      </c>
      <c r="D27" s="23" t="e">
        <f>+Coefficients!C17*CEPCI!$C$23+Coefficients!D17*Natural_Gas_Price!$T$33</f>
        <v>#DIV/0!</v>
      </c>
    </row>
    <row r="28" spans="2:4" x14ac:dyDescent="0.35">
      <c r="B28" s="41" t="s">
        <v>38</v>
      </c>
      <c r="C28" s="3" t="s">
        <v>10</v>
      </c>
      <c r="D28" s="23" t="e">
        <f>+Coefficients!C18*CEPCI!$C$23+Coefficients!D18*Natural_Gas_Price!$T$33</f>
        <v>#DIV/0!</v>
      </c>
    </row>
    <row r="29" spans="2:4" x14ac:dyDescent="0.35">
      <c r="B29" s="41"/>
      <c r="C29" s="3" t="s">
        <v>11</v>
      </c>
      <c r="D29" s="23" t="e">
        <f>+Coefficients!C19*CEPCI!$C$23+Coefficients!D19*Natural_Gas_Price!$T$33</f>
        <v>#DIV/0!</v>
      </c>
    </row>
    <row r="30" spans="2:4" x14ac:dyDescent="0.35">
      <c r="B30" s="45" t="s">
        <v>39</v>
      </c>
      <c r="C30" s="34" t="s">
        <v>10</v>
      </c>
      <c r="D30" s="35">
        <f>+Coefficients!C20*CEPCI!$C$23+Coefficients!D20*Natural_Gas_Price!$T$33</f>
        <v>8.6508993757955094E-2</v>
      </c>
    </row>
    <row r="31" spans="2:4" x14ac:dyDescent="0.35">
      <c r="B31" s="45"/>
      <c r="C31" s="34" t="s">
        <v>11</v>
      </c>
      <c r="D31" s="35">
        <f>+Coefficients!C21*CEPCI!$C$23+Coefficients!D21*Natural_Gas_Price!$T$33</f>
        <v>6.5034062505303386E-2</v>
      </c>
    </row>
    <row r="32" spans="2:4" x14ac:dyDescent="0.35">
      <c r="B32" s="41" t="s">
        <v>40</v>
      </c>
      <c r="C32" s="3" t="s">
        <v>10</v>
      </c>
      <c r="D32" s="23" t="e">
        <f>+Coefficients!C22*CEPCI!$C$23+Coefficients!D22*Natural_Gas_Price!$T$33</f>
        <v>#DIV/0!</v>
      </c>
    </row>
    <row r="33" spans="2:4" x14ac:dyDescent="0.35">
      <c r="B33" s="41"/>
      <c r="C33" s="3" t="s">
        <v>11</v>
      </c>
      <c r="D33" s="23" t="e">
        <f>+Coefficients!C23*CEPCI!$C$23+Coefficients!D23*Natural_Gas_Price!$T$33</f>
        <v>#DIV/0!</v>
      </c>
    </row>
    <row r="34" spans="2:4" x14ac:dyDescent="0.35">
      <c r="B34" s="46" t="s">
        <v>41</v>
      </c>
      <c r="C34" s="36" t="s">
        <v>10</v>
      </c>
      <c r="D34" s="37">
        <f>+Coefficients!C24*CEPCI!$C$23+Coefficients!D24*Natural_Gas_Price!$T$33</f>
        <v>5.2678592646665439E-5</v>
      </c>
    </row>
    <row r="35" spans="2:4" x14ac:dyDescent="0.35">
      <c r="B35" s="46"/>
      <c r="C35" s="36" t="s">
        <v>11</v>
      </c>
      <c r="D35" s="37">
        <f>+Coefficients!C25*CEPCI!$C$23+Coefficients!D25*Natural_Gas_Price!$T$33</f>
        <v>4.6339824685526064E-5</v>
      </c>
    </row>
    <row r="36" spans="2:4" x14ac:dyDescent="0.35">
      <c r="B36" s="41" t="s">
        <v>42</v>
      </c>
      <c r="C36" s="3" t="s">
        <v>10</v>
      </c>
      <c r="D36" s="23" t="e">
        <f>+Coefficients!C26*CEPCI!$C$23+Coefficients!D26*Natural_Gas_Price!$T$33</f>
        <v>#DIV/0!</v>
      </c>
    </row>
    <row r="37" spans="2:4" x14ac:dyDescent="0.35">
      <c r="B37" s="41"/>
      <c r="C37" s="3" t="s">
        <v>11</v>
      </c>
      <c r="D37" s="23" t="e">
        <f>+Coefficients!C27*CEPCI!$C$23+Coefficients!D27*Natural_Gas_Price!$T$33</f>
        <v>#DIV/0!</v>
      </c>
    </row>
    <row r="38" spans="2:4" x14ac:dyDescent="0.35">
      <c r="B38" s="41" t="s">
        <v>43</v>
      </c>
      <c r="C38" s="3" t="s">
        <v>10</v>
      </c>
      <c r="D38" s="23" t="e">
        <f>+Coefficients!C28*CEPCI!$C$23+Coefficients!D28*Natural_Gas_Price!$T$33</f>
        <v>#DIV/0!</v>
      </c>
    </row>
    <row r="39" spans="2:4" x14ac:dyDescent="0.35">
      <c r="B39" s="41"/>
      <c r="C39" s="3" t="s">
        <v>11</v>
      </c>
      <c r="D39" s="23" t="e">
        <f>+Coefficients!C29*CEPCI!$C$23+Coefficients!D29*Natural_Gas_Price!$T$33</f>
        <v>#DIV/0!</v>
      </c>
    </row>
    <row r="40" spans="2:4" x14ac:dyDescent="0.35">
      <c r="B40" s="41" t="s">
        <v>44</v>
      </c>
      <c r="C40" s="3" t="s">
        <v>10</v>
      </c>
      <c r="D40" s="23" t="e">
        <f>+Coefficients!C30*CEPCI!$C$23+Coefficients!D30*Natural_Gas_Price!$T$33</f>
        <v>#DIV/0!</v>
      </c>
    </row>
    <row r="41" spans="2:4" x14ac:dyDescent="0.35">
      <c r="B41" s="41"/>
      <c r="C41" s="3" t="s">
        <v>11</v>
      </c>
      <c r="D41" s="23" t="e">
        <f>+Coefficients!C31*CEPCI!$C$23+Coefficients!D31*Natural_Gas_Price!$T$33</f>
        <v>#DIV/0!</v>
      </c>
    </row>
    <row r="42" spans="2:4" x14ac:dyDescent="0.35">
      <c r="B42" s="41" t="s">
        <v>45</v>
      </c>
      <c r="C42" s="3" t="s">
        <v>10</v>
      </c>
      <c r="D42" s="23">
        <f>+Coefficients!C32*CEPCI!$C$23+Coefficients!D32*Natural_Gas_Price!$T$33</f>
        <v>0.24300000000000002</v>
      </c>
    </row>
    <row r="43" spans="2:4" x14ac:dyDescent="0.35">
      <c r="B43" s="41"/>
      <c r="C43" s="3" t="s">
        <v>11</v>
      </c>
      <c r="D43" s="23">
        <f>+Coefficients!C33*CEPCI!$C$23+Coefficients!D33*Natural_Gas_Price!$T$33</f>
        <v>0.18225</v>
      </c>
    </row>
    <row r="44" spans="2:4" x14ac:dyDescent="0.35">
      <c r="B44" s="41" t="s">
        <v>46</v>
      </c>
      <c r="C44" s="3" t="s">
        <v>10</v>
      </c>
      <c r="D44" s="23">
        <f>+Coefficients!C34*CEPCI!$C$23+Coefficients!D34*Natural_Gas_Price!$T$33</f>
        <v>1.51875</v>
      </c>
    </row>
    <row r="45" spans="2:4" x14ac:dyDescent="0.35">
      <c r="B45" s="41"/>
      <c r="C45" s="3" t="s">
        <v>11</v>
      </c>
      <c r="D45" s="23">
        <f>+Coefficients!C35*CEPCI!$C$23+Coefficients!D35*Natural_Gas_Price!$T$33</f>
        <v>1.2150000000000001</v>
      </c>
    </row>
    <row r="46" spans="2:4" x14ac:dyDescent="0.35">
      <c r="B46" s="41" t="s">
        <v>47</v>
      </c>
      <c r="C46" s="3" t="s">
        <v>10</v>
      </c>
      <c r="D46" s="23" t="e">
        <f>+Coefficients!C36*CEPCI!$C$23+Coefficients!D36*Natural_Gas_Price!$T$33</f>
        <v>#DIV/0!</v>
      </c>
    </row>
    <row r="47" spans="2:4" x14ac:dyDescent="0.35">
      <c r="B47" s="41"/>
      <c r="C47" s="3" t="s">
        <v>11</v>
      </c>
      <c r="D47" s="23" t="e">
        <f>+Coefficients!C37*CEPCI!$C$23+Coefficients!D37*Natural_Gas_Price!$T$33</f>
        <v>#DIV/0!</v>
      </c>
    </row>
    <row r="48" spans="2:4" x14ac:dyDescent="0.35">
      <c r="B48" s="41" t="s">
        <v>48</v>
      </c>
      <c r="C48" s="3" t="s">
        <v>10</v>
      </c>
      <c r="D48" s="23" t="e">
        <f>+Coefficients!C38*CEPCI!$C$23+Coefficients!D38*Natural_Gas_Price!$T$33</f>
        <v>#DIV/0!</v>
      </c>
    </row>
    <row r="49" spans="2:4" x14ac:dyDescent="0.35">
      <c r="B49" s="41"/>
      <c r="C49" s="3" t="s">
        <v>11</v>
      </c>
      <c r="D49" s="23" t="e">
        <f>+Coefficients!C39*CEPCI!$C$23+Coefficients!D39*Natural_Gas_Price!$T$33</f>
        <v>#DIV/0!</v>
      </c>
    </row>
  </sheetData>
  <mergeCells count="17">
    <mergeCell ref="B28:B29"/>
    <mergeCell ref="B30:B31"/>
    <mergeCell ref="B32:B33"/>
    <mergeCell ref="B34:B35"/>
    <mergeCell ref="B26:B27"/>
    <mergeCell ref="B15:B17"/>
    <mergeCell ref="B18:B19"/>
    <mergeCell ref="B20:B21"/>
    <mergeCell ref="B22:B23"/>
    <mergeCell ref="B24:B25"/>
    <mergeCell ref="B48:B49"/>
    <mergeCell ref="B36:B37"/>
    <mergeCell ref="B38:B39"/>
    <mergeCell ref="B40:B41"/>
    <mergeCell ref="B42:B43"/>
    <mergeCell ref="B44:B45"/>
    <mergeCell ref="B46:B4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Coefficients</vt:lpstr>
      <vt:lpstr>CEPCI</vt:lpstr>
      <vt:lpstr>Natural_Gas_Price</vt:lpstr>
      <vt:lpstr>Utility_Costs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Velásquez, Carlos (SCI)</dc:creator>
  <cp:lastModifiedBy>García Velásquez, Carlos (SCI)</cp:lastModifiedBy>
  <dcterms:created xsi:type="dcterms:W3CDTF">2021-02-03T15:08:30Z</dcterms:created>
  <dcterms:modified xsi:type="dcterms:W3CDTF">2021-02-07T18:46:26Z</dcterms:modified>
</cp:coreProperties>
</file>