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.amaya\Dropbox\Cursos 2024-2\1- Calidad 2024\Magistrales\"/>
    </mc:Choice>
  </mc:AlternateContent>
  <xr:revisionPtr revIDLastSave="0" documentId="13_ncr:1_{B598957B-1123-46A5-B6AC-E1E8181C5F2F}" xr6:coauthVersionLast="47" xr6:coauthVersionMax="47" xr10:uidLastSave="{00000000-0000-0000-0000-000000000000}"/>
  <bookViews>
    <workbookView xWindow="-120" yWindow="-120" windowWidth="30960" windowHeight="16800" xr2:uid="{00000000-000D-0000-FFFF-FFFF00000000}"/>
  </bookViews>
  <sheets>
    <sheet name="Diseño" sheetId="1" r:id="rId1"/>
    <sheet name="Efectos" sheetId="2" r:id="rId2"/>
    <sheet name="AnovaT" sheetId="6" r:id="rId3"/>
    <sheet name="Anov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0" i="1" l="1"/>
  <c r="U21" i="1"/>
  <c r="U22" i="1"/>
  <c r="U23" i="1"/>
  <c r="S5" i="1"/>
  <c r="T5" i="1" s="1"/>
  <c r="S6" i="1"/>
  <c r="T6" i="1" s="1"/>
  <c r="S7" i="1"/>
  <c r="T7" i="1" s="1"/>
  <c r="S8" i="1"/>
  <c r="T8" i="1" s="1"/>
  <c r="S9" i="1"/>
  <c r="T9" i="1" s="1"/>
  <c r="S10" i="1"/>
  <c r="T10" i="1" s="1"/>
  <c r="S11" i="1"/>
  <c r="T11" i="1" s="1"/>
  <c r="S12" i="1"/>
  <c r="T12" i="1" s="1"/>
  <c r="S13" i="1"/>
  <c r="T13" i="1" s="1"/>
  <c r="S14" i="1"/>
  <c r="T14" i="1" s="1"/>
  <c r="S15" i="1"/>
  <c r="T15" i="1" s="1"/>
  <c r="S16" i="1"/>
  <c r="T16" i="1" s="1"/>
  <c r="S17" i="1"/>
  <c r="T17" i="1" s="1"/>
  <c r="S18" i="1"/>
  <c r="T18" i="1" s="1"/>
  <c r="S19" i="1"/>
  <c r="T19" i="1" s="1"/>
  <c r="S4" i="1"/>
  <c r="T4" i="1" s="1"/>
  <c r="A36" i="2" l="1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V32" i="1" l="1"/>
  <c r="Q31" i="1"/>
  <c r="Q30" i="1"/>
  <c r="Q28" i="1"/>
  <c r="Q23" i="1"/>
  <c r="P23" i="1"/>
  <c r="R5" i="1" l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4" i="1" l="1"/>
  <c r="Q22" i="1"/>
  <c r="Q21" i="1"/>
  <c r="C3" i="2"/>
  <c r="D21" i="6" s="1"/>
  <c r="D21" i="3" s="1"/>
  <c r="A1" i="2"/>
  <c r="R30" i="1" l="1"/>
  <c r="R28" i="1"/>
  <c r="R31" i="1"/>
  <c r="R23" i="1"/>
  <c r="R21" i="1"/>
  <c r="R22" i="1"/>
  <c r="S22" i="1"/>
  <c r="S23" i="1"/>
  <c r="S21" i="1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5" i="6"/>
  <c r="D20" i="6" l="1"/>
  <c r="S31" i="1"/>
  <c r="S30" i="1"/>
  <c r="S28" i="1"/>
  <c r="D15" i="3"/>
  <c r="D16" i="3"/>
  <c r="D17" i="3"/>
  <c r="D18" i="3"/>
  <c r="D19" i="3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16" i="2"/>
  <c r="E22" i="2"/>
  <c r="E19" i="2"/>
  <c r="E16" i="2"/>
  <c r="E26" i="2" l="1"/>
  <c r="E29" i="2"/>
  <c r="E21" i="2"/>
  <c r="E30" i="2"/>
  <c r="E28" i="2"/>
  <c r="E24" i="2"/>
  <c r="E20" i="2"/>
  <c r="E17" i="2"/>
  <c r="E25" i="2"/>
  <c r="E27" i="2"/>
  <c r="E23" i="2"/>
  <c r="E18" i="2"/>
  <c r="T30" i="1"/>
  <c r="T31" i="1"/>
  <c r="T22" i="1"/>
  <c r="T23" i="1"/>
  <c r="T21" i="1"/>
  <c r="T28" i="1"/>
  <c r="Q6" i="2" l="1"/>
  <c r="Q12" i="2" s="1"/>
  <c r="N6" i="2"/>
  <c r="N12" i="2" s="1"/>
  <c r="O6" i="2"/>
  <c r="O12" i="2" s="1"/>
  <c r="P6" i="2"/>
  <c r="P12" i="2" s="1"/>
  <c r="F6" i="2"/>
  <c r="F12" i="2" s="1"/>
  <c r="G6" i="2"/>
  <c r="G12" i="2" s="1"/>
  <c r="H6" i="2"/>
  <c r="H12" i="2" s="1"/>
  <c r="I6" i="2"/>
  <c r="I12" i="2" s="1"/>
  <c r="J6" i="2"/>
  <c r="J12" i="2" s="1"/>
  <c r="K6" i="2"/>
  <c r="K12" i="2" s="1"/>
  <c r="L6" i="2"/>
  <c r="L12" i="2" s="1"/>
  <c r="M6" i="2"/>
  <c r="M12" i="2" s="1"/>
  <c r="B19" i="3"/>
  <c r="B14" i="3"/>
  <c r="B17" i="3"/>
  <c r="B18" i="3"/>
  <c r="B6" i="3"/>
  <c r="B9" i="3"/>
  <c r="B7" i="3"/>
  <c r="B10" i="3"/>
  <c r="B12" i="3"/>
  <c r="B15" i="3"/>
  <c r="B8" i="3"/>
  <c r="B11" i="3"/>
  <c r="B13" i="3"/>
  <c r="B16" i="3"/>
  <c r="B5" i="3"/>
  <c r="D6" i="2"/>
  <c r="D12" i="2" s="1"/>
  <c r="E6" i="2"/>
  <c r="E12" i="2" s="1"/>
  <c r="C6" i="2"/>
  <c r="L5" i="1"/>
  <c r="L6" i="1"/>
  <c r="L9" i="1"/>
  <c r="L10" i="1"/>
  <c r="L13" i="1"/>
  <c r="L14" i="1"/>
  <c r="L17" i="1"/>
  <c r="L18" i="1"/>
  <c r="L7" i="1"/>
  <c r="L8" i="1"/>
  <c r="L11" i="1"/>
  <c r="L12" i="1"/>
  <c r="L15" i="1"/>
  <c r="L16" i="1"/>
  <c r="L19" i="1"/>
  <c r="O4" i="1"/>
  <c r="N4" i="1"/>
  <c r="L4" i="1"/>
  <c r="M4" i="1"/>
  <c r="K4" i="1"/>
  <c r="J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F4" i="1"/>
  <c r="D4" i="1"/>
  <c r="AA4" i="1" l="1"/>
  <c r="X4" i="1"/>
  <c r="Y4" i="1" s="1"/>
  <c r="C12" i="2"/>
  <c r="D11" i="3"/>
  <c r="D10" i="3"/>
  <c r="D9" i="3"/>
  <c r="D14" i="3"/>
  <c r="D13" i="3"/>
  <c r="D8" i="3"/>
  <c r="D12" i="3"/>
  <c r="D7" i="3"/>
  <c r="D6" i="3"/>
  <c r="G4" i="1"/>
  <c r="P4" i="1"/>
  <c r="AB4" i="1" s="1"/>
  <c r="H4" i="1"/>
  <c r="AC4" i="1" l="1"/>
  <c r="U4" i="1" s="1"/>
  <c r="V4" i="1" s="1"/>
  <c r="D5" i="3"/>
  <c r="D20" i="3" s="1"/>
  <c r="C16" i="3" l="1"/>
  <c r="E16" i="3" l="1"/>
  <c r="H8" i="1" l="1"/>
  <c r="G8" i="1"/>
  <c r="P8" i="1"/>
  <c r="AB8" i="1" s="1"/>
  <c r="N8" i="1"/>
  <c r="F8" i="1"/>
  <c r="O8" i="1"/>
  <c r="M8" i="1"/>
  <c r="H12" i="1"/>
  <c r="O12" i="1"/>
  <c r="G12" i="1"/>
  <c r="N12" i="1"/>
  <c r="P12" i="1"/>
  <c r="AB12" i="1" s="1"/>
  <c r="M12" i="1"/>
  <c r="F12" i="1"/>
  <c r="H16" i="1"/>
  <c r="M16" i="1"/>
  <c r="P16" i="1"/>
  <c r="AB16" i="1" s="1"/>
  <c r="N16" i="1"/>
  <c r="F16" i="1"/>
  <c r="O16" i="1"/>
  <c r="G16" i="1"/>
  <c r="H5" i="1"/>
  <c r="F5" i="1"/>
  <c r="M5" i="1"/>
  <c r="P5" i="1"/>
  <c r="AB5" i="1" s="1"/>
  <c r="N5" i="1"/>
  <c r="G5" i="1"/>
  <c r="O5" i="1"/>
  <c r="H6" i="1"/>
  <c r="M6" i="1"/>
  <c r="G6" i="1"/>
  <c r="P6" i="1"/>
  <c r="AB6" i="1" s="1"/>
  <c r="N6" i="1"/>
  <c r="F6" i="1"/>
  <c r="O6" i="1"/>
  <c r="H7" i="1"/>
  <c r="O7" i="1"/>
  <c r="F7" i="1"/>
  <c r="G7" i="1"/>
  <c r="P7" i="1"/>
  <c r="AB7" i="1" s="1"/>
  <c r="M7" i="1"/>
  <c r="N7" i="1"/>
  <c r="A7" i="1"/>
  <c r="G9" i="1"/>
  <c r="F9" i="1"/>
  <c r="N9" i="1"/>
  <c r="M9" i="1"/>
  <c r="H9" i="1"/>
  <c r="P9" i="1"/>
  <c r="AB9" i="1" s="1"/>
  <c r="O9" i="1"/>
  <c r="F10" i="1"/>
  <c r="M10" i="1"/>
  <c r="H10" i="1"/>
  <c r="P10" i="1"/>
  <c r="AB10" i="1" s="1"/>
  <c r="G10" i="1"/>
  <c r="O10" i="1"/>
  <c r="N10" i="1"/>
  <c r="F11" i="1"/>
  <c r="H11" i="1"/>
  <c r="P11" i="1"/>
  <c r="AB11" i="1" s="1"/>
  <c r="G11" i="1"/>
  <c r="O11" i="1"/>
  <c r="N11" i="1"/>
  <c r="M11" i="1"/>
  <c r="H13" i="1"/>
  <c r="P13" i="1"/>
  <c r="AB13" i="1" s="1"/>
  <c r="O13" i="1"/>
  <c r="G13" i="1"/>
  <c r="N13" i="1"/>
  <c r="M13" i="1"/>
  <c r="F13" i="1"/>
  <c r="H14" i="1"/>
  <c r="O14" i="1"/>
  <c r="F14" i="1"/>
  <c r="P14" i="1"/>
  <c r="AB14" i="1" s="1"/>
  <c r="M14" i="1"/>
  <c r="N14" i="1"/>
  <c r="G14" i="1"/>
  <c r="H15" i="1"/>
  <c r="O15" i="1"/>
  <c r="P15" i="1"/>
  <c r="AB15" i="1" s="1"/>
  <c r="M15" i="1"/>
  <c r="N15" i="1"/>
  <c r="F15" i="1"/>
  <c r="G15" i="1"/>
  <c r="A15" i="1"/>
  <c r="G17" i="1"/>
  <c r="O17" i="1"/>
  <c r="H17" i="1"/>
  <c r="P17" i="1"/>
  <c r="AB17" i="1" s="1"/>
  <c r="N17" i="1"/>
  <c r="M17" i="1"/>
  <c r="F17" i="1"/>
  <c r="F18" i="1"/>
  <c r="M18" i="1"/>
  <c r="H18" i="1"/>
  <c r="G18" i="1"/>
  <c r="O18" i="1"/>
  <c r="N18" i="1"/>
  <c r="P18" i="1"/>
  <c r="AB18" i="1" s="1"/>
  <c r="M19" i="1"/>
  <c r="H19" i="1"/>
  <c r="N19" i="1"/>
  <c r="G19" i="1"/>
  <c r="F19" i="1"/>
  <c r="P19" i="1"/>
  <c r="AB19" i="1" s="1"/>
  <c r="O19" i="1"/>
  <c r="A11" i="1"/>
  <c r="A19" i="1"/>
  <c r="A10" i="1"/>
  <c r="A13" i="1"/>
  <c r="A8" i="1"/>
  <c r="A6" i="1"/>
  <c r="A14" i="1"/>
  <c r="A5" i="1"/>
  <c r="A12" i="1"/>
  <c r="A17" i="1"/>
  <c r="A16" i="1"/>
  <c r="A18" i="1"/>
  <c r="A9" i="1"/>
  <c r="AA17" i="1" l="1"/>
  <c r="AC17" i="1" s="1"/>
  <c r="X17" i="1"/>
  <c r="Y17" i="1" s="1"/>
  <c r="AA15" i="1"/>
  <c r="AC15" i="1" s="1"/>
  <c r="X15" i="1"/>
  <c r="Y15" i="1" s="1"/>
  <c r="AA5" i="1"/>
  <c r="AC5" i="1" s="1"/>
  <c r="X5" i="1"/>
  <c r="Y5" i="1" s="1"/>
  <c r="AA19" i="1"/>
  <c r="AC19" i="1" s="1"/>
  <c r="X19" i="1"/>
  <c r="Y19" i="1" s="1"/>
  <c r="AA13" i="1"/>
  <c r="AC13" i="1" s="1"/>
  <c r="X13" i="1"/>
  <c r="Y13" i="1" s="1"/>
  <c r="AA6" i="1"/>
  <c r="AC6" i="1" s="1"/>
  <c r="X6" i="1"/>
  <c r="Y6" i="1" s="1"/>
  <c r="X18" i="1"/>
  <c r="Y18" i="1" s="1"/>
  <c r="AA18" i="1"/>
  <c r="AC18" i="1" s="1"/>
  <c r="AA11" i="1"/>
  <c r="AC11" i="1" s="1"/>
  <c r="X11" i="1"/>
  <c r="Y11" i="1" s="1"/>
  <c r="AA9" i="1"/>
  <c r="AC9" i="1" s="1"/>
  <c r="X9" i="1"/>
  <c r="Y9" i="1" s="1"/>
  <c r="AA8" i="1"/>
  <c r="AC8" i="1" s="1"/>
  <c r="X8" i="1"/>
  <c r="Y8" i="1" s="1"/>
  <c r="AA10" i="1"/>
  <c r="AC10" i="1" s="1"/>
  <c r="X10" i="1"/>
  <c r="Y10" i="1" s="1"/>
  <c r="AA16" i="1"/>
  <c r="AC16" i="1" s="1"/>
  <c r="X16" i="1"/>
  <c r="Y16" i="1" s="1"/>
  <c r="AA14" i="1"/>
  <c r="AC14" i="1" s="1"/>
  <c r="X14" i="1"/>
  <c r="Y14" i="1" s="1"/>
  <c r="AA7" i="1"/>
  <c r="AC7" i="1" s="1"/>
  <c r="X7" i="1"/>
  <c r="Y7" i="1" s="1"/>
  <c r="AA12" i="1"/>
  <c r="AC12" i="1" s="1"/>
  <c r="X12" i="1"/>
  <c r="Y12" i="1" s="1"/>
  <c r="U7" i="1" l="1"/>
  <c r="V7" i="1" s="1"/>
  <c r="U16" i="1"/>
  <c r="V16" i="1" s="1"/>
  <c r="U8" i="1"/>
  <c r="V8" i="1" s="1"/>
  <c r="U11" i="1"/>
  <c r="V11" i="1" s="1"/>
  <c r="U6" i="1"/>
  <c r="V6" i="1" s="1"/>
  <c r="U19" i="1"/>
  <c r="V19" i="1" s="1"/>
  <c r="U15" i="1"/>
  <c r="V15" i="1" s="1"/>
  <c r="U12" i="1"/>
  <c r="V12" i="1" s="1"/>
  <c r="U14" i="1"/>
  <c r="V14" i="1" s="1"/>
  <c r="U10" i="1"/>
  <c r="V10" i="1" s="1"/>
  <c r="U9" i="1"/>
  <c r="V9" i="1" s="1"/>
  <c r="U13" i="1"/>
  <c r="V13" i="1" s="1"/>
  <c r="U5" i="1"/>
  <c r="V5" i="1" s="1"/>
  <c r="U17" i="1"/>
  <c r="V17" i="1" s="1"/>
  <c r="U18" i="1"/>
  <c r="V18" i="1" s="1"/>
  <c r="E9" i="2" l="1"/>
  <c r="M8" i="2"/>
  <c r="C8" i="2"/>
  <c r="L8" i="2"/>
  <c r="I8" i="2"/>
  <c r="J9" i="2"/>
  <c r="O8" i="2"/>
  <c r="U28" i="1"/>
  <c r="Q9" i="2"/>
  <c r="H8" i="2"/>
  <c r="U30" i="1"/>
  <c r="V30" i="1" s="1"/>
  <c r="P9" i="2"/>
  <c r="K9" i="2"/>
  <c r="N8" i="2"/>
  <c r="G9" i="2"/>
  <c r="F9" i="2"/>
  <c r="U31" i="1"/>
  <c r="V31" i="1" s="1"/>
  <c r="D9" i="2"/>
  <c r="E8" i="2"/>
  <c r="K8" i="2"/>
  <c r="M9" i="2"/>
  <c r="C9" i="2"/>
  <c r="D8" i="2"/>
  <c r="L9" i="2"/>
  <c r="F7" i="2"/>
  <c r="D7" i="2"/>
  <c r="F8" i="2"/>
  <c r="K7" i="2"/>
  <c r="J8" i="2"/>
  <c r="V25" i="1"/>
  <c r="J7" i="2"/>
  <c r="L7" i="2"/>
  <c r="M7" i="2"/>
  <c r="E7" i="2"/>
  <c r="C7" i="2"/>
  <c r="O9" i="2"/>
  <c r="H7" i="2"/>
  <c r="P7" i="2"/>
  <c r="Q8" i="2"/>
  <c r="N9" i="2"/>
  <c r="H9" i="2"/>
  <c r="N7" i="2"/>
  <c r="G8" i="2"/>
  <c r="O7" i="2"/>
  <c r="Q7" i="2"/>
  <c r="I9" i="2"/>
  <c r="P8" i="2"/>
  <c r="I7" i="2"/>
  <c r="G7" i="2"/>
  <c r="C17" i="3"/>
  <c r="C15" i="3"/>
  <c r="C18" i="3"/>
  <c r="C19" i="3"/>
  <c r="V33" i="1" l="1"/>
  <c r="V26" i="1" s="1"/>
  <c r="C21" i="6" s="1"/>
  <c r="C21" i="3" s="1"/>
  <c r="I11" i="2"/>
  <c r="C11" i="6" s="1"/>
  <c r="E11" i="6" s="1"/>
  <c r="I10" i="2"/>
  <c r="O10" i="2"/>
  <c r="O11" i="2"/>
  <c r="C17" i="6" s="1"/>
  <c r="E17" i="6" s="1"/>
  <c r="L10" i="2"/>
  <c r="L11" i="2"/>
  <c r="C14" i="6" s="1"/>
  <c r="K10" i="2"/>
  <c r="K11" i="2"/>
  <c r="C13" i="6" s="1"/>
  <c r="C10" i="2"/>
  <c r="C11" i="2"/>
  <c r="C5" i="6" s="1"/>
  <c r="J10" i="2"/>
  <c r="J11" i="2"/>
  <c r="C12" i="6" s="1"/>
  <c r="N10" i="2"/>
  <c r="N11" i="2"/>
  <c r="C16" i="6" s="1"/>
  <c r="P11" i="2"/>
  <c r="C18" i="6" s="1"/>
  <c r="E18" i="6" s="1"/>
  <c r="P10" i="2"/>
  <c r="E10" i="2"/>
  <c r="E11" i="2"/>
  <c r="C7" i="6" s="1"/>
  <c r="D10" i="2"/>
  <c r="D11" i="2"/>
  <c r="C6" i="6" s="1"/>
  <c r="G10" i="2"/>
  <c r="G11" i="2"/>
  <c r="C9" i="6" s="1"/>
  <c r="Q11" i="2"/>
  <c r="C19" i="6" s="1"/>
  <c r="E19" i="6" s="1"/>
  <c r="Q10" i="2"/>
  <c r="H10" i="2"/>
  <c r="H11" i="2"/>
  <c r="C10" i="6" s="1"/>
  <c r="M10" i="2"/>
  <c r="M11" i="2"/>
  <c r="C15" i="6" s="1"/>
  <c r="E15" i="6" s="1"/>
  <c r="F11" i="2"/>
  <c r="C8" i="6" s="1"/>
  <c r="F10" i="2"/>
  <c r="E19" i="3"/>
  <c r="E15" i="3"/>
  <c r="E18" i="3"/>
  <c r="E17" i="3"/>
  <c r="E21" i="6" l="1"/>
  <c r="E10" i="6"/>
  <c r="C12" i="3"/>
  <c r="E6" i="6"/>
  <c r="C6" i="3"/>
  <c r="E12" i="6"/>
  <c r="C8" i="3"/>
  <c r="C11" i="3"/>
  <c r="E13" i="6"/>
  <c r="C13" i="3"/>
  <c r="E14" i="6"/>
  <c r="C10" i="3"/>
  <c r="E9" i="6"/>
  <c r="C9" i="3"/>
  <c r="E7" i="6"/>
  <c r="E16" i="6"/>
  <c r="C14" i="3"/>
  <c r="E5" i="6"/>
  <c r="C5" i="3"/>
  <c r="C20" i="6"/>
  <c r="E20" i="6" s="1"/>
  <c r="E8" i="6"/>
  <c r="C7" i="3"/>
  <c r="B24" i="2"/>
  <c r="B44" i="2" s="1"/>
  <c r="C44" i="2" s="1"/>
  <c r="B17" i="2"/>
  <c r="B37" i="2" s="1"/>
  <c r="C37" i="2" s="1"/>
  <c r="B21" i="2"/>
  <c r="B41" i="2" s="1"/>
  <c r="C41" i="2" s="1"/>
  <c r="B23" i="2"/>
  <c r="B43" i="2" s="1"/>
  <c r="C43" i="2" s="1"/>
  <c r="B27" i="2"/>
  <c r="B47" i="2" s="1"/>
  <c r="C47" i="2" s="1"/>
  <c r="B19" i="2"/>
  <c r="B39" i="2" s="1"/>
  <c r="C39" i="2" s="1"/>
  <c r="B29" i="2"/>
  <c r="B49" i="2" s="1"/>
  <c r="C49" i="2" s="1"/>
  <c r="B20" i="2"/>
  <c r="B40" i="2" s="1"/>
  <c r="C40" i="2" s="1"/>
  <c r="B25" i="2"/>
  <c r="B45" i="2" s="1"/>
  <c r="C45" i="2" s="1"/>
  <c r="B16" i="2"/>
  <c r="B22" i="2"/>
  <c r="B42" i="2" s="1"/>
  <c r="C42" i="2" s="1"/>
  <c r="B30" i="2"/>
  <c r="B50" i="2" s="1"/>
  <c r="B18" i="2"/>
  <c r="B38" i="2" s="1"/>
  <c r="C38" i="2" s="1"/>
  <c r="B28" i="2"/>
  <c r="B48" i="2" s="1"/>
  <c r="C48" i="2" s="1"/>
  <c r="B26" i="2"/>
  <c r="B46" i="2" s="1"/>
  <c r="C46" i="2" s="1"/>
  <c r="C50" i="2" l="1"/>
  <c r="B36" i="2"/>
  <c r="C26" i="2"/>
  <c r="D46" i="2" s="1"/>
  <c r="C29" i="2"/>
  <c r="D49" i="2" s="1"/>
  <c r="C28" i="2"/>
  <c r="D48" i="2" s="1"/>
  <c r="C16" i="2"/>
  <c r="D36" i="2" s="1"/>
  <c r="C19" i="2"/>
  <c r="D39" i="2" s="1"/>
  <c r="C17" i="2"/>
  <c r="D37" i="2" s="1"/>
  <c r="C21" i="2"/>
  <c r="D41" i="2" s="1"/>
  <c r="C18" i="2"/>
  <c r="D38" i="2" s="1"/>
  <c r="C25" i="2"/>
  <c r="D45" i="2" s="1"/>
  <c r="C27" i="2"/>
  <c r="D47" i="2" s="1"/>
  <c r="C24" i="2"/>
  <c r="D44" i="2" s="1"/>
  <c r="C22" i="2"/>
  <c r="D42" i="2" s="1"/>
  <c r="C30" i="2"/>
  <c r="D50" i="2" s="1"/>
  <c r="C20" i="2"/>
  <c r="D40" i="2" s="1"/>
  <c r="C23" i="2"/>
  <c r="D43" i="2" s="1"/>
  <c r="F18" i="6"/>
  <c r="G18" i="6" s="1"/>
  <c r="F15" i="6"/>
  <c r="G15" i="6" s="1"/>
  <c r="F11" i="6"/>
  <c r="G11" i="6" s="1"/>
  <c r="F19" i="6"/>
  <c r="G19" i="6" s="1"/>
  <c r="E14" i="3"/>
  <c r="F16" i="6"/>
  <c r="G16" i="6" s="1"/>
  <c r="E6" i="3"/>
  <c r="F6" i="6"/>
  <c r="G6" i="6" s="1"/>
  <c r="C20" i="3"/>
  <c r="E20" i="3" s="1"/>
  <c r="F19" i="3" s="1"/>
  <c r="G19" i="3" s="1"/>
  <c r="E9" i="3"/>
  <c r="F7" i="6"/>
  <c r="G7" i="6" s="1"/>
  <c r="E13" i="3"/>
  <c r="F14" i="6"/>
  <c r="G14" i="6" s="1"/>
  <c r="E5" i="3"/>
  <c r="F5" i="6"/>
  <c r="G5" i="6" s="1"/>
  <c r="E8" i="3"/>
  <c r="F12" i="6"/>
  <c r="G12" i="6" s="1"/>
  <c r="F10" i="6"/>
  <c r="G10" i="6" s="1"/>
  <c r="E12" i="3"/>
  <c r="E7" i="3"/>
  <c r="F8" i="6"/>
  <c r="G8" i="6" s="1"/>
  <c r="F9" i="6"/>
  <c r="G9" i="6" s="1"/>
  <c r="E10" i="3"/>
  <c r="E11" i="3"/>
  <c r="F13" i="6"/>
  <c r="G13" i="6" s="1"/>
  <c r="F17" i="6"/>
  <c r="G17" i="6" s="1"/>
  <c r="C36" i="2" l="1"/>
  <c r="F17" i="3"/>
  <c r="G17" i="3" s="1"/>
  <c r="F18" i="3"/>
  <c r="G18" i="3" s="1"/>
  <c r="F10" i="3"/>
  <c r="G10" i="3" s="1"/>
  <c r="F12" i="3"/>
  <c r="G12" i="3" s="1"/>
  <c r="F15" i="3"/>
  <c r="G15" i="3" s="1"/>
  <c r="F16" i="3"/>
  <c r="G16" i="3" s="1"/>
  <c r="F11" i="3"/>
  <c r="G11" i="3" s="1"/>
  <c r="F7" i="3"/>
  <c r="G7" i="3" s="1"/>
  <c r="F8" i="3"/>
  <c r="G8" i="3" s="1"/>
  <c r="F13" i="3"/>
  <c r="G13" i="3" s="1"/>
  <c r="F5" i="3"/>
  <c r="G5" i="3" s="1"/>
  <c r="F9" i="3"/>
  <c r="G9" i="3" s="1"/>
  <c r="F6" i="3"/>
  <c r="G6" i="3" s="1"/>
  <c r="F14" i="3"/>
  <c r="G14" i="3" s="1"/>
  <c r="F39" i="2" l="1"/>
  <c r="G39" i="2" s="1"/>
  <c r="F43" i="2"/>
  <c r="G43" i="2" s="1"/>
  <c r="F47" i="2"/>
  <c r="G47" i="2" s="1"/>
  <c r="F36" i="2"/>
  <c r="F40" i="2"/>
  <c r="G40" i="2" s="1"/>
  <c r="F44" i="2"/>
  <c r="G44" i="2" s="1"/>
  <c r="F48" i="2"/>
  <c r="G48" i="2" s="1"/>
  <c r="F37" i="2"/>
  <c r="G37" i="2" s="1"/>
  <c r="F41" i="2"/>
  <c r="G41" i="2" s="1"/>
  <c r="F45" i="2"/>
  <c r="G45" i="2" s="1"/>
  <c r="F49" i="2"/>
  <c r="F38" i="2"/>
  <c r="G38" i="2" s="1"/>
  <c r="F42" i="2"/>
  <c r="G42" i="2" s="1"/>
  <c r="F46" i="2"/>
  <c r="G46" i="2" s="1"/>
  <c r="F50" i="2"/>
  <c r="G49" i="2" l="1"/>
  <c r="H50" i="2"/>
  <c r="G50" i="2"/>
  <c r="G36" i="2"/>
  <c r="H49" i="2" l="1"/>
  <c r="H48" i="2" l="1"/>
  <c r="H47" i="2" l="1"/>
  <c r="H46" i="2" l="1"/>
  <c r="H45" i="2" l="1"/>
  <c r="H44" i="2" l="1"/>
  <c r="H43" i="2" l="1"/>
  <c r="H42" i="2" l="1"/>
  <c r="H41" i="2" l="1"/>
  <c r="H40" i="2" l="1"/>
  <c r="H39" i="2" l="1"/>
  <c r="H38" i="2" l="1"/>
  <c r="H37" i="2" l="1"/>
  <c r="H36" i="2" l="1"/>
  <c r="I36" i="2" l="1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</calcChain>
</file>

<file path=xl/sharedStrings.xml><?xml version="1.0" encoding="utf-8"?>
<sst xmlns="http://schemas.openxmlformats.org/spreadsheetml/2006/main" count="87" uniqueCount="72">
  <si>
    <t>AxB</t>
  </si>
  <si>
    <t>AxC</t>
  </si>
  <si>
    <t>BxC</t>
  </si>
  <si>
    <t>AxBxC</t>
  </si>
  <si>
    <t>A</t>
  </si>
  <si>
    <t>B</t>
  </si>
  <si>
    <t>C</t>
  </si>
  <si>
    <t>Réplica 1</t>
  </si>
  <si>
    <t>Réplica 2</t>
  </si>
  <si>
    <t>Réplica 3</t>
  </si>
  <si>
    <t>Réplica 4</t>
  </si>
  <si>
    <t>D</t>
  </si>
  <si>
    <t>(1)</t>
  </si>
  <si>
    <t>Experimento</t>
  </si>
  <si>
    <t>AxD</t>
  </si>
  <si>
    <t>BxD</t>
  </si>
  <si>
    <t>CxD</t>
  </si>
  <si>
    <t>AxBxD</t>
  </si>
  <si>
    <t>BxCxD</t>
  </si>
  <si>
    <t>AxCxD</t>
  </si>
  <si>
    <t>AxBxCxD</t>
  </si>
  <si>
    <t>Suma</t>
  </si>
  <si>
    <t>Contraste</t>
  </si>
  <si>
    <t>Efectos</t>
  </si>
  <si>
    <t>SS</t>
  </si>
  <si>
    <t>n: réplicas</t>
  </si>
  <si>
    <t>k: Factores</t>
  </si>
  <si>
    <t>Anova</t>
  </si>
  <si>
    <t>Fuente</t>
  </si>
  <si>
    <t>Suma de Ciadrados</t>
  </si>
  <si>
    <t>Grados de libertad</t>
  </si>
  <si>
    <t>Cuadrados promedio</t>
  </si>
  <si>
    <t>F</t>
  </si>
  <si>
    <t>Error</t>
  </si>
  <si>
    <t>Total</t>
  </si>
  <si>
    <t>Efecto</t>
  </si>
  <si>
    <t>j</t>
  </si>
  <si>
    <t>(j - 0.5) / n</t>
  </si>
  <si>
    <t>zj</t>
  </si>
  <si>
    <t>Observación</t>
  </si>
  <si>
    <t>Juntar</t>
  </si>
  <si>
    <t>Gráfico de probalidad Normal</t>
  </si>
  <si>
    <t>P-Valor</t>
  </si>
  <si>
    <t>Cuadrados Promedio</t>
  </si>
  <si>
    <t>Grados de Libertad</t>
  </si>
  <si>
    <t>niveles</t>
  </si>
  <si>
    <t>* Son significativos aquellos que se salgan de la linea de normalidad</t>
  </si>
  <si>
    <t>Prom  (-1)</t>
  </si>
  <si>
    <t>Prom  (+1)</t>
  </si>
  <si>
    <t>USAR: 1 si se usa esa réplica, 0 se ignora</t>
  </si>
  <si>
    <t>Promedio</t>
  </si>
  <si>
    <t>Prom</t>
  </si>
  <si>
    <t>SS_T</t>
  </si>
  <si>
    <t>Acum</t>
  </si>
  <si>
    <t>P_Valor</t>
  </si>
  <si>
    <t>Cálculo SS</t>
  </si>
  <si>
    <t>sdecuadrados</t>
  </si>
  <si>
    <t>sumas</t>
  </si>
  <si>
    <t>datos:</t>
  </si>
  <si>
    <t>acum</t>
  </si>
  <si>
    <t>%</t>
  </si>
  <si>
    <t>efecto</t>
  </si>
  <si>
    <t>magnitud</t>
  </si>
  <si>
    <t>Orden</t>
  </si>
  <si>
    <t>Gen 1 Bloque</t>
  </si>
  <si>
    <t>Gen 2 bloques</t>
  </si>
  <si>
    <t>rta1</t>
  </si>
  <si>
    <t>rta2</t>
  </si>
  <si>
    <t>Autor: Ciro Alberto Amaya.  V: 1.6</t>
  </si>
  <si>
    <t>Desarrollado por:</t>
  </si>
  <si>
    <t>Ciro Alberto Amaya</t>
  </si>
  <si>
    <t>UniAndes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</si>
</sst>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64" formatCode="_-* #,##0.00_-;\-* #,##0.00_-;_-* &quot;-&quot;_-;_-@_-"/>
    <numFmt numFmtId="165" formatCode="_-* #,##0.0000_-;\-* #,##0.0000_-;_-* &quot;-&quot;_-;_-@_-"/>
    <numFmt numFmtId="166" formatCode="0.0000"/>
    <numFmt numFmtId="167" formatCode="_-* #,##0.0_-;\-* #,##0.0_-;_-* &quot;-&quot;_-;_-@_-"/>
    <numFmt numFmtId="168" formatCode="0.0%"/>
    <numFmt numFmtId="169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</font>
    <font>
      <sz val="8"/>
      <name val="Verdana"/>
      <family val="2"/>
    </font>
    <font>
      <sz val="12"/>
      <name val="Tw Cen MT"/>
      <family val="2"/>
    </font>
    <font>
      <sz val="12"/>
      <color theme="1"/>
      <name val="Tw Cen MT"/>
      <family val="2"/>
    </font>
    <font>
      <b/>
      <sz val="6"/>
      <name val="Verdana"/>
      <family val="2"/>
    </font>
    <font>
      <sz val="8"/>
      <color theme="4" tint="-0.249977111117893"/>
      <name val="Verdana"/>
      <family val="2"/>
    </font>
    <font>
      <b/>
      <sz val="11"/>
      <color rgb="FFC00000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2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theme="2" tint="-0.499984740745262"/>
      <name val="Calibri"/>
      <family val="2"/>
      <scheme val="minor"/>
    </font>
    <font>
      <b/>
      <sz val="6"/>
      <color theme="4" tint="-0.249977111117893"/>
      <name val="Verdana"/>
      <family val="2"/>
    </font>
    <font>
      <b/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5" fillId="0" borderId="2" xfId="4" applyFont="1" applyFill="1" applyBorder="1" applyAlignment="1" applyProtection="1">
      <alignment horizontal="center" vertical="center" wrapText="1"/>
      <protection hidden="1"/>
    </xf>
    <xf numFmtId="0" fontId="5" fillId="0" borderId="2" xfId="4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6" fillId="0" borderId="2" xfId="4" quotePrefix="1" applyFont="1" applyFill="1" applyBorder="1" applyAlignment="1" applyProtection="1">
      <alignment horizontal="center" vertical="center"/>
      <protection hidden="1"/>
    </xf>
    <xf numFmtId="0" fontId="7" fillId="0" borderId="2" xfId="0" applyFont="1" applyBorder="1" applyAlignment="1">
      <alignment horizontal="center"/>
    </xf>
    <xf numFmtId="0" fontId="8" fillId="0" borderId="2" xfId="4" applyFont="1" applyFill="1" applyBorder="1" applyAlignment="1" applyProtection="1">
      <alignment horizontal="center" vertical="center" wrapText="1"/>
      <protection hidden="1"/>
    </xf>
    <xf numFmtId="0" fontId="9" fillId="0" borderId="2" xfId="4" applyFont="1" applyFill="1" applyBorder="1" applyAlignment="1" applyProtection="1">
      <alignment horizontal="center" vertical="center" wrapText="1"/>
      <protection hidden="1"/>
    </xf>
    <xf numFmtId="0" fontId="9" fillId="0" borderId="2" xfId="4" applyFont="1" applyFill="1" applyBorder="1" applyAlignment="1" applyProtection="1">
      <alignment horizontal="center" vertical="center"/>
      <protection locked="0"/>
    </xf>
    <xf numFmtId="2" fontId="3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2" fontId="0" fillId="0" borderId="0" xfId="0" applyNumberFormat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/>
    <xf numFmtId="0" fontId="0" fillId="4" borderId="2" xfId="0" applyFill="1" applyBorder="1" applyAlignment="1">
      <alignment horizontal="center" wrapText="1"/>
    </xf>
    <xf numFmtId="2" fontId="0" fillId="5" borderId="2" xfId="0" applyNumberForma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left" vertical="top"/>
    </xf>
    <xf numFmtId="0" fontId="12" fillId="3" borderId="1" xfId="3" applyFont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165" fontId="3" fillId="0" borderId="0" xfId="1" applyNumberFormat="1" applyFont="1"/>
    <xf numFmtId="41" fontId="1" fillId="0" borderId="0" xfId="1" applyFont="1"/>
    <xf numFmtId="0" fontId="3" fillId="0" borderId="0" xfId="0" applyFont="1" applyAlignment="1">
      <alignment horizontal="center" vertical="center"/>
    </xf>
    <xf numFmtId="0" fontId="2" fillId="2" borderId="0" xfId="2"/>
    <xf numFmtId="164" fontId="1" fillId="0" borderId="0" xfId="1" applyNumberFormat="1" applyFont="1"/>
    <xf numFmtId="41" fontId="1" fillId="0" borderId="0" xfId="1" applyNumberFormat="1" applyFont="1"/>
    <xf numFmtId="41" fontId="0" fillId="0" borderId="3" xfId="0" applyNumberFormat="1" applyBorder="1"/>
    <xf numFmtId="41" fontId="0" fillId="0" borderId="3" xfId="0" applyNumberFormat="1" applyBorder="1" applyAlignment="1">
      <alignment horizontal="center"/>
    </xf>
    <xf numFmtId="2" fontId="13" fillId="0" borderId="2" xfId="0" applyNumberFormat="1" applyFont="1" applyBorder="1" applyAlignment="1">
      <alignment horizontal="center" vertical="center"/>
    </xf>
    <xf numFmtId="0" fontId="15" fillId="0" borderId="0" xfId="0" applyFont="1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10" fillId="0" borderId="2" xfId="0" applyFont="1" applyBorder="1" applyAlignment="1">
      <alignment horizontal="right"/>
    </xf>
    <xf numFmtId="0" fontId="14" fillId="3" borderId="1" xfId="3" applyFont="1" applyAlignment="1">
      <alignment horizontal="center"/>
    </xf>
    <xf numFmtId="0" fontId="3" fillId="0" borderId="4" xfId="0" applyFont="1" applyBorder="1"/>
    <xf numFmtId="0" fontId="3" fillId="0" borderId="6" xfId="0" applyFont="1" applyBorder="1"/>
    <xf numFmtId="9" fontId="0" fillId="0" borderId="0" xfId="5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2" fillId="3" borderId="12" xfId="3" applyFont="1" applyBorder="1" applyAlignment="1">
      <alignment horizontal="center" vertical="center" wrapText="1"/>
    </xf>
    <xf numFmtId="41" fontId="0" fillId="0" borderId="3" xfId="1" applyFont="1" applyBorder="1"/>
    <xf numFmtId="2" fontId="0" fillId="0" borderId="7" xfId="0" applyNumberFormat="1" applyBorder="1"/>
    <xf numFmtId="166" fontId="0" fillId="0" borderId="0" xfId="0" applyNumberFormat="1" applyAlignment="1">
      <alignment horizontal="center"/>
    </xf>
    <xf numFmtId="166" fontId="0" fillId="0" borderId="7" xfId="0" applyNumberFormat="1" applyBorder="1" applyAlignment="1">
      <alignment horizontal="center"/>
    </xf>
    <xf numFmtId="41" fontId="0" fillId="0" borderId="0" xfId="1" applyNumberFormat="1" applyFont="1"/>
    <xf numFmtId="41" fontId="16" fillId="0" borderId="8" xfId="1" applyFont="1" applyBorder="1"/>
    <xf numFmtId="167" fontId="16" fillId="0" borderId="5" xfId="1" applyNumberFormat="1" applyFont="1" applyBorder="1"/>
    <xf numFmtId="41" fontId="13" fillId="0" borderId="2" xfId="1" applyFont="1" applyBorder="1"/>
    <xf numFmtId="0" fontId="0" fillId="0" borderId="0" xfId="0" applyAlignment="1">
      <alignment horizontal="right"/>
    </xf>
    <xf numFmtId="0" fontId="18" fillId="0" borderId="2" xfId="4" applyFont="1" applyFill="1" applyBorder="1" applyAlignment="1" applyProtection="1">
      <alignment horizontal="center" vertical="center" wrapText="1"/>
      <protection hidden="1"/>
    </xf>
    <xf numFmtId="41" fontId="0" fillId="0" borderId="2" xfId="1" applyFont="1" applyBorder="1" applyAlignment="1">
      <alignment vertical="center"/>
    </xf>
    <xf numFmtId="41" fontId="13" fillId="0" borderId="2" xfId="1" applyFont="1" applyBorder="1" applyAlignment="1">
      <alignment vertical="center"/>
    </xf>
    <xf numFmtId="168" fontId="0" fillId="0" borderId="0" xfId="5" applyNumberFormat="1" applyFont="1"/>
    <xf numFmtId="0" fontId="0" fillId="0" borderId="0" xfId="5" applyNumberFormat="1" applyFont="1" applyAlignment="1">
      <alignment horizontal="center"/>
    </xf>
    <xf numFmtId="169" fontId="0" fillId="0" borderId="0" xfId="0" applyNumberFormat="1"/>
    <xf numFmtId="0" fontId="0" fillId="0" borderId="2" xfId="0" applyBorder="1"/>
    <xf numFmtId="0" fontId="19" fillId="0" borderId="2" xfId="4" applyFont="1" applyFill="1" applyBorder="1" applyAlignment="1" applyProtection="1">
      <alignment horizontal="center" vertical="center" wrapText="1"/>
      <protection hidden="1"/>
    </xf>
    <xf numFmtId="0" fontId="14" fillId="3" borderId="9" xfId="3" applyFont="1" applyBorder="1" applyAlignment="1">
      <alignment horizontal="center"/>
    </xf>
    <xf numFmtId="0" fontId="14" fillId="3" borderId="10" xfId="3" applyFont="1" applyBorder="1" applyAlignment="1">
      <alignment horizontal="center"/>
    </xf>
    <xf numFmtId="0" fontId="14" fillId="3" borderId="11" xfId="3" applyFont="1" applyBorder="1" applyAlignment="1">
      <alignment horizontal="center"/>
    </xf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0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</cellXfs>
  <cellStyles count="6">
    <cellStyle name="Bueno" xfId="2" builtinId="26"/>
    <cellStyle name="Millares [0]" xfId="1" builtinId="6"/>
    <cellStyle name="Normal" xfId="0" builtinId="0"/>
    <cellStyle name="Normal_ASQ 3 Factor DOE" xfId="4" xr:uid="{00000000-0005-0000-0000-000003000000}"/>
    <cellStyle name="Notas" xfId="3" builtinId="10"/>
    <cellStyle name="Porcentaje" xfId="5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</font>
    </dxf>
    <dxf>
      <font>
        <b val="0"/>
        <i val="0"/>
        <strike/>
        <color theme="2" tint="-0.24994659260841701"/>
      </font>
    </dxf>
    <dxf>
      <font>
        <strike/>
      </font>
    </dxf>
    <dxf>
      <font>
        <strike/>
      </font>
    </dxf>
    <dxf>
      <font>
        <b val="0"/>
        <i val="0"/>
        <strike/>
        <color theme="2" tint="-0.24994659260841701"/>
      </font>
    </dxf>
  </dxfs>
  <tableStyles count="0" defaultTableStyle="TableStyleMedium2" defaultPivotStyle="PivotStyleLight16"/>
  <colors>
    <mruColors>
      <color rgb="FFA236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normalidad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Efectos!$E$15</c:f>
              <c:strCache>
                <c:ptCount val="1"/>
                <c:pt idx="0">
                  <c:v>zj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2"/>
              </a:solidFill>
              <a:ln w="31750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4B6C400-17DA-4E22-A687-17A925CDD2E0}" type="CELLRANGE">
                      <a:rPr lang="en-US"/>
                      <a:pPr/>
                      <a:t>[CELLRANGE]</a:t>
                    </a:fld>
                    <a:endParaRPr lang="es-C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32D8-47DC-B39C-518076BE576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3E764CB-40E3-4C3A-A9D6-E31FA184D3A6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32D8-47DC-B39C-518076BE57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F445257-9650-49F5-A3D1-644AA6A7D094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32D8-47DC-B39C-518076BE576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477EAC8-AE9D-45E9-A3F7-746BF1122FD4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32D8-47DC-B39C-518076BE57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12E4AB1-90D7-4B61-9AD6-7F0DE840E77B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32D8-47DC-B39C-518076BE57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15A0E41-1B7D-4234-A7C2-2973E6392E7B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32D8-47DC-B39C-518076BE57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0187E97-8A63-4815-BC8C-4F300ECA8C06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32D8-47DC-B39C-518076BE57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1234183-8881-4B4F-B9C0-87E4F94885B3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32D8-47DC-B39C-518076BE57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4F663FF-EB66-4689-8456-BB9071150E16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32D8-47DC-B39C-518076BE57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0CA2F83-3C15-414E-9210-D85CCE473A60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32D8-47DC-B39C-518076BE576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C979B12-6904-4B9B-A469-1B9F9C8A02EB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32D8-47DC-B39C-518076BE576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27A5D01-DC31-4ACF-8AC7-9EFCB5C6CD3B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32D8-47DC-B39C-518076BE5769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F0D1B8A-1105-43E1-BD24-548EDFD41DDD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32D8-47DC-B39C-518076BE5769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545DEA8-DD98-434C-9C05-A9A02FE16F34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32D8-47DC-B39C-518076BE5769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8E1622A6-E9E0-48D8-A9FB-2DA21B26E0D9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32D8-47DC-B39C-518076BE576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Efectos!$B$16:$B$30</c:f>
              <c:numCache>
                <c:formatCode>0.00</c:formatCode>
                <c:ptCount val="15"/>
                <c:pt idx="0">
                  <c:v>-153.625</c:v>
                </c:pt>
                <c:pt idx="1">
                  <c:v>-101.625</c:v>
                </c:pt>
                <c:pt idx="2">
                  <c:v>-43.875</c:v>
                </c:pt>
                <c:pt idx="3">
                  <c:v>-40.125</c:v>
                </c:pt>
                <c:pt idx="4">
                  <c:v>-25.375</c:v>
                </c:pt>
                <c:pt idx="5">
                  <c:v>-24.875</c:v>
                </c:pt>
                <c:pt idx="6">
                  <c:v>-15.625</c:v>
                </c:pt>
                <c:pt idx="7">
                  <c:v>-7.875</c:v>
                </c:pt>
                <c:pt idx="8">
                  <c:v>-2.125</c:v>
                </c:pt>
                <c:pt idx="9">
                  <c:v>-1.625</c:v>
                </c:pt>
                <c:pt idx="10">
                  <c:v>-0.625</c:v>
                </c:pt>
                <c:pt idx="11">
                  <c:v>4.125</c:v>
                </c:pt>
                <c:pt idx="12">
                  <c:v>5.625</c:v>
                </c:pt>
                <c:pt idx="13">
                  <c:v>7.375</c:v>
                </c:pt>
                <c:pt idx="14">
                  <c:v>306.125</c:v>
                </c:pt>
              </c:numCache>
            </c:numRef>
          </c:xVal>
          <c:yVal>
            <c:numRef>
              <c:f>Efectos!$E$16:$E$30</c:f>
              <c:numCache>
                <c:formatCode>0.00</c:formatCode>
                <c:ptCount val="15"/>
                <c:pt idx="0">
                  <c:v>-1.8627318674216511</c:v>
                </c:pt>
                <c:pt idx="1">
                  <c:v>-1.3180108973035372</c:v>
                </c:pt>
                <c:pt idx="2">
                  <c:v>-1.0099901692495805</c:v>
                </c:pt>
                <c:pt idx="3">
                  <c:v>-0.77642176114792794</c:v>
                </c:pt>
                <c:pt idx="4">
                  <c:v>-0.57913216225555586</c:v>
                </c:pt>
                <c:pt idx="5">
                  <c:v>-0.40225006532172536</c:v>
                </c:pt>
                <c:pt idx="6">
                  <c:v>-0.23720210932878771</c:v>
                </c:pt>
                <c:pt idx="7">
                  <c:v>-7.8412412733112211E-2</c:v>
                </c:pt>
                <c:pt idx="8">
                  <c:v>7.8412412733112211E-2</c:v>
                </c:pt>
                <c:pt idx="9">
                  <c:v>0.23720210932878771</c:v>
                </c:pt>
                <c:pt idx="10">
                  <c:v>0.40225006532172536</c:v>
                </c:pt>
                <c:pt idx="11">
                  <c:v>0.57913216225555586</c:v>
                </c:pt>
                <c:pt idx="12">
                  <c:v>0.77642176114792794</c:v>
                </c:pt>
                <c:pt idx="13">
                  <c:v>1.0099901692495805</c:v>
                </c:pt>
                <c:pt idx="14">
                  <c:v>1.3180108973035372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Efectos!$C$16:$C$30</c15:f>
                <c15:dlblRangeCache>
                  <c:ptCount val="15"/>
                  <c:pt idx="0">
                    <c:v>AxD</c:v>
                  </c:pt>
                  <c:pt idx="1">
                    <c:v>A</c:v>
                  </c:pt>
                  <c:pt idx="2">
                    <c:v>BxC</c:v>
                  </c:pt>
                  <c:pt idx="3">
                    <c:v>AxBxCxD</c:v>
                  </c:pt>
                  <c:pt idx="4">
                    <c:v>BxCxD</c:v>
                  </c:pt>
                  <c:pt idx="5">
                    <c:v>AxC</c:v>
                  </c:pt>
                  <c:pt idx="6">
                    <c:v>AxBxC</c:v>
                  </c:pt>
                  <c:pt idx="7">
                    <c:v>AxB</c:v>
                  </c:pt>
                  <c:pt idx="8">
                    <c:v>CxD</c:v>
                  </c:pt>
                  <c:pt idx="9">
                    <c:v>B</c:v>
                  </c:pt>
                  <c:pt idx="10">
                    <c:v>BxD</c:v>
                  </c:pt>
                  <c:pt idx="11">
                    <c:v>AxBxD</c:v>
                  </c:pt>
                  <c:pt idx="12">
                    <c:v>AxCxD</c:v>
                  </c:pt>
                  <c:pt idx="13">
                    <c:v>C</c:v>
                  </c:pt>
                  <c:pt idx="14">
                    <c:v>D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2D8-47DC-B39C-518076BE5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168399"/>
        <c:axId val="71028943"/>
      </c:scatterChart>
      <c:valAx>
        <c:axId val="2130168399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028943"/>
        <c:crosses val="max"/>
        <c:crossBetween val="midCat"/>
      </c:valAx>
      <c:valAx>
        <c:axId val="710289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30168399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Efectos!$F$35</c:f>
              <c:strCache>
                <c:ptCount val="1"/>
                <c:pt idx="0">
                  <c:v>Orden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Efectos!$G$36:$G$50</c:f>
              <c:strCache>
                <c:ptCount val="15"/>
                <c:pt idx="0">
                  <c:v>BxD</c:v>
                </c:pt>
                <c:pt idx="1">
                  <c:v>B</c:v>
                </c:pt>
                <c:pt idx="2">
                  <c:v>CxD</c:v>
                </c:pt>
                <c:pt idx="3">
                  <c:v>AxBxD</c:v>
                </c:pt>
                <c:pt idx="4">
                  <c:v>AxCxD</c:v>
                </c:pt>
                <c:pt idx="5">
                  <c:v>C</c:v>
                </c:pt>
                <c:pt idx="6">
                  <c:v>AxB</c:v>
                </c:pt>
                <c:pt idx="7">
                  <c:v>AxBxC</c:v>
                </c:pt>
                <c:pt idx="8">
                  <c:v>AxC</c:v>
                </c:pt>
                <c:pt idx="9">
                  <c:v>BxCxD</c:v>
                </c:pt>
                <c:pt idx="10">
                  <c:v>AxBxCxD</c:v>
                </c:pt>
                <c:pt idx="11">
                  <c:v>BxC</c:v>
                </c:pt>
                <c:pt idx="12">
                  <c:v>A</c:v>
                </c:pt>
                <c:pt idx="13">
                  <c:v>AxD</c:v>
                </c:pt>
                <c:pt idx="14">
                  <c:v>D</c:v>
                </c:pt>
              </c:strCache>
            </c:strRef>
          </c:cat>
          <c:val>
            <c:numRef>
              <c:f>Efectos!$F$36:$F$50</c:f>
              <c:numCache>
                <c:formatCode>General</c:formatCode>
                <c:ptCount val="15"/>
                <c:pt idx="0">
                  <c:v>0.625</c:v>
                </c:pt>
                <c:pt idx="1">
                  <c:v>1.625</c:v>
                </c:pt>
                <c:pt idx="2">
                  <c:v>2.125</c:v>
                </c:pt>
                <c:pt idx="3">
                  <c:v>4.125</c:v>
                </c:pt>
                <c:pt idx="4">
                  <c:v>5.625</c:v>
                </c:pt>
                <c:pt idx="5">
                  <c:v>7.375</c:v>
                </c:pt>
                <c:pt idx="6">
                  <c:v>7.875</c:v>
                </c:pt>
                <c:pt idx="7">
                  <c:v>15.625</c:v>
                </c:pt>
                <c:pt idx="8">
                  <c:v>24.875</c:v>
                </c:pt>
                <c:pt idx="9">
                  <c:v>25.375</c:v>
                </c:pt>
                <c:pt idx="10">
                  <c:v>40.125</c:v>
                </c:pt>
                <c:pt idx="11">
                  <c:v>43.875</c:v>
                </c:pt>
                <c:pt idx="12">
                  <c:v>101.625</c:v>
                </c:pt>
                <c:pt idx="13">
                  <c:v>153.625</c:v>
                </c:pt>
                <c:pt idx="14">
                  <c:v>306.125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F0-44D0-8943-BAD5C43A8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3"/>
        <c:axId val="1326831055"/>
        <c:axId val="1326829807"/>
      </c:barChart>
      <c:catAx>
        <c:axId val="1326831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6829807"/>
        <c:crosses val="autoZero"/>
        <c:auto val="1"/>
        <c:lblAlgn val="ctr"/>
        <c:lblOffset val="100"/>
        <c:noMultiLvlLbl val="0"/>
      </c:catAx>
      <c:valAx>
        <c:axId val="132682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683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190499</xdr:colOff>
      <xdr:row>13</xdr:row>
      <xdr:rowOff>76200</xdr:rowOff>
    </xdr:from>
    <xdr:to>
      <xdr:col>13</xdr:col>
      <xdr:colOff>19050</xdr:colOff>
      <xdr:row>29</xdr:row>
      <xdr:rowOff>63500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2B888C-8FD3-4640-A2D9-CD8372225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301625</xdr:colOff>
      <xdr:row>32</xdr:row>
      <xdr:rowOff>76200</xdr:rowOff>
    </xdr:from>
    <xdr:to>
      <xdr:col>16</xdr:col>
      <xdr:colOff>368300</xdr:colOff>
      <xdr:row>49</xdr:row>
      <xdr:rowOff>161925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ADB0395-2C49-462A-BC25-E232B6ACFA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"/>
  <sheetViews>
    <sheetView tabSelected="1" workbookViewId="0">
      <selection activeCell="C26" sqref="C26"/>
    </sheetView>
  </sheetViews>
  <sheetFormatPr baseColWidth="10" defaultRowHeight="15" x14ac:dyDescent="0.25"/>
  <cols>
    <col min="1" max="1" width="10.85546875" style="3"/>
    <col min="2" max="16" width="7.28515625" customWidth="1"/>
    <col min="17" max="17" width="11.140625" bestFit="1" customWidth="1"/>
    <col min="22" max="22" width="13.42578125" bestFit="1" customWidth="1"/>
    <col min="23" max="23" width="5.5703125" customWidth="1"/>
    <col min="25" max="26" width="5.42578125" customWidth="1"/>
    <col min="29" max="29" width="8.28515625" customWidth="1"/>
  </cols>
  <sheetData>
    <row r="1" spans="1:29" x14ac:dyDescent="0.25">
      <c r="A1" s="19" t="s">
        <v>68</v>
      </c>
      <c r="Q1" s="65" t="s">
        <v>49</v>
      </c>
      <c r="R1" s="66"/>
      <c r="S1" s="66"/>
      <c r="T1" s="66"/>
      <c r="U1" s="67"/>
    </row>
    <row r="2" spans="1:29" x14ac:dyDescent="0.25">
      <c r="Q2" s="42">
        <v>1</v>
      </c>
      <c r="R2" s="42">
        <v>1</v>
      </c>
      <c r="S2" s="42">
        <v>0</v>
      </c>
      <c r="T2" s="42">
        <v>0</v>
      </c>
      <c r="U2" s="42">
        <v>0</v>
      </c>
      <c r="X2" t="s">
        <v>64</v>
      </c>
      <c r="AA2" t="s">
        <v>65</v>
      </c>
    </row>
    <row r="3" spans="1:29" ht="21" x14ac:dyDescent="0.25">
      <c r="A3" s="1" t="s">
        <v>13</v>
      </c>
      <c r="B3" s="6" t="s">
        <v>4</v>
      </c>
      <c r="C3" s="6" t="s">
        <v>5</v>
      </c>
      <c r="D3" s="6" t="s">
        <v>0</v>
      </c>
      <c r="E3" s="6" t="s">
        <v>6</v>
      </c>
      <c r="F3" s="6" t="s">
        <v>1</v>
      </c>
      <c r="G3" s="6" t="s">
        <v>2</v>
      </c>
      <c r="H3" s="57" t="s">
        <v>3</v>
      </c>
      <c r="I3" s="6" t="s">
        <v>11</v>
      </c>
      <c r="J3" s="6" t="s">
        <v>14</v>
      </c>
      <c r="K3" s="6" t="s">
        <v>15</v>
      </c>
      <c r="L3" s="57" t="s">
        <v>17</v>
      </c>
      <c r="M3" s="6" t="s">
        <v>16</v>
      </c>
      <c r="N3" s="6" t="s">
        <v>19</v>
      </c>
      <c r="O3" s="6" t="s">
        <v>18</v>
      </c>
      <c r="P3" s="6" t="s">
        <v>20</v>
      </c>
      <c r="Q3" s="1" t="s">
        <v>7</v>
      </c>
      <c r="R3" s="1" t="s">
        <v>8</v>
      </c>
      <c r="S3" s="1" t="s">
        <v>9</v>
      </c>
      <c r="T3" s="1" t="s">
        <v>10</v>
      </c>
      <c r="U3" s="64" t="s">
        <v>66</v>
      </c>
      <c r="V3" s="7" t="s">
        <v>21</v>
      </c>
      <c r="X3" s="6" t="s">
        <v>20</v>
      </c>
      <c r="Y3" s="18" t="s">
        <v>66</v>
      </c>
      <c r="AA3" s="6" t="s">
        <v>0</v>
      </c>
      <c r="AB3" s="6" t="s">
        <v>1</v>
      </c>
      <c r="AC3" s="18" t="s">
        <v>67</v>
      </c>
    </row>
    <row r="4" spans="1:29" ht="15.75" x14ac:dyDescent="0.25">
      <c r="A4" s="4" t="s">
        <v>12</v>
      </c>
      <c r="B4" s="2">
        <v>-1</v>
      </c>
      <c r="C4" s="2">
        <v>-1</v>
      </c>
      <c r="D4" s="2">
        <f t="shared" ref="D4:D19" si="0">+B4*C4</f>
        <v>1</v>
      </c>
      <c r="E4" s="2">
        <v>-1</v>
      </c>
      <c r="F4" s="2">
        <f t="shared" ref="F4:F19" si="1">+B4*E4</f>
        <v>1</v>
      </c>
      <c r="G4" s="2">
        <f t="shared" ref="G4:G19" si="2">+C4*E4</f>
        <v>1</v>
      </c>
      <c r="H4" s="2">
        <f t="shared" ref="H4:H19" si="3">+B4*C4*E4</f>
        <v>-1</v>
      </c>
      <c r="I4" s="2">
        <v>-1</v>
      </c>
      <c r="J4" s="2">
        <f>+B4*I4</f>
        <v>1</v>
      </c>
      <c r="K4" s="2">
        <f>+C4*I4</f>
        <v>1</v>
      </c>
      <c r="L4" s="2">
        <f t="shared" ref="L4:L19" si="4">+B4*C4*I4</f>
        <v>-1</v>
      </c>
      <c r="M4" s="2">
        <f>+E4*I4</f>
        <v>1</v>
      </c>
      <c r="N4" s="2">
        <f>+B4*E4*I4</f>
        <v>-1</v>
      </c>
      <c r="O4" s="2">
        <f>+C4*E4*I4</f>
        <v>-1</v>
      </c>
      <c r="P4" s="2">
        <f>+B4*C4*E4*I4</f>
        <v>1</v>
      </c>
      <c r="Q4" s="2">
        <v>550</v>
      </c>
      <c r="R4" s="2">
        <f>+Q4+100</f>
        <v>650</v>
      </c>
      <c r="S4" s="2">
        <f>Q4-50</f>
        <v>500</v>
      </c>
      <c r="T4" s="2">
        <f>+S4-50</f>
        <v>450</v>
      </c>
      <c r="U4" s="2">
        <f>+IF(U$3="rta1",Y4,AC4)</f>
        <v>650</v>
      </c>
      <c r="V4" s="8">
        <f>+SUMPRODUCT(Q4:U4,$Q$2:$U$2)</f>
        <v>1200</v>
      </c>
      <c r="X4" s="2">
        <f>+HLOOKUP(X$3,$B$3:$P$19,ROW(X2),)</f>
        <v>1</v>
      </c>
      <c r="Y4" s="63">
        <f>+IF(X4=-1,Q4,R4)</f>
        <v>650</v>
      </c>
      <c r="AA4" s="2">
        <f>+HLOOKUP(AA$3,$B$3:$P$19,ROW(AA2),)</f>
        <v>1</v>
      </c>
      <c r="AB4" s="2">
        <f>+HLOOKUP(AB$3,$B$3:$P$19,ROW(AB2),)</f>
        <v>1</v>
      </c>
      <c r="AC4" s="63">
        <f>+IF(AND(AA4=-1,AB4=-1),$Q4,IF(AND(AA4=-1,AB4=1),$R4,IF(AND(AA4=1,AB4=-1),$S4,$T4)))</f>
        <v>450</v>
      </c>
    </row>
    <row r="5" spans="1:29" ht="15.75" x14ac:dyDescent="0.25">
      <c r="A5" s="5" t="str">
        <f>+IF(B5=1,"a","")&amp;IF(C5=1,"b","")&amp;IF(E5=1,"c","")&amp;IF(I5=1,"d","")</f>
        <v>a</v>
      </c>
      <c r="B5" s="2">
        <v>1</v>
      </c>
      <c r="C5" s="2">
        <v>-1</v>
      </c>
      <c r="D5" s="2">
        <f t="shared" si="0"/>
        <v>-1</v>
      </c>
      <c r="E5" s="2">
        <v>-1</v>
      </c>
      <c r="F5" s="2">
        <f t="shared" si="1"/>
        <v>-1</v>
      </c>
      <c r="G5" s="2">
        <f t="shared" si="2"/>
        <v>1</v>
      </c>
      <c r="H5" s="2">
        <f t="shared" si="3"/>
        <v>1</v>
      </c>
      <c r="I5" s="2">
        <v>-1</v>
      </c>
      <c r="J5" s="2">
        <f t="shared" ref="J5:J19" si="5">+B5*I5</f>
        <v>-1</v>
      </c>
      <c r="K5" s="2">
        <f t="shared" ref="K5:K19" si="6">+C5*I5</f>
        <v>1</v>
      </c>
      <c r="L5" s="2">
        <f t="shared" si="4"/>
        <v>1</v>
      </c>
      <c r="M5" s="2">
        <f t="shared" ref="M5:M19" si="7">+E5*I5</f>
        <v>1</v>
      </c>
      <c r="N5" s="2">
        <f t="shared" ref="N5:N19" si="8">+B5*E5*I5</f>
        <v>1</v>
      </c>
      <c r="O5" s="2">
        <f t="shared" ref="O5:O19" si="9">+C5*E5*I5</f>
        <v>-1</v>
      </c>
      <c r="P5" s="2">
        <f t="shared" ref="P5:P19" si="10">+B5*C5*E5*I5</f>
        <v>-1</v>
      </c>
      <c r="Q5" s="2">
        <v>669</v>
      </c>
      <c r="R5" s="2">
        <f t="shared" ref="R5" si="11">+Q5+100</f>
        <v>769</v>
      </c>
      <c r="S5" s="2">
        <f t="shared" ref="S5:S19" si="12">Q5-50</f>
        <v>619</v>
      </c>
      <c r="T5" s="2">
        <f t="shared" ref="T5:T19" si="13">+S5-50</f>
        <v>569</v>
      </c>
      <c r="U5" s="2">
        <f t="shared" ref="U5:U23" si="14">+IF(U$3="rta1",Y5,AC5)</f>
        <v>669</v>
      </c>
      <c r="V5" s="8">
        <f t="shared" ref="V5:V19" si="15">+SUMPRODUCT(Q5:U5,$Q$2:$U$2)</f>
        <v>1438</v>
      </c>
      <c r="X5" s="2">
        <f t="shared" ref="X5:X19" si="16">+HLOOKUP(X$3,$B$3:$P$19,ROW(X3),)</f>
        <v>-1</v>
      </c>
      <c r="Y5" s="63">
        <f t="shared" ref="Y5:Y19" si="17">+IF(X5=-1,Q5,R5)</f>
        <v>669</v>
      </c>
      <c r="AA5" s="2">
        <f t="shared" ref="AA5:AB19" si="18">+HLOOKUP(AA$3,$B$3:$P$19,ROW(AA3),)</f>
        <v>-1</v>
      </c>
      <c r="AB5" s="2">
        <f t="shared" si="18"/>
        <v>-1</v>
      </c>
      <c r="AC5" s="63">
        <f t="shared" ref="AC5:AC19" si="19">+IF(AND(AA5=-1,AB5=-1),$Q5,IF(AND(AA5=-1,AB5=1),$R5,IF(AND(AA5=1,AB5=-1),$S5,$T5)))</f>
        <v>669</v>
      </c>
    </row>
    <row r="6" spans="1:29" ht="15.75" x14ac:dyDescent="0.25">
      <c r="A6" s="5" t="str">
        <f t="shared" ref="A6:A19" si="20">+IF(B6=1,"a","")&amp;IF(C6=1,"b","")&amp;IF(E6=1,"c","")&amp;IF(I6=1,"d","")</f>
        <v>b</v>
      </c>
      <c r="B6" s="2">
        <v>-1</v>
      </c>
      <c r="C6" s="2">
        <v>1</v>
      </c>
      <c r="D6" s="2">
        <f t="shared" si="0"/>
        <v>-1</v>
      </c>
      <c r="E6" s="2">
        <v>-1</v>
      </c>
      <c r="F6" s="2">
        <f t="shared" si="1"/>
        <v>1</v>
      </c>
      <c r="G6" s="2">
        <f t="shared" si="2"/>
        <v>-1</v>
      </c>
      <c r="H6" s="2">
        <f t="shared" si="3"/>
        <v>1</v>
      </c>
      <c r="I6" s="2">
        <v>-1</v>
      </c>
      <c r="J6" s="2">
        <f t="shared" si="5"/>
        <v>1</v>
      </c>
      <c r="K6" s="2">
        <f t="shared" si="6"/>
        <v>-1</v>
      </c>
      <c r="L6" s="2">
        <f t="shared" si="4"/>
        <v>1</v>
      </c>
      <c r="M6" s="2">
        <f t="shared" si="7"/>
        <v>1</v>
      </c>
      <c r="N6" s="2">
        <f t="shared" si="8"/>
        <v>-1</v>
      </c>
      <c r="O6" s="2">
        <f t="shared" si="9"/>
        <v>1</v>
      </c>
      <c r="P6" s="2">
        <f t="shared" si="10"/>
        <v>-1</v>
      </c>
      <c r="Q6" s="2">
        <v>604</v>
      </c>
      <c r="R6" s="2">
        <f t="shared" ref="R6" si="21">+Q6+100</f>
        <v>704</v>
      </c>
      <c r="S6" s="2">
        <f t="shared" si="12"/>
        <v>554</v>
      </c>
      <c r="T6" s="2">
        <f t="shared" si="13"/>
        <v>504</v>
      </c>
      <c r="U6" s="2">
        <f t="shared" si="14"/>
        <v>604</v>
      </c>
      <c r="V6" s="8">
        <f t="shared" si="15"/>
        <v>1308</v>
      </c>
      <c r="X6" s="2">
        <f t="shared" si="16"/>
        <v>-1</v>
      </c>
      <c r="Y6" s="63">
        <f t="shared" si="17"/>
        <v>604</v>
      </c>
      <c r="AA6" s="2">
        <f t="shared" si="18"/>
        <v>-1</v>
      </c>
      <c r="AB6" s="2">
        <f t="shared" si="18"/>
        <v>1</v>
      </c>
      <c r="AC6" s="63">
        <f t="shared" si="19"/>
        <v>704</v>
      </c>
    </row>
    <row r="7" spans="1:29" ht="15.75" x14ac:dyDescent="0.25">
      <c r="A7" s="5" t="str">
        <f t="shared" si="20"/>
        <v>ab</v>
      </c>
      <c r="B7" s="2">
        <v>1</v>
      </c>
      <c r="C7" s="2">
        <v>1</v>
      </c>
      <c r="D7" s="2">
        <f t="shared" si="0"/>
        <v>1</v>
      </c>
      <c r="E7" s="2">
        <v>-1</v>
      </c>
      <c r="F7" s="2">
        <f t="shared" si="1"/>
        <v>-1</v>
      </c>
      <c r="G7" s="2">
        <f t="shared" si="2"/>
        <v>-1</v>
      </c>
      <c r="H7" s="2">
        <f t="shared" si="3"/>
        <v>-1</v>
      </c>
      <c r="I7" s="2">
        <v>-1</v>
      </c>
      <c r="J7" s="2">
        <f t="shared" si="5"/>
        <v>-1</v>
      </c>
      <c r="K7" s="2">
        <f t="shared" si="6"/>
        <v>-1</v>
      </c>
      <c r="L7" s="2">
        <f t="shared" si="4"/>
        <v>-1</v>
      </c>
      <c r="M7" s="2">
        <f t="shared" si="7"/>
        <v>1</v>
      </c>
      <c r="N7" s="2">
        <f t="shared" si="8"/>
        <v>1</v>
      </c>
      <c r="O7" s="2">
        <f t="shared" si="9"/>
        <v>1</v>
      </c>
      <c r="P7" s="2">
        <f t="shared" si="10"/>
        <v>1</v>
      </c>
      <c r="Q7" s="2">
        <v>650</v>
      </c>
      <c r="R7" s="2">
        <f t="shared" ref="R7" si="22">+Q7+100</f>
        <v>750</v>
      </c>
      <c r="S7" s="2">
        <f t="shared" si="12"/>
        <v>600</v>
      </c>
      <c r="T7" s="2">
        <f t="shared" si="13"/>
        <v>550</v>
      </c>
      <c r="U7" s="2">
        <f t="shared" si="14"/>
        <v>750</v>
      </c>
      <c r="V7" s="8">
        <f t="shared" si="15"/>
        <v>1400</v>
      </c>
      <c r="X7" s="2">
        <f t="shared" si="16"/>
        <v>1</v>
      </c>
      <c r="Y7" s="63">
        <f t="shared" si="17"/>
        <v>750</v>
      </c>
      <c r="AA7" s="2">
        <f t="shared" si="18"/>
        <v>1</v>
      </c>
      <c r="AB7" s="2">
        <f t="shared" si="18"/>
        <v>-1</v>
      </c>
      <c r="AC7" s="63">
        <f t="shared" si="19"/>
        <v>600</v>
      </c>
    </row>
    <row r="8" spans="1:29" ht="15.75" x14ac:dyDescent="0.25">
      <c r="A8" s="5" t="str">
        <f t="shared" si="20"/>
        <v>c</v>
      </c>
      <c r="B8" s="2">
        <v>-1</v>
      </c>
      <c r="C8" s="2">
        <v>-1</v>
      </c>
      <c r="D8" s="2">
        <f t="shared" si="0"/>
        <v>1</v>
      </c>
      <c r="E8" s="2">
        <v>1</v>
      </c>
      <c r="F8" s="2">
        <f t="shared" si="1"/>
        <v>-1</v>
      </c>
      <c r="G8" s="2">
        <f t="shared" si="2"/>
        <v>-1</v>
      </c>
      <c r="H8" s="2">
        <f t="shared" si="3"/>
        <v>1</v>
      </c>
      <c r="I8" s="2">
        <v>-1</v>
      </c>
      <c r="J8" s="2">
        <f t="shared" si="5"/>
        <v>1</v>
      </c>
      <c r="K8" s="2">
        <f t="shared" si="6"/>
        <v>1</v>
      </c>
      <c r="L8" s="2">
        <f t="shared" si="4"/>
        <v>-1</v>
      </c>
      <c r="M8" s="2">
        <f t="shared" si="7"/>
        <v>-1</v>
      </c>
      <c r="N8" s="2">
        <f t="shared" si="8"/>
        <v>1</v>
      </c>
      <c r="O8" s="2">
        <f t="shared" si="9"/>
        <v>1</v>
      </c>
      <c r="P8" s="2">
        <f t="shared" si="10"/>
        <v>-1</v>
      </c>
      <c r="Q8" s="2">
        <v>633</v>
      </c>
      <c r="R8" s="2">
        <f t="shared" ref="R8" si="23">+Q8+100</f>
        <v>733</v>
      </c>
      <c r="S8" s="2">
        <f t="shared" si="12"/>
        <v>583</v>
      </c>
      <c r="T8" s="2">
        <f t="shared" si="13"/>
        <v>533</v>
      </c>
      <c r="U8" s="2">
        <f t="shared" si="14"/>
        <v>633</v>
      </c>
      <c r="V8" s="8">
        <f t="shared" si="15"/>
        <v>1366</v>
      </c>
      <c r="X8" s="2">
        <f t="shared" si="16"/>
        <v>-1</v>
      </c>
      <c r="Y8" s="63">
        <f t="shared" si="17"/>
        <v>633</v>
      </c>
      <c r="AA8" s="2">
        <f t="shared" si="18"/>
        <v>1</v>
      </c>
      <c r="AB8" s="2">
        <f t="shared" si="18"/>
        <v>-1</v>
      </c>
      <c r="AC8" s="63">
        <f t="shared" si="19"/>
        <v>583</v>
      </c>
    </row>
    <row r="9" spans="1:29" ht="15.75" x14ac:dyDescent="0.25">
      <c r="A9" s="5" t="str">
        <f t="shared" si="20"/>
        <v>ac</v>
      </c>
      <c r="B9" s="2">
        <v>1</v>
      </c>
      <c r="C9" s="2">
        <v>-1</v>
      </c>
      <c r="D9" s="2">
        <f t="shared" si="0"/>
        <v>-1</v>
      </c>
      <c r="E9" s="2">
        <v>1</v>
      </c>
      <c r="F9" s="2">
        <f t="shared" si="1"/>
        <v>1</v>
      </c>
      <c r="G9" s="2">
        <f t="shared" si="2"/>
        <v>-1</v>
      </c>
      <c r="H9" s="2">
        <f t="shared" si="3"/>
        <v>-1</v>
      </c>
      <c r="I9" s="2">
        <v>-1</v>
      </c>
      <c r="J9" s="2">
        <f t="shared" si="5"/>
        <v>-1</v>
      </c>
      <c r="K9" s="2">
        <f t="shared" si="6"/>
        <v>1</v>
      </c>
      <c r="L9" s="2">
        <f t="shared" si="4"/>
        <v>1</v>
      </c>
      <c r="M9" s="2">
        <f t="shared" si="7"/>
        <v>-1</v>
      </c>
      <c r="N9" s="2">
        <f t="shared" si="8"/>
        <v>-1</v>
      </c>
      <c r="O9" s="2">
        <f t="shared" si="9"/>
        <v>1</v>
      </c>
      <c r="P9" s="2">
        <f t="shared" si="10"/>
        <v>1</v>
      </c>
      <c r="Q9" s="2">
        <v>642</v>
      </c>
      <c r="R9" s="2">
        <f t="shared" ref="R9" si="24">+Q9+100</f>
        <v>742</v>
      </c>
      <c r="S9" s="2">
        <f t="shared" si="12"/>
        <v>592</v>
      </c>
      <c r="T9" s="2">
        <f t="shared" si="13"/>
        <v>542</v>
      </c>
      <c r="U9" s="2">
        <f t="shared" si="14"/>
        <v>742</v>
      </c>
      <c r="V9" s="8">
        <f t="shared" si="15"/>
        <v>1384</v>
      </c>
      <c r="X9" s="2">
        <f t="shared" si="16"/>
        <v>1</v>
      </c>
      <c r="Y9" s="63">
        <f t="shared" si="17"/>
        <v>742</v>
      </c>
      <c r="AA9" s="2">
        <f t="shared" si="18"/>
        <v>-1</v>
      </c>
      <c r="AB9" s="2">
        <f t="shared" si="18"/>
        <v>1</v>
      </c>
      <c r="AC9" s="63">
        <f t="shared" si="19"/>
        <v>742</v>
      </c>
    </row>
    <row r="10" spans="1:29" ht="15.75" x14ac:dyDescent="0.25">
      <c r="A10" s="5" t="str">
        <f t="shared" si="20"/>
        <v>bc</v>
      </c>
      <c r="B10" s="2">
        <v>-1</v>
      </c>
      <c r="C10" s="2">
        <v>1</v>
      </c>
      <c r="D10" s="2">
        <f t="shared" si="0"/>
        <v>-1</v>
      </c>
      <c r="E10" s="2">
        <v>1</v>
      </c>
      <c r="F10" s="2">
        <f t="shared" si="1"/>
        <v>-1</v>
      </c>
      <c r="G10" s="2">
        <f t="shared" si="2"/>
        <v>1</v>
      </c>
      <c r="H10" s="2">
        <f t="shared" si="3"/>
        <v>-1</v>
      </c>
      <c r="I10" s="2">
        <v>-1</v>
      </c>
      <c r="J10" s="2">
        <f t="shared" si="5"/>
        <v>1</v>
      </c>
      <c r="K10" s="2">
        <f t="shared" si="6"/>
        <v>-1</v>
      </c>
      <c r="L10" s="2">
        <f t="shared" si="4"/>
        <v>1</v>
      </c>
      <c r="M10" s="2">
        <f t="shared" si="7"/>
        <v>-1</v>
      </c>
      <c r="N10" s="2">
        <f t="shared" si="8"/>
        <v>1</v>
      </c>
      <c r="O10" s="2">
        <f t="shared" si="9"/>
        <v>-1</v>
      </c>
      <c r="P10" s="2">
        <f t="shared" si="10"/>
        <v>1</v>
      </c>
      <c r="Q10" s="2">
        <v>601</v>
      </c>
      <c r="R10" s="2">
        <f t="shared" ref="R10" si="25">+Q10+100</f>
        <v>701</v>
      </c>
      <c r="S10" s="2">
        <f t="shared" si="12"/>
        <v>551</v>
      </c>
      <c r="T10" s="2">
        <f t="shared" si="13"/>
        <v>501</v>
      </c>
      <c r="U10" s="2">
        <f t="shared" si="14"/>
        <v>701</v>
      </c>
      <c r="V10" s="8">
        <f t="shared" si="15"/>
        <v>1302</v>
      </c>
      <c r="X10" s="2">
        <f t="shared" si="16"/>
        <v>1</v>
      </c>
      <c r="Y10" s="63">
        <f t="shared" si="17"/>
        <v>701</v>
      </c>
      <c r="AA10" s="2">
        <f t="shared" si="18"/>
        <v>-1</v>
      </c>
      <c r="AB10" s="2">
        <f t="shared" si="18"/>
        <v>-1</v>
      </c>
      <c r="AC10" s="63">
        <f t="shared" si="19"/>
        <v>601</v>
      </c>
    </row>
    <row r="11" spans="1:29" ht="15.75" x14ac:dyDescent="0.25">
      <c r="A11" s="5" t="str">
        <f t="shared" si="20"/>
        <v>abc</v>
      </c>
      <c r="B11" s="2">
        <v>1</v>
      </c>
      <c r="C11" s="2">
        <v>1</v>
      </c>
      <c r="D11" s="2">
        <f t="shared" si="0"/>
        <v>1</v>
      </c>
      <c r="E11" s="2">
        <v>1</v>
      </c>
      <c r="F11" s="2">
        <f t="shared" si="1"/>
        <v>1</v>
      </c>
      <c r="G11" s="2">
        <f t="shared" si="2"/>
        <v>1</v>
      </c>
      <c r="H11" s="2">
        <f t="shared" si="3"/>
        <v>1</v>
      </c>
      <c r="I11" s="2">
        <v>-1</v>
      </c>
      <c r="J11" s="2">
        <f t="shared" si="5"/>
        <v>-1</v>
      </c>
      <c r="K11" s="2">
        <f t="shared" si="6"/>
        <v>-1</v>
      </c>
      <c r="L11" s="2">
        <f t="shared" si="4"/>
        <v>-1</v>
      </c>
      <c r="M11" s="2">
        <f t="shared" si="7"/>
        <v>-1</v>
      </c>
      <c r="N11" s="2">
        <f t="shared" si="8"/>
        <v>-1</v>
      </c>
      <c r="O11" s="2">
        <f t="shared" si="9"/>
        <v>-1</v>
      </c>
      <c r="P11" s="2">
        <f t="shared" si="10"/>
        <v>-1</v>
      </c>
      <c r="Q11" s="2">
        <v>635</v>
      </c>
      <c r="R11" s="2">
        <f t="shared" ref="R11" si="26">+Q11+100</f>
        <v>735</v>
      </c>
      <c r="S11" s="2">
        <f t="shared" si="12"/>
        <v>585</v>
      </c>
      <c r="T11" s="2">
        <f t="shared" si="13"/>
        <v>535</v>
      </c>
      <c r="U11" s="2">
        <f t="shared" si="14"/>
        <v>635</v>
      </c>
      <c r="V11" s="8">
        <f t="shared" si="15"/>
        <v>1370</v>
      </c>
      <c r="X11" s="2">
        <f t="shared" si="16"/>
        <v>-1</v>
      </c>
      <c r="Y11" s="63">
        <f t="shared" si="17"/>
        <v>635</v>
      </c>
      <c r="AA11" s="2">
        <f t="shared" si="18"/>
        <v>1</v>
      </c>
      <c r="AB11" s="2">
        <f t="shared" si="18"/>
        <v>1</v>
      </c>
      <c r="AC11" s="63">
        <f t="shared" si="19"/>
        <v>535</v>
      </c>
    </row>
    <row r="12" spans="1:29" ht="15.75" x14ac:dyDescent="0.25">
      <c r="A12" s="5" t="str">
        <f t="shared" si="20"/>
        <v>d</v>
      </c>
      <c r="B12" s="2">
        <v>-1</v>
      </c>
      <c r="C12" s="2">
        <v>-1</v>
      </c>
      <c r="D12" s="2">
        <f t="shared" si="0"/>
        <v>1</v>
      </c>
      <c r="E12" s="2">
        <v>-1</v>
      </c>
      <c r="F12" s="2">
        <f t="shared" si="1"/>
        <v>1</v>
      </c>
      <c r="G12" s="2">
        <f t="shared" si="2"/>
        <v>1</v>
      </c>
      <c r="H12" s="2">
        <f t="shared" si="3"/>
        <v>-1</v>
      </c>
      <c r="I12" s="2">
        <v>1</v>
      </c>
      <c r="J12" s="2">
        <f t="shared" si="5"/>
        <v>-1</v>
      </c>
      <c r="K12" s="2">
        <f t="shared" si="6"/>
        <v>-1</v>
      </c>
      <c r="L12" s="2">
        <f t="shared" si="4"/>
        <v>1</v>
      </c>
      <c r="M12" s="2">
        <f t="shared" si="7"/>
        <v>-1</v>
      </c>
      <c r="N12" s="2">
        <f t="shared" si="8"/>
        <v>1</v>
      </c>
      <c r="O12" s="2">
        <f t="shared" si="9"/>
        <v>1</v>
      </c>
      <c r="P12" s="2">
        <f t="shared" si="10"/>
        <v>-1</v>
      </c>
      <c r="Q12" s="2">
        <v>1037</v>
      </c>
      <c r="R12" s="2">
        <f t="shared" ref="R12" si="27">+Q12+100</f>
        <v>1137</v>
      </c>
      <c r="S12" s="2">
        <f t="shared" si="12"/>
        <v>987</v>
      </c>
      <c r="T12" s="2">
        <f t="shared" si="13"/>
        <v>937</v>
      </c>
      <c r="U12" s="2">
        <f t="shared" si="14"/>
        <v>1037</v>
      </c>
      <c r="V12" s="8">
        <f t="shared" si="15"/>
        <v>2174</v>
      </c>
      <c r="X12" s="2">
        <f t="shared" si="16"/>
        <v>-1</v>
      </c>
      <c r="Y12" s="63">
        <f t="shared" si="17"/>
        <v>1037</v>
      </c>
      <c r="AA12" s="2">
        <f t="shared" si="18"/>
        <v>1</v>
      </c>
      <c r="AB12" s="2">
        <f t="shared" si="18"/>
        <v>1</v>
      </c>
      <c r="AC12" s="63">
        <f t="shared" si="19"/>
        <v>937</v>
      </c>
    </row>
    <row r="13" spans="1:29" ht="15.75" x14ac:dyDescent="0.25">
      <c r="A13" s="5" t="str">
        <f t="shared" si="20"/>
        <v>ad</v>
      </c>
      <c r="B13" s="2">
        <v>1</v>
      </c>
      <c r="C13" s="2">
        <v>-1</v>
      </c>
      <c r="D13" s="2">
        <f t="shared" si="0"/>
        <v>-1</v>
      </c>
      <c r="E13" s="2">
        <v>-1</v>
      </c>
      <c r="F13" s="2">
        <f t="shared" si="1"/>
        <v>-1</v>
      </c>
      <c r="G13" s="2">
        <f t="shared" si="2"/>
        <v>1</v>
      </c>
      <c r="H13" s="2">
        <f t="shared" si="3"/>
        <v>1</v>
      </c>
      <c r="I13" s="2">
        <v>1</v>
      </c>
      <c r="J13" s="2">
        <f t="shared" si="5"/>
        <v>1</v>
      </c>
      <c r="K13" s="2">
        <f t="shared" si="6"/>
        <v>-1</v>
      </c>
      <c r="L13" s="2">
        <f t="shared" si="4"/>
        <v>-1</v>
      </c>
      <c r="M13" s="2">
        <f t="shared" si="7"/>
        <v>-1</v>
      </c>
      <c r="N13" s="2">
        <f t="shared" si="8"/>
        <v>-1</v>
      </c>
      <c r="O13" s="2">
        <f t="shared" si="9"/>
        <v>1</v>
      </c>
      <c r="P13" s="2">
        <f t="shared" si="10"/>
        <v>1</v>
      </c>
      <c r="Q13" s="2">
        <v>749</v>
      </c>
      <c r="R13" s="2">
        <f t="shared" ref="R13" si="28">+Q13+100</f>
        <v>849</v>
      </c>
      <c r="S13" s="2">
        <f t="shared" si="12"/>
        <v>699</v>
      </c>
      <c r="T13" s="2">
        <f t="shared" si="13"/>
        <v>649</v>
      </c>
      <c r="U13" s="2">
        <f t="shared" si="14"/>
        <v>849</v>
      </c>
      <c r="V13" s="8">
        <f t="shared" si="15"/>
        <v>1598</v>
      </c>
      <c r="X13" s="2">
        <f t="shared" si="16"/>
        <v>1</v>
      </c>
      <c r="Y13" s="63">
        <f t="shared" si="17"/>
        <v>849</v>
      </c>
      <c r="AA13" s="2">
        <f t="shared" si="18"/>
        <v>-1</v>
      </c>
      <c r="AB13" s="2">
        <f t="shared" si="18"/>
        <v>-1</v>
      </c>
      <c r="AC13" s="63">
        <f t="shared" si="19"/>
        <v>749</v>
      </c>
    </row>
    <row r="14" spans="1:29" ht="15.75" x14ac:dyDescent="0.25">
      <c r="A14" s="5" t="str">
        <f t="shared" si="20"/>
        <v>bd</v>
      </c>
      <c r="B14" s="2">
        <v>-1</v>
      </c>
      <c r="C14" s="2">
        <v>1</v>
      </c>
      <c r="D14" s="2">
        <f t="shared" si="0"/>
        <v>-1</v>
      </c>
      <c r="E14" s="2">
        <v>-1</v>
      </c>
      <c r="F14" s="2">
        <f t="shared" si="1"/>
        <v>1</v>
      </c>
      <c r="G14" s="2">
        <f t="shared" si="2"/>
        <v>-1</v>
      </c>
      <c r="H14" s="2">
        <f t="shared" si="3"/>
        <v>1</v>
      </c>
      <c r="I14" s="2">
        <v>1</v>
      </c>
      <c r="J14" s="2">
        <f t="shared" si="5"/>
        <v>-1</v>
      </c>
      <c r="K14" s="2">
        <f t="shared" si="6"/>
        <v>1</v>
      </c>
      <c r="L14" s="2">
        <f t="shared" si="4"/>
        <v>-1</v>
      </c>
      <c r="M14" s="2">
        <f t="shared" si="7"/>
        <v>-1</v>
      </c>
      <c r="N14" s="2">
        <f t="shared" si="8"/>
        <v>1</v>
      </c>
      <c r="O14" s="2">
        <f t="shared" si="9"/>
        <v>-1</v>
      </c>
      <c r="P14" s="2">
        <f t="shared" si="10"/>
        <v>1</v>
      </c>
      <c r="Q14" s="2">
        <v>1052</v>
      </c>
      <c r="R14" s="2">
        <f t="shared" ref="R14" si="29">+Q14+100</f>
        <v>1152</v>
      </c>
      <c r="S14" s="2">
        <f t="shared" si="12"/>
        <v>1002</v>
      </c>
      <c r="T14" s="2">
        <f t="shared" si="13"/>
        <v>952</v>
      </c>
      <c r="U14" s="2">
        <f t="shared" si="14"/>
        <v>1152</v>
      </c>
      <c r="V14" s="8">
        <f t="shared" si="15"/>
        <v>2204</v>
      </c>
      <c r="X14" s="2">
        <f t="shared" si="16"/>
        <v>1</v>
      </c>
      <c r="Y14" s="63">
        <f t="shared" si="17"/>
        <v>1152</v>
      </c>
      <c r="AA14" s="2">
        <f t="shared" si="18"/>
        <v>-1</v>
      </c>
      <c r="AB14" s="2">
        <f t="shared" si="18"/>
        <v>1</v>
      </c>
      <c r="AC14" s="63">
        <f t="shared" si="19"/>
        <v>1152</v>
      </c>
    </row>
    <row r="15" spans="1:29" ht="15.75" x14ac:dyDescent="0.25">
      <c r="A15" s="5" t="str">
        <f t="shared" si="20"/>
        <v>abd</v>
      </c>
      <c r="B15" s="2">
        <v>1</v>
      </c>
      <c r="C15" s="2">
        <v>1</v>
      </c>
      <c r="D15" s="2">
        <f t="shared" si="0"/>
        <v>1</v>
      </c>
      <c r="E15" s="2">
        <v>-1</v>
      </c>
      <c r="F15" s="2">
        <f t="shared" si="1"/>
        <v>-1</v>
      </c>
      <c r="G15" s="2">
        <f t="shared" si="2"/>
        <v>-1</v>
      </c>
      <c r="H15" s="2">
        <f t="shared" si="3"/>
        <v>-1</v>
      </c>
      <c r="I15" s="2">
        <v>1</v>
      </c>
      <c r="J15" s="2">
        <f t="shared" si="5"/>
        <v>1</v>
      </c>
      <c r="K15" s="2">
        <f t="shared" si="6"/>
        <v>1</v>
      </c>
      <c r="L15" s="2">
        <f t="shared" si="4"/>
        <v>1</v>
      </c>
      <c r="M15" s="2">
        <f t="shared" si="7"/>
        <v>-1</v>
      </c>
      <c r="N15" s="2">
        <f t="shared" si="8"/>
        <v>-1</v>
      </c>
      <c r="O15" s="2">
        <f t="shared" si="9"/>
        <v>-1</v>
      </c>
      <c r="P15" s="2">
        <f t="shared" si="10"/>
        <v>-1</v>
      </c>
      <c r="Q15" s="2">
        <v>868</v>
      </c>
      <c r="R15" s="2">
        <f t="shared" ref="R15" si="30">+Q15+100</f>
        <v>968</v>
      </c>
      <c r="S15" s="2">
        <f t="shared" si="12"/>
        <v>818</v>
      </c>
      <c r="T15" s="2">
        <f t="shared" si="13"/>
        <v>768</v>
      </c>
      <c r="U15" s="2">
        <f t="shared" si="14"/>
        <v>868</v>
      </c>
      <c r="V15" s="8">
        <f t="shared" si="15"/>
        <v>1836</v>
      </c>
      <c r="X15" s="2">
        <f t="shared" si="16"/>
        <v>-1</v>
      </c>
      <c r="Y15" s="63">
        <f t="shared" si="17"/>
        <v>868</v>
      </c>
      <c r="AA15" s="2">
        <f t="shared" si="18"/>
        <v>1</v>
      </c>
      <c r="AB15" s="2">
        <f t="shared" si="18"/>
        <v>-1</v>
      </c>
      <c r="AC15" s="63">
        <f t="shared" si="19"/>
        <v>818</v>
      </c>
    </row>
    <row r="16" spans="1:29" ht="15.75" x14ac:dyDescent="0.25">
      <c r="A16" s="5" t="str">
        <f t="shared" si="20"/>
        <v>cd</v>
      </c>
      <c r="B16" s="2">
        <v>-1</v>
      </c>
      <c r="C16" s="2">
        <v>-1</v>
      </c>
      <c r="D16" s="2">
        <f t="shared" si="0"/>
        <v>1</v>
      </c>
      <c r="E16" s="2">
        <v>1</v>
      </c>
      <c r="F16" s="2">
        <f t="shared" si="1"/>
        <v>-1</v>
      </c>
      <c r="G16" s="2">
        <f t="shared" si="2"/>
        <v>-1</v>
      </c>
      <c r="H16" s="2">
        <f t="shared" si="3"/>
        <v>1</v>
      </c>
      <c r="I16" s="2">
        <v>1</v>
      </c>
      <c r="J16" s="2">
        <f t="shared" si="5"/>
        <v>-1</v>
      </c>
      <c r="K16" s="2">
        <f t="shared" si="6"/>
        <v>-1</v>
      </c>
      <c r="L16" s="2">
        <f t="shared" si="4"/>
        <v>1</v>
      </c>
      <c r="M16" s="2">
        <f t="shared" si="7"/>
        <v>1</v>
      </c>
      <c r="N16" s="2">
        <f t="shared" si="8"/>
        <v>-1</v>
      </c>
      <c r="O16" s="2">
        <f t="shared" si="9"/>
        <v>-1</v>
      </c>
      <c r="P16" s="2">
        <f t="shared" si="10"/>
        <v>1</v>
      </c>
      <c r="Q16" s="2">
        <v>1075</v>
      </c>
      <c r="R16" s="2">
        <f t="shared" ref="R16" si="31">+Q16+100</f>
        <v>1175</v>
      </c>
      <c r="S16" s="2">
        <f t="shared" si="12"/>
        <v>1025</v>
      </c>
      <c r="T16" s="2">
        <f t="shared" si="13"/>
        <v>975</v>
      </c>
      <c r="U16" s="2">
        <f t="shared" si="14"/>
        <v>1175</v>
      </c>
      <c r="V16" s="8">
        <f t="shared" si="15"/>
        <v>2250</v>
      </c>
      <c r="X16" s="2">
        <f t="shared" si="16"/>
        <v>1</v>
      </c>
      <c r="Y16" s="63">
        <f t="shared" si="17"/>
        <v>1175</v>
      </c>
      <c r="AA16" s="2">
        <f t="shared" si="18"/>
        <v>1</v>
      </c>
      <c r="AB16" s="2">
        <f t="shared" si="18"/>
        <v>-1</v>
      </c>
      <c r="AC16" s="63">
        <f t="shared" si="19"/>
        <v>1025</v>
      </c>
    </row>
    <row r="17" spans="1:29" ht="15.75" x14ac:dyDescent="0.25">
      <c r="A17" s="5" t="str">
        <f t="shared" si="20"/>
        <v>acd</v>
      </c>
      <c r="B17" s="2">
        <v>1</v>
      </c>
      <c r="C17" s="2">
        <v>-1</v>
      </c>
      <c r="D17" s="2">
        <f t="shared" si="0"/>
        <v>-1</v>
      </c>
      <c r="E17" s="2">
        <v>1</v>
      </c>
      <c r="F17" s="2">
        <f t="shared" si="1"/>
        <v>1</v>
      </c>
      <c r="G17" s="2">
        <f t="shared" si="2"/>
        <v>-1</v>
      </c>
      <c r="H17" s="2">
        <f t="shared" si="3"/>
        <v>-1</v>
      </c>
      <c r="I17" s="2">
        <v>1</v>
      </c>
      <c r="J17" s="2">
        <f t="shared" si="5"/>
        <v>1</v>
      </c>
      <c r="K17" s="2">
        <f t="shared" si="6"/>
        <v>-1</v>
      </c>
      <c r="L17" s="2">
        <f t="shared" si="4"/>
        <v>-1</v>
      </c>
      <c r="M17" s="2">
        <f t="shared" si="7"/>
        <v>1</v>
      </c>
      <c r="N17" s="2">
        <f t="shared" si="8"/>
        <v>1</v>
      </c>
      <c r="O17" s="2">
        <f t="shared" si="9"/>
        <v>-1</v>
      </c>
      <c r="P17" s="2">
        <f t="shared" si="10"/>
        <v>-1</v>
      </c>
      <c r="Q17" s="2">
        <v>860</v>
      </c>
      <c r="R17" s="2">
        <f t="shared" ref="R17" si="32">+Q17+100</f>
        <v>960</v>
      </c>
      <c r="S17" s="2">
        <f t="shared" si="12"/>
        <v>810</v>
      </c>
      <c r="T17" s="2">
        <f t="shared" si="13"/>
        <v>760</v>
      </c>
      <c r="U17" s="2">
        <f t="shared" si="14"/>
        <v>860</v>
      </c>
      <c r="V17" s="8">
        <f t="shared" si="15"/>
        <v>1820</v>
      </c>
      <c r="X17" s="2">
        <f t="shared" si="16"/>
        <v>-1</v>
      </c>
      <c r="Y17" s="63">
        <f t="shared" si="17"/>
        <v>860</v>
      </c>
      <c r="AA17" s="2">
        <f t="shared" si="18"/>
        <v>-1</v>
      </c>
      <c r="AB17" s="2">
        <f t="shared" si="18"/>
        <v>1</v>
      </c>
      <c r="AC17" s="63">
        <f t="shared" si="19"/>
        <v>960</v>
      </c>
    </row>
    <row r="18" spans="1:29" ht="15.75" x14ac:dyDescent="0.25">
      <c r="A18" s="5" t="str">
        <f t="shared" si="20"/>
        <v>bcd</v>
      </c>
      <c r="B18" s="2">
        <v>-1</v>
      </c>
      <c r="C18" s="2">
        <v>1</v>
      </c>
      <c r="D18" s="2">
        <f t="shared" si="0"/>
        <v>-1</v>
      </c>
      <c r="E18" s="2">
        <v>1</v>
      </c>
      <c r="F18" s="2">
        <f t="shared" si="1"/>
        <v>-1</v>
      </c>
      <c r="G18" s="2">
        <f t="shared" si="2"/>
        <v>1</v>
      </c>
      <c r="H18" s="2">
        <f t="shared" si="3"/>
        <v>-1</v>
      </c>
      <c r="I18" s="2">
        <v>1</v>
      </c>
      <c r="J18" s="2">
        <f t="shared" si="5"/>
        <v>-1</v>
      </c>
      <c r="K18" s="2">
        <f t="shared" si="6"/>
        <v>1</v>
      </c>
      <c r="L18" s="2">
        <f t="shared" si="4"/>
        <v>-1</v>
      </c>
      <c r="M18" s="2">
        <f t="shared" si="7"/>
        <v>1</v>
      </c>
      <c r="N18" s="2">
        <f t="shared" si="8"/>
        <v>-1</v>
      </c>
      <c r="O18" s="2">
        <f t="shared" si="9"/>
        <v>1</v>
      </c>
      <c r="P18" s="2">
        <f t="shared" si="10"/>
        <v>-1</v>
      </c>
      <c r="Q18" s="2">
        <v>1063</v>
      </c>
      <c r="R18" s="2">
        <f t="shared" ref="R18" si="33">+Q18+100</f>
        <v>1163</v>
      </c>
      <c r="S18" s="2">
        <f t="shared" si="12"/>
        <v>1013</v>
      </c>
      <c r="T18" s="2">
        <f t="shared" si="13"/>
        <v>963</v>
      </c>
      <c r="U18" s="2">
        <f t="shared" si="14"/>
        <v>1063</v>
      </c>
      <c r="V18" s="8">
        <f t="shared" si="15"/>
        <v>2226</v>
      </c>
      <c r="X18" s="2">
        <f t="shared" si="16"/>
        <v>-1</v>
      </c>
      <c r="Y18" s="63">
        <f t="shared" si="17"/>
        <v>1063</v>
      </c>
      <c r="AA18" s="2">
        <f t="shared" si="18"/>
        <v>-1</v>
      </c>
      <c r="AB18" s="2">
        <f t="shared" si="18"/>
        <v>-1</v>
      </c>
      <c r="AC18" s="63">
        <f t="shared" si="19"/>
        <v>1063</v>
      </c>
    </row>
    <row r="19" spans="1:29" ht="15.75" x14ac:dyDescent="0.25">
      <c r="A19" s="5" t="str">
        <f t="shared" si="20"/>
        <v>abcd</v>
      </c>
      <c r="B19" s="2">
        <v>1</v>
      </c>
      <c r="C19" s="2">
        <v>1</v>
      </c>
      <c r="D19" s="2">
        <f t="shared" si="0"/>
        <v>1</v>
      </c>
      <c r="E19" s="2">
        <v>1</v>
      </c>
      <c r="F19" s="2">
        <f t="shared" si="1"/>
        <v>1</v>
      </c>
      <c r="G19" s="2">
        <f t="shared" si="2"/>
        <v>1</v>
      </c>
      <c r="H19" s="2">
        <f t="shared" si="3"/>
        <v>1</v>
      </c>
      <c r="I19" s="2">
        <v>1</v>
      </c>
      <c r="J19" s="2">
        <f t="shared" si="5"/>
        <v>1</v>
      </c>
      <c r="K19" s="2">
        <f t="shared" si="6"/>
        <v>1</v>
      </c>
      <c r="L19" s="2">
        <f t="shared" si="4"/>
        <v>1</v>
      </c>
      <c r="M19" s="2">
        <f t="shared" si="7"/>
        <v>1</v>
      </c>
      <c r="N19" s="2">
        <f t="shared" si="8"/>
        <v>1</v>
      </c>
      <c r="O19" s="2">
        <f t="shared" si="9"/>
        <v>1</v>
      </c>
      <c r="P19" s="2">
        <f t="shared" si="10"/>
        <v>1</v>
      </c>
      <c r="Q19" s="2">
        <v>729</v>
      </c>
      <c r="R19" s="2">
        <f t="shared" ref="R19" si="34">+Q19+100</f>
        <v>829</v>
      </c>
      <c r="S19" s="2">
        <f t="shared" si="12"/>
        <v>679</v>
      </c>
      <c r="T19" s="2">
        <f t="shared" si="13"/>
        <v>629</v>
      </c>
      <c r="U19" s="2">
        <f t="shared" si="14"/>
        <v>829</v>
      </c>
      <c r="V19" s="8">
        <f t="shared" si="15"/>
        <v>1558</v>
      </c>
      <c r="X19" s="2">
        <f t="shared" si="16"/>
        <v>1</v>
      </c>
      <c r="Y19" s="63">
        <f t="shared" si="17"/>
        <v>829</v>
      </c>
      <c r="AA19" s="2">
        <f t="shared" si="18"/>
        <v>1</v>
      </c>
      <c r="AB19" s="2">
        <f t="shared" si="18"/>
        <v>1</v>
      </c>
      <c r="AC19" s="63">
        <f t="shared" si="19"/>
        <v>629</v>
      </c>
    </row>
    <row r="20" spans="1:29" x14ac:dyDescent="0.25">
      <c r="S20" s="46"/>
      <c r="T20" s="46"/>
      <c r="U20" s="2">
        <f t="shared" si="14"/>
        <v>0</v>
      </c>
    </row>
    <row r="21" spans="1:29" ht="15.75" thickBot="1" x14ac:dyDescent="0.3">
      <c r="P21" t="s">
        <v>51</v>
      </c>
      <c r="Q21" s="2">
        <f>+AVERAGE(Q4:Q19)</f>
        <v>776.0625</v>
      </c>
      <c r="R21" s="2">
        <f t="shared" ref="R21:T21" si="35">+AVERAGE(R4:R19)</f>
        <v>876.0625</v>
      </c>
      <c r="S21" s="2">
        <f t="shared" si="35"/>
        <v>726.0625</v>
      </c>
      <c r="T21" s="2">
        <f t="shared" si="35"/>
        <v>676.0625</v>
      </c>
      <c r="U21" s="2">
        <f t="shared" si="14"/>
        <v>0</v>
      </c>
    </row>
    <row r="22" spans="1:29" x14ac:dyDescent="0.25">
      <c r="B22" s="68" t="s">
        <v>69</v>
      </c>
      <c r="C22" s="69"/>
      <c r="D22" s="70"/>
      <c r="P22" t="s">
        <v>52</v>
      </c>
      <c r="Q22" s="2">
        <f>+SUMSQ(Q4:Q19)-SUM(Q4:Q19)^2 /16</f>
        <v>531420.9375</v>
      </c>
      <c r="R22" s="2">
        <f t="shared" ref="R22:T22" si="36">+SUMSQ(R4:R19)-SUM(R4:R19)^2 /16</f>
        <v>531420.9375</v>
      </c>
      <c r="S22" s="2">
        <f t="shared" si="36"/>
        <v>531420.9375</v>
      </c>
      <c r="T22" s="2">
        <f t="shared" si="36"/>
        <v>531420.9375</v>
      </c>
      <c r="U22" s="2">
        <f t="shared" si="14"/>
        <v>0</v>
      </c>
    </row>
    <row r="23" spans="1:29" x14ac:dyDescent="0.25">
      <c r="B23" s="71" t="s">
        <v>70</v>
      </c>
      <c r="C23" s="72"/>
      <c r="D23" s="73"/>
      <c r="P23" t="str">
        <f>+P22</f>
        <v>SS_T</v>
      </c>
      <c r="Q23" s="2">
        <f>+_xlfn.VAR.P(Q4:Q19)*COUNT(Q4:Q19)</f>
        <v>531420.9375</v>
      </c>
      <c r="R23" s="2">
        <f t="shared" ref="R23:T23" si="37">+_xlfn.VAR.S(R4:R19)*15</f>
        <v>531420.9375</v>
      </c>
      <c r="S23" s="2">
        <f t="shared" si="37"/>
        <v>531420.9375</v>
      </c>
      <c r="T23" s="2">
        <f t="shared" si="37"/>
        <v>531420.9375</v>
      </c>
      <c r="U23" s="2">
        <f t="shared" si="14"/>
        <v>0</v>
      </c>
    </row>
    <row r="24" spans="1:29" ht="15.75" thickBot="1" x14ac:dyDescent="0.3">
      <c r="B24" s="74" t="s">
        <v>71</v>
      </c>
      <c r="C24" s="75"/>
      <c r="D24" s="76"/>
    </row>
    <row r="25" spans="1:29" x14ac:dyDescent="0.25">
      <c r="U25" s="43" t="s">
        <v>50</v>
      </c>
      <c r="V25" s="54">
        <f>+SUM(V4:V19)/(SUM(Q2:U2)*16)</f>
        <v>826.0625</v>
      </c>
    </row>
    <row r="26" spans="1:29" x14ac:dyDescent="0.25">
      <c r="U26" s="44" t="s">
        <v>52</v>
      </c>
      <c r="V26" s="53">
        <f>+V33</f>
        <v>1142841.875</v>
      </c>
    </row>
    <row r="27" spans="1:29" x14ac:dyDescent="0.25">
      <c r="P27" t="s">
        <v>24</v>
      </c>
      <c r="Q27" t="s">
        <v>53</v>
      </c>
    </row>
    <row r="28" spans="1:29" x14ac:dyDescent="0.25">
      <c r="Q28" s="55">
        <f>+_xlfn.VAR.P($Q4:Q19)*COUNT($Q4:Q19)</f>
        <v>531420.9375</v>
      </c>
      <c r="R28" s="55">
        <f>+_xlfn.VAR.P($Q4:R19)*COUNT($Q4:R19)</f>
        <v>1142841.875</v>
      </c>
      <c r="S28" s="55">
        <f>+_xlfn.VAR.P($Q4:S19)*COUNT($Q4:S19)</f>
        <v>1780929.4791666667</v>
      </c>
      <c r="T28" s="55">
        <f>+_xlfn.VAR.P($Q4:T19)*COUNT($Q4:T19)</f>
        <v>2475683.75</v>
      </c>
      <c r="U28" s="55">
        <f>+_xlfn.VAR.P($Q4:U19)*COUNT($Q4:U19)</f>
        <v>3065004.6875</v>
      </c>
    </row>
    <row r="29" spans="1:29" x14ac:dyDescent="0.25">
      <c r="Q29" t="s">
        <v>55</v>
      </c>
    </row>
    <row r="30" spans="1:29" x14ac:dyDescent="0.25">
      <c r="P30" s="56" t="s">
        <v>56</v>
      </c>
      <c r="Q30" s="2">
        <f>+SUMSQ(Q4:Q19)</f>
        <v>10167789</v>
      </c>
      <c r="R30" s="2">
        <f>+SUMSQ(R4:R19)</f>
        <v>12811189</v>
      </c>
      <c r="S30" s="2">
        <f t="shared" ref="S30:U30" si="38">+SUMSQ(S4:S19)</f>
        <v>8966089</v>
      </c>
      <c r="T30" s="2">
        <f t="shared" si="38"/>
        <v>7844389</v>
      </c>
      <c r="U30" s="2">
        <f t="shared" si="38"/>
        <v>11457389</v>
      </c>
      <c r="V30" s="52">
        <f>+SUMPRODUCT(Q30:U30,Q$2:U$2)</f>
        <v>22978978</v>
      </c>
    </row>
    <row r="31" spans="1:29" x14ac:dyDescent="0.25">
      <c r="P31" t="s">
        <v>57</v>
      </c>
      <c r="Q31" s="2">
        <f>+SUM(Q4:Q19)</f>
        <v>12417</v>
      </c>
      <c r="R31" s="2">
        <f>+SUM(R4:R19)</f>
        <v>14017</v>
      </c>
      <c r="S31" s="2">
        <f t="shared" ref="S31:U31" si="39">+SUM(S4:S19)</f>
        <v>11617</v>
      </c>
      <c r="T31" s="2">
        <f t="shared" si="39"/>
        <v>10817</v>
      </c>
      <c r="U31" s="2">
        <f t="shared" si="39"/>
        <v>13217</v>
      </c>
      <c r="V31" s="52">
        <f>+SUMPRODUCT(Q31:U31,Q$2:U$2)</f>
        <v>26434</v>
      </c>
    </row>
    <row r="32" spans="1:29" x14ac:dyDescent="0.25">
      <c r="U32" s="56" t="s">
        <v>58</v>
      </c>
      <c r="V32">
        <f>+SUM(Q2:U2)*16</f>
        <v>32</v>
      </c>
    </row>
    <row r="33" spans="22:22" x14ac:dyDescent="0.25">
      <c r="V33" s="53">
        <f>+V30-V31^2/V32</f>
        <v>1142841.875</v>
      </c>
    </row>
  </sheetData>
  <mergeCells count="1">
    <mergeCell ref="Q1:U1"/>
  </mergeCells>
  <conditionalFormatting sqref="D4:P19">
    <cfRule type="colorScale" priority="15">
      <colorScale>
        <cfvo type="min"/>
        <cfvo type="max"/>
        <color rgb="FF63BE7B"/>
        <color rgb="FFFFEF9C"/>
      </colorScale>
    </cfRule>
  </conditionalFormatting>
  <conditionalFormatting sqref="B4:C19">
    <cfRule type="colorScale" priority="12">
      <colorScale>
        <cfvo type="min"/>
        <cfvo type="max"/>
        <color rgb="FF63BE7B"/>
        <color rgb="FFFFEF9C"/>
      </colorScale>
    </cfRule>
  </conditionalFormatting>
  <conditionalFormatting sqref="Q4:Q19">
    <cfRule type="expression" dxfId="7" priority="9">
      <formula>1-Q$2</formula>
    </cfRule>
  </conditionalFormatting>
  <conditionalFormatting sqref="Q23:T23">
    <cfRule type="expression" dxfId="6" priority="6">
      <formula>1-Q$2</formula>
    </cfRule>
  </conditionalFormatting>
  <conditionalFormatting sqref="Q21:T22">
    <cfRule type="expression" dxfId="5" priority="7">
      <formula>1-Q$2</formula>
    </cfRule>
  </conditionalFormatting>
  <conditionalFormatting sqref="R4:U4 R5:T19 U5:U23">
    <cfRule type="expression" dxfId="4" priority="5">
      <formula>1-R$2</formula>
    </cfRule>
  </conditionalFormatting>
  <conditionalFormatting sqref="Q30:U31">
    <cfRule type="expression" dxfId="3" priority="4">
      <formula>1-Q$2</formula>
    </cfRule>
  </conditionalFormatting>
  <conditionalFormatting sqref="X4:X19">
    <cfRule type="colorScale" priority="3">
      <colorScale>
        <cfvo type="min"/>
        <cfvo type="max"/>
        <color rgb="FF63BE7B"/>
        <color rgb="FFFFEF9C"/>
      </colorScale>
    </cfRule>
  </conditionalFormatting>
  <conditionalFormatting sqref="AA4:AA19">
    <cfRule type="colorScale" priority="2">
      <colorScale>
        <cfvo type="min"/>
        <cfvo type="max"/>
        <color rgb="FF63BE7B"/>
        <color rgb="FFFFEF9C"/>
      </colorScale>
    </cfRule>
  </conditionalFormatting>
  <conditionalFormatting sqref="AB4:AB19">
    <cfRule type="colorScale" priority="1">
      <colorScale>
        <cfvo type="min"/>
        <cfvo type="max"/>
        <color rgb="FF63BE7B"/>
        <color rgb="FFFFEF9C"/>
      </colorScale>
    </cfRule>
  </conditionalFormatting>
  <dataValidations count="3">
    <dataValidation type="list" allowBlank="1" showInputMessage="1" showErrorMessage="1" sqref="Q2:U2" xr:uid="{00000000-0002-0000-0000-000000000000}">
      <formula1>"1, 0"</formula1>
    </dataValidation>
    <dataValidation type="list" allowBlank="1" showInputMessage="1" showErrorMessage="1" sqref="X3 AA3:AB3" xr:uid="{34D53F10-93EC-4238-ADEE-FE88F3A85AFB}">
      <formula1>$B$3:$P$3</formula1>
    </dataValidation>
    <dataValidation type="list" allowBlank="1" showInputMessage="1" showErrorMessage="1" sqref="U3" xr:uid="{826E8989-65CE-4B82-94AF-E453AC99B4AC}">
      <formula1>"rta1,rta2"</formula1>
    </dataValidation>
  </dataValidations>
  <pageMargins left="0.7" right="0.7" top="0.75" bottom="0.75" header="0.3" footer="0.3"/>
  <pageSetup paperSize="9" orientation="portrait" horizontalDpi="360" verticalDpi="360" r:id="rId1"/>
  <ignoredErrors>
    <ignoredError sqref="V4 V5:V19 Q21:U23 R4:U1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2"/>
  <sheetViews>
    <sheetView workbookViewId="0">
      <selection activeCell="K52" sqref="K52"/>
    </sheetView>
  </sheetViews>
  <sheetFormatPr baseColWidth="10" defaultRowHeight="15" x14ac:dyDescent="0.25"/>
  <cols>
    <col min="2" max="2" width="13.140625" customWidth="1"/>
    <col min="3" max="3" width="11.85546875" bestFit="1" customWidth="1"/>
    <col min="4" max="4" width="7.85546875" bestFit="1" customWidth="1"/>
    <col min="5" max="5" width="7.28515625" customWidth="1"/>
    <col min="6" max="7" width="9.140625" customWidth="1"/>
    <col min="8" max="8" width="8.28515625" customWidth="1"/>
    <col min="9" max="9" width="9.28515625" customWidth="1"/>
    <col min="10" max="10" width="11.28515625" bestFit="1" customWidth="1"/>
    <col min="11" max="11" width="10.140625" customWidth="1"/>
    <col min="12" max="12" width="6.42578125" bestFit="1" customWidth="1"/>
    <col min="13" max="13" width="8.5703125" customWidth="1"/>
    <col min="14" max="15" width="6.42578125" bestFit="1" customWidth="1"/>
    <col min="16" max="16" width="8.7109375" customWidth="1"/>
    <col min="17" max="17" width="8.28515625" bestFit="1" customWidth="1"/>
  </cols>
  <sheetData>
    <row r="1" spans="1:19" x14ac:dyDescent="0.25">
      <c r="A1" s="33" t="str">
        <f>+Diseño!A1</f>
        <v>Autor: Ciro Alberto Amaya.  V: 1.6</v>
      </c>
    </row>
    <row r="2" spans="1:19" ht="9.75" customHeight="1" x14ac:dyDescent="0.25"/>
    <row r="3" spans="1:19" x14ac:dyDescent="0.25">
      <c r="B3" s="34" t="s">
        <v>25</v>
      </c>
      <c r="C3" s="35">
        <f>SUM(Diseño!Q2:U2)</f>
        <v>2</v>
      </c>
      <c r="D3" s="22"/>
      <c r="E3" s="22" t="s">
        <v>45</v>
      </c>
      <c r="F3" s="40">
        <v>2</v>
      </c>
    </row>
    <row r="4" spans="1:19" x14ac:dyDescent="0.25">
      <c r="B4" s="36" t="s">
        <v>26</v>
      </c>
      <c r="C4" s="37">
        <v>4</v>
      </c>
      <c r="D4" s="38"/>
      <c r="E4" s="38"/>
      <c r="F4" s="39"/>
    </row>
    <row r="6" spans="1:19" x14ac:dyDescent="0.25">
      <c r="C6" s="13" t="str">
        <f>+Diseño!B3</f>
        <v>A</v>
      </c>
      <c r="D6" s="13" t="str">
        <f>+Diseño!C3</f>
        <v>B</v>
      </c>
      <c r="E6" s="13" t="str">
        <f>+Diseño!D3</f>
        <v>AxB</v>
      </c>
      <c r="F6" s="13" t="str">
        <f>+Diseño!E3</f>
        <v>C</v>
      </c>
      <c r="G6" s="13" t="str">
        <f>+Diseño!F3</f>
        <v>AxC</v>
      </c>
      <c r="H6" s="13" t="str">
        <f>+Diseño!G3</f>
        <v>BxC</v>
      </c>
      <c r="I6" s="13" t="str">
        <f>+Diseño!H3</f>
        <v>AxBxC</v>
      </c>
      <c r="J6" s="13" t="str">
        <f>+Diseño!I3</f>
        <v>D</v>
      </c>
      <c r="K6" s="13" t="str">
        <f>+Diseño!J3</f>
        <v>AxD</v>
      </c>
      <c r="L6" s="13" t="str">
        <f>+Diseño!K3</f>
        <v>BxD</v>
      </c>
      <c r="M6" s="13" t="str">
        <f>+Diseño!L3</f>
        <v>AxBxD</v>
      </c>
      <c r="N6" s="13" t="str">
        <f>+Diseño!M3</f>
        <v>CxD</v>
      </c>
      <c r="O6" s="13" t="str">
        <f>+Diseño!N3</f>
        <v>AxCxD</v>
      </c>
      <c r="P6" s="13" t="str">
        <f>+Diseño!O3</f>
        <v>BxCxD</v>
      </c>
      <c r="Q6" s="13" t="str">
        <f>+Diseño!P3</f>
        <v>AxBxCxD</v>
      </c>
    </row>
    <row r="7" spans="1:19" x14ac:dyDescent="0.25">
      <c r="B7" s="14" t="s">
        <v>22</v>
      </c>
      <c r="C7" s="58">
        <f>+SUMPRODUCT(Diseño!B4:B19,Diseño!$V$4:$V$19)</f>
        <v>-1626</v>
      </c>
      <c r="D7" s="10">
        <f>+SUMPRODUCT(Diseño!C4:C19,Diseño!$V$4:$V$19)</f>
        <v>-26</v>
      </c>
      <c r="E7" s="10">
        <f>+SUMPRODUCT(Diseño!D4:D19,Diseño!$V$4:$V$19)</f>
        <v>-126</v>
      </c>
      <c r="F7" s="10">
        <f>+SUMPRODUCT(Diseño!E4:E19,Diseño!$V$4:$V$19)</f>
        <v>118</v>
      </c>
      <c r="G7" s="10">
        <f>+SUMPRODUCT(Diseño!F4:F19,Diseño!$V$4:$V$19)</f>
        <v>-398</v>
      </c>
      <c r="H7" s="10">
        <f>+SUMPRODUCT(Diseño!G4:G19,Diseño!$V$4:$V$19)</f>
        <v>-702</v>
      </c>
      <c r="I7" s="10">
        <f>+SUMPRODUCT(Diseño!H4:H19,Diseño!$V$4:$V$19)</f>
        <v>-250</v>
      </c>
      <c r="J7" s="10">
        <f>+SUMPRODUCT(Diseño!I4:I19,Diseño!$V$4:$V$19)</f>
        <v>4898</v>
      </c>
      <c r="K7" s="10">
        <f>+SUMPRODUCT(Diseño!J4:J19,Diseño!$V$4:$V$19)</f>
        <v>-2458</v>
      </c>
      <c r="L7" s="10">
        <f>+SUMPRODUCT(Diseño!K4:K19,Diseño!$V$4:$V$19)</f>
        <v>-10</v>
      </c>
      <c r="M7" s="10">
        <f>+SUMPRODUCT(Diseño!L4:L19,Diseño!$V$4:$V$19)</f>
        <v>66</v>
      </c>
      <c r="N7" s="10">
        <f>+SUMPRODUCT(Diseño!M4:M19,Diseño!$V$4:$V$19)</f>
        <v>-34</v>
      </c>
      <c r="O7" s="10">
        <f>+SUMPRODUCT(Diseño!N4:N19,Diseño!$V$4:$V$19)</f>
        <v>90</v>
      </c>
      <c r="P7" s="10">
        <f>+SUMPRODUCT(Diseño!O4:O19,Diseño!$V$4:$V$19)</f>
        <v>-406</v>
      </c>
      <c r="Q7" s="10">
        <f>+SUMPRODUCT(Diseño!P4:P19,Diseño!$V$4:$V$19)</f>
        <v>-642</v>
      </c>
    </row>
    <row r="8" spans="1:19" x14ac:dyDescent="0.25">
      <c r="B8" s="41" t="s">
        <v>47</v>
      </c>
      <c r="C8" s="59">
        <f>SUMIF(Diseño!B4:B19,-1,Diseño!$V$4:$V$19)/($C$3*2^($C$4-1))</f>
        <v>876.875</v>
      </c>
      <c r="D8" s="32">
        <f>SUMIF(Diseño!C4:C19,-1,Diseño!$V$4:$V$19)/($C$3*2^($C$4-1))</f>
        <v>826.875</v>
      </c>
      <c r="E8" s="32">
        <f>SUMIF(Diseño!D4:D19,-1,Diseño!$V$4:$V$19)/($C$3*2^($C$4-1))</f>
        <v>830</v>
      </c>
      <c r="F8" s="32">
        <f>SUMIF(Diseño!E4:E19,-1,Diseño!$V$4:$V$19)/($C$3*2^($C$4-1))</f>
        <v>822.375</v>
      </c>
      <c r="G8" s="32">
        <f>SUMIF(Diseño!F4:F19,-1,Diseño!$V$4:$V$19)/($C$3*2^($C$4-1))</f>
        <v>838.5</v>
      </c>
      <c r="H8" s="32">
        <f>SUMIF(Diseño!G4:G19,-1,Diseño!$V$4:$V$19)/($C$3*2^($C$4-1))</f>
        <v>848</v>
      </c>
      <c r="I8" s="32">
        <f>SUMIF(Diseño!H4:H19,-1,Diseño!$V$4:$V$19)/($C$3*2^($C$4-1))</f>
        <v>833.875</v>
      </c>
      <c r="J8" s="32">
        <f>SUMIF(Diseño!I4:I19,-1,Diseño!$V$4:$V$19)/($C$3*2^($C$4-1))</f>
        <v>673</v>
      </c>
      <c r="K8" s="32">
        <f>SUMIF(Diseño!J4:J19,-1,Diseño!$V$4:$V$19)/($C$3*2^($C$4-1))</f>
        <v>902.875</v>
      </c>
      <c r="L8" s="32">
        <f>SUMIF(Diseño!K4:K19,-1,Diseño!$V$4:$V$19)/($C$3*2^($C$4-1))</f>
        <v>826.375</v>
      </c>
      <c r="M8" s="32">
        <f>SUMIF(Diseño!L4:L19,-1,Diseño!$V$4:$V$19)/($C$3*2^($C$4-1))</f>
        <v>824</v>
      </c>
      <c r="N8" s="32">
        <f>SUMIF(Diseño!M4:M19,-1,Diseño!$V$4:$V$19)/($C$3*2^($C$4-1))</f>
        <v>827.125</v>
      </c>
      <c r="O8" s="32">
        <f>SUMIF(Diseño!N4:N19,-1,Diseño!$V$4:$V$19)/($C$3*2^($C$4-1))</f>
        <v>823.25</v>
      </c>
      <c r="P8" s="32">
        <f>SUMIF(Diseño!O4:O19,-1,Diseño!$V$4:$V$19)/($C$3*2^($C$4-1))</f>
        <v>838.75</v>
      </c>
      <c r="Q8" s="32">
        <f>SUMIF(Diseño!P4:P19,-1,Diseño!$V$4:$V$19)/($C$3*2^($C$4-1))</f>
        <v>846.125</v>
      </c>
      <c r="S8" s="12"/>
    </row>
    <row r="9" spans="1:19" x14ac:dyDescent="0.25">
      <c r="B9" s="41" t="s">
        <v>48</v>
      </c>
      <c r="C9" s="59">
        <f>SUMIF(Diseño!B4:B19,1,Diseño!$V$4:$V$19)/($C$3*2^($C$4-1))</f>
        <v>775.25</v>
      </c>
      <c r="D9" s="32">
        <f>SUMIF(Diseño!C4:C19,1,Diseño!$V$4:$V$19)/($C$3*2^($C$4-1))</f>
        <v>825.25</v>
      </c>
      <c r="E9" s="32">
        <f>SUMIF(Diseño!D4:D19,1,Diseño!$V$4:$V$19)/($C$3*2^($C$4-1))</f>
        <v>822.125</v>
      </c>
      <c r="F9" s="32">
        <f>SUMIF(Diseño!E4:E19,1,Diseño!$V$4:$V$19)/($C$3*2^($C$4-1))</f>
        <v>829.75</v>
      </c>
      <c r="G9" s="32">
        <f>SUMIF(Diseño!F4:F19,1,Diseño!$V$4:$V$19)/($C$3*2^($C$4-1))</f>
        <v>813.625</v>
      </c>
      <c r="H9" s="32">
        <f>SUMIF(Diseño!G4:G19,1,Diseño!$V$4:$V$19)/($C$3*2^($C$4-1))</f>
        <v>804.125</v>
      </c>
      <c r="I9" s="32">
        <f>SUMIF(Diseño!H4:H19,1,Diseño!$V$4:$V$19)/($C$3*2^($C$4-1))</f>
        <v>818.25</v>
      </c>
      <c r="J9" s="32">
        <f>SUMIF(Diseño!I4:I19,1,Diseño!$V$4:$V$19)/($C$3*2^($C$4-1))</f>
        <v>979.125</v>
      </c>
      <c r="K9" s="32">
        <f>SUMIF(Diseño!J4:J19,1,Diseño!$V$4:$V$19)/($C$3*2^($C$4-1))</f>
        <v>749.25</v>
      </c>
      <c r="L9" s="32">
        <f>SUMIF(Diseño!K4:K19,1,Diseño!$V$4:$V$19)/($C$3*2^($C$4-1))</f>
        <v>825.75</v>
      </c>
      <c r="M9" s="32">
        <f>SUMIF(Diseño!L4:L19,1,Diseño!$V$4:$V$19)/($C$3*2^($C$4-1))</f>
        <v>828.125</v>
      </c>
      <c r="N9" s="32">
        <f>SUMIF(Diseño!M4:M19,1,Diseño!$V$4:$V$19)/($C$3*2^($C$4-1))</f>
        <v>825</v>
      </c>
      <c r="O9" s="32">
        <f>SUMIF(Diseño!N4:N19,1,Diseño!$V$4:$V$19)/($C$3*2^($C$4-1))</f>
        <v>828.875</v>
      </c>
      <c r="P9" s="32">
        <f>SUMIF(Diseño!O4:O19,1,Diseño!$V$4:$V$19)/($C$3*2^($C$4-1))</f>
        <v>813.375</v>
      </c>
      <c r="Q9" s="32">
        <f>SUMIF(Diseño!P4:P19,1,Diseño!$V$4:$V$19)/($C$3*2^($C$4-1))</f>
        <v>806</v>
      </c>
      <c r="R9" s="12"/>
    </row>
    <row r="10" spans="1:19" x14ac:dyDescent="0.25">
      <c r="B10" s="14" t="s">
        <v>23</v>
      </c>
      <c r="C10" s="9">
        <f>C7/($C$3*2^($C$4-1))</f>
        <v>-101.625</v>
      </c>
      <c r="D10" s="9">
        <f t="shared" ref="D10:Q10" si="0">D7/($C$3*2^($C$4-1))</f>
        <v>-1.625</v>
      </c>
      <c r="E10" s="9">
        <f t="shared" si="0"/>
        <v>-7.875</v>
      </c>
      <c r="F10" s="9">
        <f t="shared" si="0"/>
        <v>7.375</v>
      </c>
      <c r="G10" s="9">
        <f t="shared" si="0"/>
        <v>-24.875</v>
      </c>
      <c r="H10" s="9">
        <f t="shared" si="0"/>
        <v>-43.875</v>
      </c>
      <c r="I10" s="9">
        <f t="shared" si="0"/>
        <v>-15.625</v>
      </c>
      <c r="J10" s="9">
        <f t="shared" si="0"/>
        <v>306.125</v>
      </c>
      <c r="K10" s="9">
        <f t="shared" si="0"/>
        <v>-153.625</v>
      </c>
      <c r="L10" s="9">
        <f t="shared" si="0"/>
        <v>-0.625</v>
      </c>
      <c r="M10" s="9">
        <f t="shared" si="0"/>
        <v>4.125</v>
      </c>
      <c r="N10" s="9">
        <f t="shared" si="0"/>
        <v>-2.125</v>
      </c>
      <c r="O10" s="9">
        <f t="shared" si="0"/>
        <v>5.625</v>
      </c>
      <c r="P10" s="9">
        <f t="shared" si="0"/>
        <v>-25.375</v>
      </c>
      <c r="Q10" s="9">
        <f t="shared" si="0"/>
        <v>-40.125</v>
      </c>
    </row>
    <row r="11" spans="1:19" x14ac:dyDescent="0.25">
      <c r="B11" s="14" t="s">
        <v>24</v>
      </c>
      <c r="C11" s="11">
        <f>C7^2/($C$3*2^$C$4)</f>
        <v>82621.125</v>
      </c>
      <c r="D11" s="11">
        <f t="shared" ref="D11:Q11" si="1">D7^2/($C$3*2^$C$4)</f>
        <v>21.125</v>
      </c>
      <c r="E11" s="11">
        <f t="shared" si="1"/>
        <v>496.125</v>
      </c>
      <c r="F11" s="11">
        <f t="shared" si="1"/>
        <v>435.125</v>
      </c>
      <c r="G11" s="11">
        <f t="shared" si="1"/>
        <v>4950.125</v>
      </c>
      <c r="H11" s="11">
        <f t="shared" si="1"/>
        <v>15400.125</v>
      </c>
      <c r="I11" s="11">
        <f t="shared" si="1"/>
        <v>1953.125</v>
      </c>
      <c r="J11" s="11">
        <f t="shared" si="1"/>
        <v>749700.125</v>
      </c>
      <c r="K11" s="11">
        <f t="shared" si="1"/>
        <v>188805.125</v>
      </c>
      <c r="L11" s="11">
        <f t="shared" si="1"/>
        <v>3.125</v>
      </c>
      <c r="M11" s="11">
        <f t="shared" si="1"/>
        <v>136.125</v>
      </c>
      <c r="N11" s="11">
        <f t="shared" si="1"/>
        <v>36.125</v>
      </c>
      <c r="O11" s="11">
        <f t="shared" si="1"/>
        <v>253.125</v>
      </c>
      <c r="P11" s="11">
        <f t="shared" si="1"/>
        <v>5151.125</v>
      </c>
      <c r="Q11" s="11">
        <f t="shared" si="1"/>
        <v>12880.125</v>
      </c>
    </row>
    <row r="12" spans="1:19" x14ac:dyDescent="0.25">
      <c r="C12" s="13" t="str">
        <f>+C6</f>
        <v>A</v>
      </c>
      <c r="D12" s="13" t="str">
        <f t="shared" ref="D12:Q12" si="2">+D6</f>
        <v>B</v>
      </c>
      <c r="E12" s="13" t="str">
        <f t="shared" si="2"/>
        <v>AxB</v>
      </c>
      <c r="F12" s="13" t="str">
        <f t="shared" si="2"/>
        <v>C</v>
      </c>
      <c r="G12" s="13" t="str">
        <f t="shared" si="2"/>
        <v>AxC</v>
      </c>
      <c r="H12" s="13" t="str">
        <f t="shared" si="2"/>
        <v>BxC</v>
      </c>
      <c r="I12" s="13" t="str">
        <f t="shared" si="2"/>
        <v>AxBxC</v>
      </c>
      <c r="J12" s="13" t="str">
        <f t="shared" si="2"/>
        <v>D</v>
      </c>
      <c r="K12" s="13" t="str">
        <f t="shared" si="2"/>
        <v>AxD</v>
      </c>
      <c r="L12" s="13" t="str">
        <f t="shared" si="2"/>
        <v>BxD</v>
      </c>
      <c r="M12" s="13" t="str">
        <f t="shared" si="2"/>
        <v>AxBxD</v>
      </c>
      <c r="N12" s="13" t="str">
        <f t="shared" si="2"/>
        <v>CxD</v>
      </c>
      <c r="O12" s="13" t="str">
        <f t="shared" si="2"/>
        <v>AxCxD</v>
      </c>
      <c r="P12" s="13" t="str">
        <f t="shared" si="2"/>
        <v>BxCxD</v>
      </c>
      <c r="Q12" s="13" t="str">
        <f t="shared" si="2"/>
        <v>AxBxCxD</v>
      </c>
    </row>
    <row r="14" spans="1:19" x14ac:dyDescent="0.25">
      <c r="A14" t="s">
        <v>41</v>
      </c>
    </row>
    <row r="15" spans="1:19" ht="30" x14ac:dyDescent="0.25">
      <c r="A15" s="15" t="s">
        <v>36</v>
      </c>
      <c r="B15" s="15" t="s">
        <v>39</v>
      </c>
      <c r="C15" s="15" t="s">
        <v>35</v>
      </c>
      <c r="D15" s="15" t="s">
        <v>37</v>
      </c>
      <c r="E15" s="15" t="s">
        <v>38</v>
      </c>
    </row>
    <row r="16" spans="1:19" x14ac:dyDescent="0.25">
      <c r="A16" s="17">
        <v>1</v>
      </c>
      <c r="B16" s="16">
        <f t="shared" ref="B16:B30" si="3">+SMALL($C$10:$Q$10,A16)</f>
        <v>-153.625</v>
      </c>
      <c r="C16" s="17" t="str">
        <f>+HLOOKUP(B16,$C$10:$Q$12,3,0)</f>
        <v>AxD</v>
      </c>
      <c r="D16" s="17">
        <f>(A16-0.5)/16</f>
        <v>3.125E-2</v>
      </c>
      <c r="E16" s="16">
        <f>NORMSINV(D16)</f>
        <v>-1.8627318674216511</v>
      </c>
      <c r="Q16" s="12"/>
    </row>
    <row r="17" spans="1:17" x14ac:dyDescent="0.25">
      <c r="A17" s="17">
        <v>2</v>
      </c>
      <c r="B17" s="16">
        <f t="shared" si="3"/>
        <v>-101.625</v>
      </c>
      <c r="C17" s="17" t="str">
        <f t="shared" ref="C17:C30" si="4">+HLOOKUP(B17,$C$10:$Q$12,3,0)</f>
        <v>A</v>
      </c>
      <c r="D17" s="17">
        <f t="shared" ref="D17:D30" si="5">(A17-0.5)/16</f>
        <v>9.375E-2</v>
      </c>
      <c r="E17" s="16">
        <f t="shared" ref="E17:E30" si="6">NORMSINV(D17)</f>
        <v>-1.3180108973035372</v>
      </c>
      <c r="Q17" s="12"/>
    </row>
    <row r="18" spans="1:17" x14ac:dyDescent="0.25">
      <c r="A18" s="17">
        <v>3</v>
      </c>
      <c r="B18" s="16">
        <f t="shared" si="3"/>
        <v>-43.875</v>
      </c>
      <c r="C18" s="17" t="str">
        <f t="shared" si="4"/>
        <v>BxC</v>
      </c>
      <c r="D18" s="17">
        <f t="shared" si="5"/>
        <v>0.15625</v>
      </c>
      <c r="E18" s="16">
        <f t="shared" si="6"/>
        <v>-1.0099901692495805</v>
      </c>
      <c r="Q18" s="12"/>
    </row>
    <row r="19" spans="1:17" x14ac:dyDescent="0.25">
      <c r="A19" s="17">
        <v>4</v>
      </c>
      <c r="B19" s="16">
        <f t="shared" si="3"/>
        <v>-40.125</v>
      </c>
      <c r="C19" s="17" t="str">
        <f t="shared" si="4"/>
        <v>AxBxCxD</v>
      </c>
      <c r="D19" s="17">
        <f t="shared" si="5"/>
        <v>0.21875</v>
      </c>
      <c r="E19" s="16">
        <f t="shared" si="6"/>
        <v>-0.77642176114792794</v>
      </c>
      <c r="Q19" s="12"/>
    </row>
    <row r="20" spans="1:17" x14ac:dyDescent="0.25">
      <c r="A20" s="17">
        <v>5</v>
      </c>
      <c r="B20" s="16">
        <f t="shared" si="3"/>
        <v>-25.375</v>
      </c>
      <c r="C20" s="17" t="str">
        <f t="shared" si="4"/>
        <v>BxCxD</v>
      </c>
      <c r="D20" s="17">
        <f t="shared" si="5"/>
        <v>0.28125</v>
      </c>
      <c r="E20" s="16">
        <f t="shared" si="6"/>
        <v>-0.57913216225555586</v>
      </c>
      <c r="Q20" s="12"/>
    </row>
    <row r="21" spans="1:17" x14ac:dyDescent="0.25">
      <c r="A21" s="17">
        <v>6</v>
      </c>
      <c r="B21" s="16">
        <f t="shared" si="3"/>
        <v>-24.875</v>
      </c>
      <c r="C21" s="17" t="str">
        <f t="shared" si="4"/>
        <v>AxC</v>
      </c>
      <c r="D21" s="17">
        <f t="shared" si="5"/>
        <v>0.34375</v>
      </c>
      <c r="E21" s="16">
        <f t="shared" si="6"/>
        <v>-0.40225006532172536</v>
      </c>
      <c r="Q21" s="12"/>
    </row>
    <row r="22" spans="1:17" x14ac:dyDescent="0.25">
      <c r="A22" s="17">
        <v>7</v>
      </c>
      <c r="B22" s="16">
        <f t="shared" si="3"/>
        <v>-15.625</v>
      </c>
      <c r="C22" s="17" t="str">
        <f t="shared" si="4"/>
        <v>AxBxC</v>
      </c>
      <c r="D22" s="17">
        <f t="shared" si="5"/>
        <v>0.40625</v>
      </c>
      <c r="E22" s="16">
        <f t="shared" si="6"/>
        <v>-0.23720210932878771</v>
      </c>
      <c r="Q22" s="12"/>
    </row>
    <row r="23" spans="1:17" x14ac:dyDescent="0.25">
      <c r="A23" s="17">
        <v>8</v>
      </c>
      <c r="B23" s="16">
        <f t="shared" si="3"/>
        <v>-7.875</v>
      </c>
      <c r="C23" s="17" t="str">
        <f t="shared" si="4"/>
        <v>AxB</v>
      </c>
      <c r="D23" s="17">
        <f t="shared" si="5"/>
        <v>0.46875</v>
      </c>
      <c r="E23" s="16">
        <f t="shared" si="6"/>
        <v>-7.8412412733112211E-2</v>
      </c>
      <c r="Q23" s="12"/>
    </row>
    <row r="24" spans="1:17" x14ac:dyDescent="0.25">
      <c r="A24" s="17">
        <v>9</v>
      </c>
      <c r="B24" s="16">
        <f t="shared" si="3"/>
        <v>-2.125</v>
      </c>
      <c r="C24" s="17" t="str">
        <f t="shared" si="4"/>
        <v>CxD</v>
      </c>
      <c r="D24" s="17">
        <f t="shared" si="5"/>
        <v>0.53125</v>
      </c>
      <c r="E24" s="16">
        <f t="shared" si="6"/>
        <v>7.8412412733112211E-2</v>
      </c>
      <c r="Q24" s="12"/>
    </row>
    <row r="25" spans="1:17" x14ac:dyDescent="0.25">
      <c r="A25" s="17">
        <v>10</v>
      </c>
      <c r="B25" s="16">
        <f t="shared" si="3"/>
        <v>-1.625</v>
      </c>
      <c r="C25" s="17" t="str">
        <f t="shared" si="4"/>
        <v>B</v>
      </c>
      <c r="D25" s="17">
        <f t="shared" si="5"/>
        <v>0.59375</v>
      </c>
      <c r="E25" s="16">
        <f t="shared" si="6"/>
        <v>0.23720210932878771</v>
      </c>
      <c r="Q25" s="12"/>
    </row>
    <row r="26" spans="1:17" x14ac:dyDescent="0.25">
      <c r="A26" s="17">
        <v>11</v>
      </c>
      <c r="B26" s="16">
        <f t="shared" si="3"/>
        <v>-0.625</v>
      </c>
      <c r="C26" s="17" t="str">
        <f t="shared" si="4"/>
        <v>BxD</v>
      </c>
      <c r="D26" s="17">
        <f t="shared" si="5"/>
        <v>0.65625</v>
      </c>
      <c r="E26" s="16">
        <f t="shared" si="6"/>
        <v>0.40225006532172536</v>
      </c>
      <c r="Q26" s="12"/>
    </row>
    <row r="27" spans="1:17" x14ac:dyDescent="0.25">
      <c r="A27" s="17">
        <v>12</v>
      </c>
      <c r="B27" s="16">
        <f t="shared" si="3"/>
        <v>4.125</v>
      </c>
      <c r="C27" s="17" t="str">
        <f t="shared" si="4"/>
        <v>AxBxD</v>
      </c>
      <c r="D27" s="17">
        <f t="shared" si="5"/>
        <v>0.71875</v>
      </c>
      <c r="E27" s="16">
        <f t="shared" si="6"/>
        <v>0.57913216225555586</v>
      </c>
      <c r="Q27" s="12"/>
    </row>
    <row r="28" spans="1:17" x14ac:dyDescent="0.25">
      <c r="A28" s="17">
        <v>13</v>
      </c>
      <c r="B28" s="16">
        <f t="shared" si="3"/>
        <v>5.625</v>
      </c>
      <c r="C28" s="17" t="str">
        <f t="shared" si="4"/>
        <v>AxCxD</v>
      </c>
      <c r="D28" s="17">
        <f t="shared" si="5"/>
        <v>0.78125</v>
      </c>
      <c r="E28" s="16">
        <f t="shared" si="6"/>
        <v>0.77642176114792794</v>
      </c>
      <c r="Q28" s="12"/>
    </row>
    <row r="29" spans="1:17" x14ac:dyDescent="0.25">
      <c r="A29" s="17">
        <v>14</v>
      </c>
      <c r="B29" s="16">
        <f t="shared" si="3"/>
        <v>7.375</v>
      </c>
      <c r="C29" s="17" t="str">
        <f t="shared" si="4"/>
        <v>C</v>
      </c>
      <c r="D29" s="17">
        <f t="shared" si="5"/>
        <v>0.84375</v>
      </c>
      <c r="E29" s="16">
        <f t="shared" si="6"/>
        <v>1.0099901692495805</v>
      </c>
      <c r="Q29" s="12"/>
    </row>
    <row r="30" spans="1:17" x14ac:dyDescent="0.25">
      <c r="A30" s="17">
        <v>15</v>
      </c>
      <c r="B30" s="16">
        <f t="shared" si="3"/>
        <v>306.125</v>
      </c>
      <c r="C30" s="17" t="str">
        <f t="shared" si="4"/>
        <v>D</v>
      </c>
      <c r="D30" s="17">
        <f t="shared" si="5"/>
        <v>0.90625</v>
      </c>
      <c r="E30" s="16">
        <f t="shared" si="6"/>
        <v>1.3180108973035372</v>
      </c>
      <c r="Q30" s="12"/>
    </row>
    <row r="31" spans="1:17" x14ac:dyDescent="0.25">
      <c r="G31" t="s">
        <v>46</v>
      </c>
    </row>
    <row r="32" spans="1:17" x14ac:dyDescent="0.25">
      <c r="B32" s="12"/>
    </row>
    <row r="35" spans="1:11" x14ac:dyDescent="0.25">
      <c r="A35" s="15" t="s">
        <v>36</v>
      </c>
      <c r="B35" s="15" t="s">
        <v>61</v>
      </c>
      <c r="C35" s="15" t="s">
        <v>62</v>
      </c>
      <c r="D35" s="15" t="s">
        <v>35</v>
      </c>
      <c r="F35" s="15" t="s">
        <v>63</v>
      </c>
      <c r="G35" s="15" t="s">
        <v>35</v>
      </c>
      <c r="H35" s="15" t="s">
        <v>59</v>
      </c>
      <c r="I35" s="15" t="s">
        <v>60</v>
      </c>
    </row>
    <row r="36" spans="1:11" x14ac:dyDescent="0.25">
      <c r="A36">
        <f>+A16</f>
        <v>1</v>
      </c>
      <c r="B36">
        <f t="shared" ref="B36" si="7">+B16</f>
        <v>-153.625</v>
      </c>
      <c r="C36">
        <f t="shared" ref="C36:C50" si="8">+ABS(B36)</f>
        <v>153.625</v>
      </c>
      <c r="D36" t="str">
        <f t="shared" ref="D36:D50" si="9">+C16</f>
        <v>AxD</v>
      </c>
      <c r="F36" s="61">
        <f>+SMALL($C$36:$C$50,A36)</f>
        <v>0.625</v>
      </c>
      <c r="G36" t="str">
        <f>+VLOOKUP(F36,$C$36:$D$50,2,FALSE)</f>
        <v>BxD</v>
      </c>
      <c r="H36" s="62">
        <f t="shared" ref="H36:H48" si="10">+H37+F36</f>
        <v>740.625</v>
      </c>
      <c r="I36" s="60">
        <f t="shared" ref="I36:I49" si="11">+H36/$H$36</f>
        <v>1</v>
      </c>
      <c r="K36" s="62"/>
    </row>
    <row r="37" spans="1:11" x14ac:dyDescent="0.25">
      <c r="A37">
        <f t="shared" ref="A37:B37" si="12">+A17</f>
        <v>2</v>
      </c>
      <c r="B37">
        <f t="shared" si="12"/>
        <v>-101.625</v>
      </c>
      <c r="C37">
        <f t="shared" si="8"/>
        <v>101.625</v>
      </c>
      <c r="D37" t="str">
        <f t="shared" si="9"/>
        <v>A</v>
      </c>
      <c r="F37" s="61">
        <f t="shared" ref="F37:F50" si="13">+SMALL($C$36:$C$50,A37)</f>
        <v>1.625</v>
      </c>
      <c r="G37" t="str">
        <f t="shared" ref="G37:G50" si="14">+VLOOKUP(F37,$C$36:$D$50,2,FALSE)</f>
        <v>B</v>
      </c>
      <c r="H37" s="62">
        <f t="shared" si="10"/>
        <v>740</v>
      </c>
      <c r="I37" s="60">
        <f t="shared" si="11"/>
        <v>0.99915611814345995</v>
      </c>
    </row>
    <row r="38" spans="1:11" x14ac:dyDescent="0.25">
      <c r="A38">
        <f t="shared" ref="A38:B38" si="15">+A18</f>
        <v>3</v>
      </c>
      <c r="B38">
        <f t="shared" si="15"/>
        <v>-43.875</v>
      </c>
      <c r="C38">
        <f t="shared" si="8"/>
        <v>43.875</v>
      </c>
      <c r="D38" t="str">
        <f t="shared" si="9"/>
        <v>BxC</v>
      </c>
      <c r="F38" s="61">
        <f t="shared" si="13"/>
        <v>2.125</v>
      </c>
      <c r="G38" t="str">
        <f t="shared" si="14"/>
        <v>CxD</v>
      </c>
      <c r="H38" s="62">
        <f t="shared" si="10"/>
        <v>738.375</v>
      </c>
      <c r="I38" s="60">
        <f t="shared" si="11"/>
        <v>0.99696202531645572</v>
      </c>
    </row>
    <row r="39" spans="1:11" x14ac:dyDescent="0.25">
      <c r="A39">
        <f t="shared" ref="A39:B39" si="16">+A19</f>
        <v>4</v>
      </c>
      <c r="B39">
        <f t="shared" si="16"/>
        <v>-40.125</v>
      </c>
      <c r="C39">
        <f t="shared" si="8"/>
        <v>40.125</v>
      </c>
      <c r="D39" t="str">
        <f t="shared" si="9"/>
        <v>AxBxCxD</v>
      </c>
      <c r="F39" s="61">
        <f t="shared" si="13"/>
        <v>4.125</v>
      </c>
      <c r="G39" t="str">
        <f t="shared" si="14"/>
        <v>AxBxD</v>
      </c>
      <c r="H39" s="62">
        <f t="shared" si="10"/>
        <v>736.25</v>
      </c>
      <c r="I39" s="60">
        <f t="shared" si="11"/>
        <v>0.99409282700421941</v>
      </c>
    </row>
    <row r="40" spans="1:11" x14ac:dyDescent="0.25">
      <c r="A40">
        <f t="shared" ref="A40:B40" si="17">+A20</f>
        <v>5</v>
      </c>
      <c r="B40">
        <f t="shared" si="17"/>
        <v>-25.375</v>
      </c>
      <c r="C40">
        <f t="shared" si="8"/>
        <v>25.375</v>
      </c>
      <c r="D40" t="str">
        <f t="shared" si="9"/>
        <v>BxCxD</v>
      </c>
      <c r="F40" s="61">
        <f t="shared" si="13"/>
        <v>5.625</v>
      </c>
      <c r="G40" t="str">
        <f t="shared" si="14"/>
        <v>AxCxD</v>
      </c>
      <c r="H40" s="62">
        <f t="shared" si="10"/>
        <v>732.125</v>
      </c>
      <c r="I40" s="60">
        <f t="shared" si="11"/>
        <v>0.98852320675105487</v>
      </c>
    </row>
    <row r="41" spans="1:11" x14ac:dyDescent="0.25">
      <c r="A41">
        <f t="shared" ref="A41:B41" si="18">+A21</f>
        <v>6</v>
      </c>
      <c r="B41">
        <f t="shared" si="18"/>
        <v>-24.875</v>
      </c>
      <c r="C41">
        <f t="shared" si="8"/>
        <v>24.875</v>
      </c>
      <c r="D41" t="str">
        <f t="shared" si="9"/>
        <v>AxC</v>
      </c>
      <c r="F41" s="61">
        <f t="shared" si="13"/>
        <v>7.375</v>
      </c>
      <c r="G41" t="str">
        <f t="shared" si="14"/>
        <v>C</v>
      </c>
      <c r="H41" s="62">
        <f t="shared" si="10"/>
        <v>726.5</v>
      </c>
      <c r="I41" s="60">
        <f t="shared" si="11"/>
        <v>0.98092827004219407</v>
      </c>
    </row>
    <row r="42" spans="1:11" x14ac:dyDescent="0.25">
      <c r="A42">
        <f t="shared" ref="A42:B42" si="19">+A22</f>
        <v>7</v>
      </c>
      <c r="B42">
        <f t="shared" si="19"/>
        <v>-15.625</v>
      </c>
      <c r="C42">
        <f t="shared" si="8"/>
        <v>15.625</v>
      </c>
      <c r="D42" t="str">
        <f t="shared" si="9"/>
        <v>AxBxC</v>
      </c>
      <c r="F42" s="61">
        <f t="shared" si="13"/>
        <v>7.875</v>
      </c>
      <c r="G42" t="str">
        <f t="shared" si="14"/>
        <v>AxB</v>
      </c>
      <c r="H42" s="62">
        <f t="shared" si="10"/>
        <v>719.125</v>
      </c>
      <c r="I42" s="60">
        <f t="shared" si="11"/>
        <v>0.97097046413502108</v>
      </c>
    </row>
    <row r="43" spans="1:11" x14ac:dyDescent="0.25">
      <c r="A43">
        <f t="shared" ref="A43:B43" si="20">+A23</f>
        <v>8</v>
      </c>
      <c r="B43">
        <f t="shared" si="20"/>
        <v>-7.875</v>
      </c>
      <c r="C43">
        <f t="shared" si="8"/>
        <v>7.875</v>
      </c>
      <c r="D43" t="str">
        <f t="shared" si="9"/>
        <v>AxB</v>
      </c>
      <c r="F43" s="61">
        <f t="shared" si="13"/>
        <v>15.625</v>
      </c>
      <c r="G43" t="str">
        <f t="shared" si="14"/>
        <v>AxBxC</v>
      </c>
      <c r="H43" s="62">
        <f t="shared" si="10"/>
        <v>711.25</v>
      </c>
      <c r="I43" s="60">
        <f t="shared" si="11"/>
        <v>0.96033755274261601</v>
      </c>
    </row>
    <row r="44" spans="1:11" x14ac:dyDescent="0.25">
      <c r="A44">
        <f t="shared" ref="A44:B44" si="21">+A24</f>
        <v>9</v>
      </c>
      <c r="B44">
        <f t="shared" si="21"/>
        <v>-2.125</v>
      </c>
      <c r="C44">
        <f t="shared" si="8"/>
        <v>2.125</v>
      </c>
      <c r="D44" t="str">
        <f t="shared" si="9"/>
        <v>CxD</v>
      </c>
      <c r="F44" s="61">
        <f t="shared" si="13"/>
        <v>24.875</v>
      </c>
      <c r="G44" t="str">
        <f t="shared" si="14"/>
        <v>AxC</v>
      </c>
      <c r="H44" s="62">
        <f t="shared" si="10"/>
        <v>695.625</v>
      </c>
      <c r="I44" s="60">
        <f t="shared" si="11"/>
        <v>0.93924050632911393</v>
      </c>
    </row>
    <row r="45" spans="1:11" x14ac:dyDescent="0.25">
      <c r="A45">
        <f t="shared" ref="A45:B45" si="22">+A25</f>
        <v>10</v>
      </c>
      <c r="B45">
        <f t="shared" si="22"/>
        <v>-1.625</v>
      </c>
      <c r="C45">
        <f t="shared" si="8"/>
        <v>1.625</v>
      </c>
      <c r="D45" t="str">
        <f t="shared" si="9"/>
        <v>B</v>
      </c>
      <c r="F45" s="61">
        <f t="shared" si="13"/>
        <v>25.375</v>
      </c>
      <c r="G45" t="str">
        <f t="shared" si="14"/>
        <v>BxCxD</v>
      </c>
      <c r="H45" s="62">
        <f t="shared" si="10"/>
        <v>670.75</v>
      </c>
      <c r="I45" s="60">
        <f t="shared" si="11"/>
        <v>0.9056540084388186</v>
      </c>
    </row>
    <row r="46" spans="1:11" x14ac:dyDescent="0.25">
      <c r="A46">
        <f t="shared" ref="A46:B46" si="23">+A26</f>
        <v>11</v>
      </c>
      <c r="B46">
        <f t="shared" si="23"/>
        <v>-0.625</v>
      </c>
      <c r="C46">
        <f t="shared" si="8"/>
        <v>0.625</v>
      </c>
      <c r="D46" t="str">
        <f t="shared" si="9"/>
        <v>BxD</v>
      </c>
      <c r="F46" s="61">
        <f t="shared" si="13"/>
        <v>40.125</v>
      </c>
      <c r="G46" t="str">
        <f t="shared" si="14"/>
        <v>AxBxCxD</v>
      </c>
      <c r="H46" s="62">
        <f t="shared" si="10"/>
        <v>645.375</v>
      </c>
      <c r="I46" s="60">
        <f t="shared" si="11"/>
        <v>0.87139240506329119</v>
      </c>
    </row>
    <row r="47" spans="1:11" x14ac:dyDescent="0.25">
      <c r="A47">
        <f t="shared" ref="A47:B47" si="24">+A27</f>
        <v>12</v>
      </c>
      <c r="B47">
        <f t="shared" si="24"/>
        <v>4.125</v>
      </c>
      <c r="C47">
        <f t="shared" si="8"/>
        <v>4.125</v>
      </c>
      <c r="D47" t="str">
        <f t="shared" si="9"/>
        <v>AxBxD</v>
      </c>
      <c r="F47" s="61">
        <f t="shared" si="13"/>
        <v>43.875</v>
      </c>
      <c r="G47" t="str">
        <f t="shared" si="14"/>
        <v>BxC</v>
      </c>
      <c r="H47" s="62">
        <f t="shared" si="10"/>
        <v>605.25</v>
      </c>
      <c r="I47" s="60">
        <f t="shared" si="11"/>
        <v>0.81721518987341768</v>
      </c>
    </row>
    <row r="48" spans="1:11" x14ac:dyDescent="0.25">
      <c r="A48">
        <f t="shared" ref="A48:B48" si="25">+A28</f>
        <v>13</v>
      </c>
      <c r="B48">
        <f t="shared" si="25"/>
        <v>5.625</v>
      </c>
      <c r="C48">
        <f t="shared" si="8"/>
        <v>5.625</v>
      </c>
      <c r="D48" t="str">
        <f t="shared" si="9"/>
        <v>AxCxD</v>
      </c>
      <c r="F48" s="61">
        <f t="shared" si="13"/>
        <v>101.625</v>
      </c>
      <c r="G48" t="str">
        <f t="shared" si="14"/>
        <v>A</v>
      </c>
      <c r="H48" s="62">
        <f t="shared" si="10"/>
        <v>561.375</v>
      </c>
      <c r="I48" s="60">
        <f t="shared" si="11"/>
        <v>0.75797468354430375</v>
      </c>
    </row>
    <row r="49" spans="1:9" x14ac:dyDescent="0.25">
      <c r="A49">
        <f t="shared" ref="A49:B49" si="26">+A29</f>
        <v>14</v>
      </c>
      <c r="B49">
        <f t="shared" si="26"/>
        <v>7.375</v>
      </c>
      <c r="C49">
        <f t="shared" si="8"/>
        <v>7.375</v>
      </c>
      <c r="D49" t="str">
        <f t="shared" si="9"/>
        <v>C</v>
      </c>
      <c r="F49" s="61">
        <f t="shared" si="13"/>
        <v>153.625</v>
      </c>
      <c r="G49" t="str">
        <f t="shared" si="14"/>
        <v>AxD</v>
      </c>
      <c r="H49" s="62">
        <f>+H50+F49</f>
        <v>459.75</v>
      </c>
      <c r="I49" s="60">
        <f t="shared" si="11"/>
        <v>0.62075949367088612</v>
      </c>
    </row>
    <row r="50" spans="1:9" x14ac:dyDescent="0.25">
      <c r="A50">
        <f t="shared" ref="A50:B50" si="27">+A30</f>
        <v>15</v>
      </c>
      <c r="B50">
        <f t="shared" si="27"/>
        <v>306.125</v>
      </c>
      <c r="C50">
        <f t="shared" si="8"/>
        <v>306.125</v>
      </c>
      <c r="D50" t="str">
        <f t="shared" si="9"/>
        <v>D</v>
      </c>
      <c r="F50" s="61">
        <f t="shared" si="13"/>
        <v>306.125</v>
      </c>
      <c r="G50" t="str">
        <f t="shared" si="14"/>
        <v>D</v>
      </c>
      <c r="H50" s="62">
        <f>+F50</f>
        <v>306.125</v>
      </c>
      <c r="I50" s="60">
        <f>+H50/$H$36</f>
        <v>0.41333333333333333</v>
      </c>
    </row>
    <row r="52" spans="1:9" x14ac:dyDescent="0.25">
      <c r="B52" s="61"/>
      <c r="F52" s="61"/>
    </row>
  </sheetData>
  <conditionalFormatting sqref="B16:B30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36:I50">
    <cfRule type="cellIs" dxfId="2" priority="1" operator="lessThan">
      <formula>0.8</formula>
    </cfRule>
  </conditionalFormatting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21"/>
  <sheetViews>
    <sheetView workbookViewId="0">
      <selection activeCell="D37" sqref="D37"/>
    </sheetView>
  </sheetViews>
  <sheetFormatPr baseColWidth="10" defaultRowHeight="15" x14ac:dyDescent="0.25"/>
  <cols>
    <col min="5" max="5" width="12.140625" customWidth="1"/>
  </cols>
  <sheetData>
    <row r="2" spans="1:7" x14ac:dyDescent="0.25">
      <c r="B2" s="27" t="s">
        <v>27</v>
      </c>
    </row>
    <row r="4" spans="1:7" ht="30" x14ac:dyDescent="0.25">
      <c r="A4" s="26"/>
      <c r="B4" s="20" t="s">
        <v>28</v>
      </c>
      <c r="C4" s="20" t="s">
        <v>29</v>
      </c>
      <c r="D4" s="20" t="s">
        <v>30</v>
      </c>
      <c r="E4" s="20" t="s">
        <v>31</v>
      </c>
      <c r="F4" s="47" t="s">
        <v>32</v>
      </c>
      <c r="G4" s="47" t="s">
        <v>54</v>
      </c>
    </row>
    <row r="5" spans="1:7" x14ac:dyDescent="0.25">
      <c r="A5" s="18"/>
      <c r="B5" s="18" t="str">
        <f>+Diseño!B3</f>
        <v>A</v>
      </c>
      <c r="C5" s="25">
        <f>+HLOOKUP(B5,Efectos!$C$6:$Q$11,6,FALSE)</f>
        <v>82621.125</v>
      </c>
      <c r="D5" s="25">
        <f>+Efectos!$F$3-1</f>
        <v>1</v>
      </c>
      <c r="E5" s="25">
        <f>+C5/D5</f>
        <v>82621.125</v>
      </c>
      <c r="F5" s="12">
        <f>+E5/$E$20</f>
        <v>16.524225000000001</v>
      </c>
      <c r="G5" s="50">
        <f>+_xlfn.F.DIST.RT(F5,D5,$D$20)</f>
        <v>9.0029950102796252E-4</v>
      </c>
    </row>
    <row r="6" spans="1:7" x14ac:dyDescent="0.25">
      <c r="A6" s="18"/>
      <c r="B6" s="18" t="str">
        <f>+Diseño!C3</f>
        <v>B</v>
      </c>
      <c r="C6" s="25">
        <f>+HLOOKUP(B6,Efectos!$C$6:$Q$11,6,FALSE)</f>
        <v>21.125</v>
      </c>
      <c r="D6" s="25">
        <f>+Efectos!$F$3-1</f>
        <v>1</v>
      </c>
      <c r="E6" s="25">
        <f t="shared" ref="E6:E19" si="0">+C6/D6</f>
        <v>21.125</v>
      </c>
      <c r="F6" s="12">
        <f t="shared" ref="F6:F19" si="1">+E6/$E$20</f>
        <v>4.2249999999999996E-3</v>
      </c>
      <c r="G6" s="50">
        <f t="shared" ref="G6:G19" si="2">+_xlfn.F.DIST.RT(F6,D6,$D$20)</f>
        <v>0.94897921245242678</v>
      </c>
    </row>
    <row r="7" spans="1:7" x14ac:dyDescent="0.25">
      <c r="A7" s="18"/>
      <c r="B7" s="18" t="str">
        <f>+Diseño!D3</f>
        <v>AxB</v>
      </c>
      <c r="C7" s="25">
        <f>+HLOOKUP(B7,Efectos!$C$6:$Q$11,6,FALSE)</f>
        <v>496.125</v>
      </c>
      <c r="D7" s="25">
        <f>+Efectos!$F$3-1</f>
        <v>1</v>
      </c>
      <c r="E7" s="25">
        <f t="shared" si="0"/>
        <v>496.125</v>
      </c>
      <c r="F7" s="12">
        <f t="shared" si="1"/>
        <v>9.9224999999999994E-2</v>
      </c>
      <c r="G7" s="50">
        <f t="shared" si="2"/>
        <v>0.75683253915258364</v>
      </c>
    </row>
    <row r="8" spans="1:7" x14ac:dyDescent="0.25">
      <c r="A8" s="18"/>
      <c r="B8" s="18" t="str">
        <f>+Diseño!E3</f>
        <v>C</v>
      </c>
      <c r="C8" s="25">
        <f>+HLOOKUP(B8,Efectos!$C$6:$Q$11,6,FALSE)</f>
        <v>435.125</v>
      </c>
      <c r="D8" s="25">
        <f>+Efectos!$F$3-1</f>
        <v>1</v>
      </c>
      <c r="E8" s="25">
        <f t="shared" si="0"/>
        <v>435.125</v>
      </c>
      <c r="F8" s="12">
        <f t="shared" si="1"/>
        <v>8.7025000000000005E-2</v>
      </c>
      <c r="G8" s="50">
        <f t="shared" si="2"/>
        <v>0.77178736358860167</v>
      </c>
    </row>
    <row r="9" spans="1:7" x14ac:dyDescent="0.25">
      <c r="A9" s="18"/>
      <c r="B9" s="18" t="str">
        <f>+Diseño!F3</f>
        <v>AxC</v>
      </c>
      <c r="C9" s="25">
        <f>+HLOOKUP(B9,Efectos!$C$6:$Q$11,6,FALSE)</f>
        <v>4950.125</v>
      </c>
      <c r="D9" s="25">
        <f>+Efectos!$F$3-1</f>
        <v>1</v>
      </c>
      <c r="E9" s="25">
        <f t="shared" si="0"/>
        <v>4950.125</v>
      </c>
      <c r="F9" s="12">
        <f t="shared" si="1"/>
        <v>0.99002500000000004</v>
      </c>
      <c r="G9" s="50">
        <f t="shared" si="2"/>
        <v>0.33454687582520726</v>
      </c>
    </row>
    <row r="10" spans="1:7" x14ac:dyDescent="0.25">
      <c r="A10" s="18"/>
      <c r="B10" s="18" t="str">
        <f>+Diseño!G3</f>
        <v>BxC</v>
      </c>
      <c r="C10" s="25">
        <f>+HLOOKUP(B10,Efectos!$C$6:$Q$11,6,FALSE)</f>
        <v>15400.125</v>
      </c>
      <c r="D10" s="25">
        <f>+Efectos!$F$3-1</f>
        <v>1</v>
      </c>
      <c r="E10" s="25">
        <f t="shared" si="0"/>
        <v>15400.125</v>
      </c>
      <c r="F10" s="12">
        <f t="shared" si="1"/>
        <v>3.080025</v>
      </c>
      <c r="G10" s="50">
        <f t="shared" si="2"/>
        <v>9.8384999449648847E-2</v>
      </c>
    </row>
    <row r="11" spans="1:7" x14ac:dyDescent="0.25">
      <c r="A11" s="18"/>
      <c r="B11" s="18" t="str">
        <f>+Diseño!H3</f>
        <v>AxBxC</v>
      </c>
      <c r="C11" s="25">
        <f>+HLOOKUP(B11,Efectos!$C$6:$Q$11,6,FALSE)</f>
        <v>1953.125</v>
      </c>
      <c r="D11" s="25">
        <f>+Efectos!$F$3-1</f>
        <v>1</v>
      </c>
      <c r="E11" s="25">
        <f t="shared" si="0"/>
        <v>1953.125</v>
      </c>
      <c r="F11" s="12">
        <f t="shared" si="1"/>
        <v>0.390625</v>
      </c>
      <c r="G11" s="50">
        <f t="shared" si="2"/>
        <v>0.54078288030733124</v>
      </c>
    </row>
    <row r="12" spans="1:7" x14ac:dyDescent="0.25">
      <c r="A12" s="18"/>
      <c r="B12" s="18" t="str">
        <f>+Diseño!I3</f>
        <v>D</v>
      </c>
      <c r="C12" s="25">
        <f>+HLOOKUP(B12,Efectos!$C$6:$Q$11,6,FALSE)</f>
        <v>749700.125</v>
      </c>
      <c r="D12" s="25">
        <f>+Efectos!$F$3-1</f>
        <v>1</v>
      </c>
      <c r="E12" s="25">
        <f t="shared" si="0"/>
        <v>749700.125</v>
      </c>
      <c r="F12" s="12">
        <f t="shared" si="1"/>
        <v>149.94002499999999</v>
      </c>
      <c r="G12" s="50">
        <f t="shared" si="2"/>
        <v>1.5343493197384027E-9</v>
      </c>
    </row>
    <row r="13" spans="1:7" x14ac:dyDescent="0.25">
      <c r="A13" s="18"/>
      <c r="B13" s="18" t="str">
        <f>+Diseño!J3</f>
        <v>AxD</v>
      </c>
      <c r="C13" s="25">
        <f>+HLOOKUP(B13,Efectos!$C$6:$Q$11,6,FALSE)</f>
        <v>188805.125</v>
      </c>
      <c r="D13" s="25">
        <f>+Efectos!$F$3-1</f>
        <v>1</v>
      </c>
      <c r="E13" s="25">
        <f t="shared" si="0"/>
        <v>188805.125</v>
      </c>
      <c r="F13" s="12">
        <f t="shared" si="1"/>
        <v>37.761024999999997</v>
      </c>
      <c r="G13" s="50">
        <f t="shared" si="2"/>
        <v>1.410237974815202E-5</v>
      </c>
    </row>
    <row r="14" spans="1:7" x14ac:dyDescent="0.25">
      <c r="A14" s="18"/>
      <c r="B14" s="18" t="str">
        <f>+Diseño!K3</f>
        <v>BxD</v>
      </c>
      <c r="C14" s="25">
        <f>+HLOOKUP(B14,Efectos!$C$6:$Q$11,6,FALSE)</f>
        <v>3.125</v>
      </c>
      <c r="D14" s="25">
        <f>+Efectos!$F$3-1</f>
        <v>1</v>
      </c>
      <c r="E14" s="25">
        <f t="shared" si="0"/>
        <v>3.125</v>
      </c>
      <c r="F14" s="12">
        <f t="shared" si="1"/>
        <v>6.2500000000000001E-4</v>
      </c>
      <c r="G14" s="50">
        <f t="shared" si="2"/>
        <v>0.98036411171798798</v>
      </c>
    </row>
    <row r="15" spans="1:7" x14ac:dyDescent="0.25">
      <c r="A15" s="18"/>
      <c r="B15" s="18" t="str">
        <f>+Diseño!L3</f>
        <v>AxBxD</v>
      </c>
      <c r="C15" s="25">
        <f>+HLOOKUP(B15,Efectos!$C$6:$Q$11,6,FALSE)</f>
        <v>136.125</v>
      </c>
      <c r="D15" s="25">
        <f>+Efectos!$F$3-1</f>
        <v>1</v>
      </c>
      <c r="E15" s="25">
        <f t="shared" si="0"/>
        <v>136.125</v>
      </c>
      <c r="F15" s="12">
        <f t="shared" si="1"/>
        <v>2.7224999999999999E-2</v>
      </c>
      <c r="G15" s="50">
        <f t="shared" si="2"/>
        <v>0.87101064429536146</v>
      </c>
    </row>
    <row r="16" spans="1:7" x14ac:dyDescent="0.25">
      <c r="A16" s="18"/>
      <c r="B16" s="18" t="str">
        <f>+Diseño!M3</f>
        <v>CxD</v>
      </c>
      <c r="C16" s="25">
        <f>+HLOOKUP(B16,Efectos!$C$6:$Q$11,6,FALSE)</f>
        <v>36.125</v>
      </c>
      <c r="D16" s="25">
        <f>+Efectos!$F$3-1</f>
        <v>1</v>
      </c>
      <c r="E16" s="25">
        <f t="shared" si="0"/>
        <v>36.125</v>
      </c>
      <c r="F16" s="12">
        <f t="shared" si="1"/>
        <v>7.2249999999999997E-3</v>
      </c>
      <c r="G16" s="50">
        <f t="shared" si="2"/>
        <v>0.93331590759472438</v>
      </c>
    </row>
    <row r="17" spans="1:7" x14ac:dyDescent="0.25">
      <c r="A17" s="18"/>
      <c r="B17" s="18" t="str">
        <f>+Diseño!N3</f>
        <v>AxCxD</v>
      </c>
      <c r="C17" s="25">
        <f>+HLOOKUP(B17,Efectos!$C$6:$Q$11,6,FALSE)</f>
        <v>253.125</v>
      </c>
      <c r="D17" s="25">
        <f>+Efectos!$F$3-1</f>
        <v>1</v>
      </c>
      <c r="E17" s="25">
        <f t="shared" si="0"/>
        <v>253.125</v>
      </c>
      <c r="F17" s="12">
        <f t="shared" si="1"/>
        <v>5.0625000000000003E-2</v>
      </c>
      <c r="G17" s="50">
        <f t="shared" si="2"/>
        <v>0.82482773981707025</v>
      </c>
    </row>
    <row r="18" spans="1:7" x14ac:dyDescent="0.25">
      <c r="A18" s="18"/>
      <c r="B18" s="18" t="str">
        <f>+Diseño!O3</f>
        <v>BxCxD</v>
      </c>
      <c r="C18" s="25">
        <f>+HLOOKUP(B18,Efectos!$C$6:$Q$11,6,FALSE)</f>
        <v>5151.125</v>
      </c>
      <c r="D18" s="25">
        <f>+Efectos!$F$3-1</f>
        <v>1</v>
      </c>
      <c r="E18" s="25">
        <f t="shared" si="0"/>
        <v>5151.125</v>
      </c>
      <c r="F18" s="12">
        <f t="shared" si="1"/>
        <v>1.0302249999999999</v>
      </c>
      <c r="G18" s="50">
        <f t="shared" si="2"/>
        <v>0.32520966227017511</v>
      </c>
    </row>
    <row r="19" spans="1:7" x14ac:dyDescent="0.25">
      <c r="A19" s="18"/>
      <c r="B19" s="18" t="str">
        <f>+Diseño!P3</f>
        <v>AxBxCxD</v>
      </c>
      <c r="C19" s="25">
        <f>+HLOOKUP(B19,Efectos!$C$6:$Q$11,6,FALSE)</f>
        <v>12880.125</v>
      </c>
      <c r="D19" s="25">
        <f>+Efectos!$F$3-1</f>
        <v>1</v>
      </c>
      <c r="E19" s="25">
        <f t="shared" si="0"/>
        <v>12880.125</v>
      </c>
      <c r="F19" s="49">
        <f t="shared" si="1"/>
        <v>2.576025</v>
      </c>
      <c r="G19" s="51">
        <f t="shared" si="2"/>
        <v>0.12804772957393595</v>
      </c>
    </row>
    <row r="20" spans="1:7" x14ac:dyDescent="0.25">
      <c r="B20" s="21" t="s">
        <v>33</v>
      </c>
      <c r="C20" s="48">
        <f>+C21-SUM(C5:C19)</f>
        <v>80000</v>
      </c>
      <c r="D20" s="22">
        <f>+D21-SUM(D5:D19)</f>
        <v>16</v>
      </c>
      <c r="E20" s="23">
        <f>+IF(D20=0,"No se puede",C20/D20)</f>
        <v>5000</v>
      </c>
    </row>
    <row r="21" spans="1:7" x14ac:dyDescent="0.25">
      <c r="B21" s="21" t="s">
        <v>34</v>
      </c>
      <c r="C21" s="48">
        <f>+Diseño!V26</f>
        <v>1142841.875</v>
      </c>
      <c r="D21" s="22">
        <f>16*Efectos!C3-1</f>
        <v>31</v>
      </c>
      <c r="E21" s="48">
        <f>+C21/D21</f>
        <v>36865.866935483871</v>
      </c>
    </row>
  </sheetData>
  <conditionalFormatting sqref="G5:G19">
    <cfRule type="cellIs" dxfId="1" priority="1" operator="greaterThan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21"/>
  <sheetViews>
    <sheetView workbookViewId="0">
      <selection activeCell="H6" sqref="H6"/>
    </sheetView>
  </sheetViews>
  <sheetFormatPr baseColWidth="10" defaultRowHeight="15" x14ac:dyDescent="0.25"/>
  <cols>
    <col min="3" max="3" width="13.5703125" bestFit="1" customWidth="1"/>
    <col min="4" max="4" width="11.140625" bestFit="1" customWidth="1"/>
    <col min="5" max="5" width="12.140625" customWidth="1"/>
    <col min="6" max="6" width="11.140625" bestFit="1" customWidth="1"/>
  </cols>
  <sheetData>
    <row r="2" spans="1:8" x14ac:dyDescent="0.25">
      <c r="B2" s="27" t="s">
        <v>27</v>
      </c>
    </row>
    <row r="4" spans="1:8" ht="30" x14ac:dyDescent="0.25">
      <c r="A4" s="26" t="s">
        <v>40</v>
      </c>
      <c r="B4" s="20" t="s">
        <v>28</v>
      </c>
      <c r="C4" s="20" t="s">
        <v>29</v>
      </c>
      <c r="D4" s="20" t="s">
        <v>44</v>
      </c>
      <c r="E4" s="20" t="s">
        <v>43</v>
      </c>
      <c r="F4" s="20" t="s">
        <v>32</v>
      </c>
      <c r="G4" s="20" t="s">
        <v>42</v>
      </c>
      <c r="H4" s="45">
        <v>0.05</v>
      </c>
    </row>
    <row r="5" spans="1:8" x14ac:dyDescent="0.25">
      <c r="A5" s="18">
        <v>0</v>
      </c>
      <c r="B5" s="18" t="str">
        <f>+Diseño!B3</f>
        <v>A</v>
      </c>
      <c r="C5" s="29">
        <f>IF($A5=1,0,AnovaT!C5)</f>
        <v>82621.125</v>
      </c>
      <c r="D5" s="29">
        <f>IF($A5=1,0,AnovaT!D5)</f>
        <v>1</v>
      </c>
      <c r="E5" s="29">
        <f>IF($A5=1,0,AnovaT!E5)</f>
        <v>82621.125</v>
      </c>
      <c r="F5" s="28">
        <f t="shared" ref="F5:F19" si="0">IF(A5=0,E5/$E$20,0)</f>
        <v>7.1945394403984659</v>
      </c>
      <c r="G5" s="24">
        <f t="shared" ref="G5:G19" si="1">IF(A5=0,_xlfn.F.DIST.RT(F5,D5,D$20),0)</f>
        <v>1.2325005685690973E-2</v>
      </c>
      <c r="H5" s="12"/>
    </row>
    <row r="6" spans="1:8" x14ac:dyDescent="0.25">
      <c r="A6" s="18">
        <v>0</v>
      </c>
      <c r="B6" s="18" t="str">
        <f>+Diseño!C3</f>
        <v>B</v>
      </c>
      <c r="C6" s="29">
        <f>IF($A6=1,0,AnovaT!C6)</f>
        <v>21.125</v>
      </c>
      <c r="D6" s="29">
        <f>IF($A6=1,0,AnovaT!D6)</f>
        <v>1</v>
      </c>
      <c r="E6" s="29">
        <f>IF($A6=1,0,AnovaT!E6)</f>
        <v>21.125</v>
      </c>
      <c r="F6" s="28">
        <f t="shared" si="0"/>
        <v>1.8395373541381526E-3</v>
      </c>
      <c r="G6" s="24">
        <f t="shared" si="1"/>
        <v>0.9661049734486975</v>
      </c>
    </row>
    <row r="7" spans="1:8" x14ac:dyDescent="0.25">
      <c r="A7" s="18">
        <v>0</v>
      </c>
      <c r="B7" s="18" t="str">
        <f>+Diseño!E3</f>
        <v>C</v>
      </c>
      <c r="C7" s="29">
        <f>IF($A7=1,0,AnovaT!C8)</f>
        <v>435.125</v>
      </c>
      <c r="D7" s="29">
        <f>IF($A7=1,0,AnovaT!D8)</f>
        <v>1</v>
      </c>
      <c r="E7" s="29">
        <f>IF($A7=1,0,AnovaT!E8)</f>
        <v>435.125</v>
      </c>
      <c r="F7" s="28">
        <f t="shared" si="0"/>
        <v>3.7890115560679942E-2</v>
      </c>
      <c r="G7" s="24">
        <f t="shared" si="1"/>
        <v>0.84712123248119076</v>
      </c>
    </row>
    <row r="8" spans="1:8" x14ac:dyDescent="0.25">
      <c r="A8" s="18">
        <v>0</v>
      </c>
      <c r="B8" s="18" t="str">
        <f>+Diseño!I3</f>
        <v>D</v>
      </c>
      <c r="C8" s="29">
        <f>IF($A8=1,0,AnovaT!C12)</f>
        <v>749700.125</v>
      </c>
      <c r="D8" s="29">
        <f>IF($A8=1,0,AnovaT!D12)</f>
        <v>1</v>
      </c>
      <c r="E8" s="29">
        <f>IF($A8=1,0,AnovaT!E12)</f>
        <v>749700.125</v>
      </c>
      <c r="F8" s="28">
        <f t="shared" si="0"/>
        <v>65.282905767552307</v>
      </c>
      <c r="G8" s="24">
        <f t="shared" si="1"/>
        <v>1.1108900793878541E-8</v>
      </c>
    </row>
    <row r="9" spans="1:8" x14ac:dyDescent="0.25">
      <c r="A9" s="18">
        <v>1</v>
      </c>
      <c r="B9" s="18" t="str">
        <f>+Diseño!D3</f>
        <v>AxB</v>
      </c>
      <c r="C9" s="29">
        <f>IF($A9=1,0,AnovaT!C7)</f>
        <v>0</v>
      </c>
      <c r="D9" s="29">
        <f>IF($A9=1,0,AnovaT!D7)</f>
        <v>0</v>
      </c>
      <c r="E9" s="29">
        <f>IF($A9=1,0,AnovaT!E7)</f>
        <v>0</v>
      </c>
      <c r="F9" s="28">
        <f t="shared" si="0"/>
        <v>0</v>
      </c>
      <c r="G9" s="24">
        <f t="shared" si="1"/>
        <v>0</v>
      </c>
    </row>
    <row r="10" spans="1:8" x14ac:dyDescent="0.25">
      <c r="A10" s="18">
        <v>1</v>
      </c>
      <c r="B10" s="18" t="str">
        <f>+Diseño!F3</f>
        <v>AxC</v>
      </c>
      <c r="C10" s="29">
        <f>IF($A10=1,0,AnovaT!C9)</f>
        <v>0</v>
      </c>
      <c r="D10" s="29">
        <f>IF($A10=1,0,AnovaT!D9)</f>
        <v>0</v>
      </c>
      <c r="E10" s="29">
        <f>IF($A10=1,0,AnovaT!E9)</f>
        <v>0</v>
      </c>
      <c r="F10" s="28">
        <f t="shared" si="0"/>
        <v>0</v>
      </c>
      <c r="G10" s="24">
        <f t="shared" si="1"/>
        <v>0</v>
      </c>
    </row>
    <row r="11" spans="1:8" x14ac:dyDescent="0.25">
      <c r="A11" s="18">
        <v>1</v>
      </c>
      <c r="B11" s="18" t="str">
        <f>+Diseño!J3</f>
        <v>AxD</v>
      </c>
      <c r="C11" s="29">
        <f>IF($A11=1,0,AnovaT!C13)</f>
        <v>0</v>
      </c>
      <c r="D11" s="29">
        <f>IF($A11=1,0,AnovaT!D13)</f>
        <v>0</v>
      </c>
      <c r="E11" s="29">
        <f>IF($A11=1,0,AnovaT!E13)</f>
        <v>0</v>
      </c>
      <c r="F11" s="28">
        <f t="shared" si="0"/>
        <v>0</v>
      </c>
      <c r="G11" s="24">
        <f t="shared" si="1"/>
        <v>0</v>
      </c>
    </row>
    <row r="12" spans="1:8" x14ac:dyDescent="0.25">
      <c r="A12" s="18">
        <v>1</v>
      </c>
      <c r="B12" s="18" t="str">
        <f>+Diseño!G3</f>
        <v>BxC</v>
      </c>
      <c r="C12" s="29">
        <f>IF($A12=1,0,AnovaT!C10)</f>
        <v>0</v>
      </c>
      <c r="D12" s="29">
        <f>IF($A12=1,0,AnovaT!D10)</f>
        <v>0</v>
      </c>
      <c r="E12" s="29">
        <f>IF($A12=1,0,AnovaT!E10)</f>
        <v>0</v>
      </c>
      <c r="F12" s="28">
        <f t="shared" si="0"/>
        <v>0</v>
      </c>
      <c r="G12" s="24">
        <f t="shared" si="1"/>
        <v>0</v>
      </c>
    </row>
    <row r="13" spans="1:8" x14ac:dyDescent="0.25">
      <c r="A13" s="18">
        <v>1</v>
      </c>
      <c r="B13" s="18" t="str">
        <f>+Diseño!K3</f>
        <v>BxD</v>
      </c>
      <c r="C13" s="29">
        <f>IF($A13=1,0,AnovaT!C14)</f>
        <v>0</v>
      </c>
      <c r="D13" s="29">
        <f>IF($A13=1,0,AnovaT!D14)</f>
        <v>0</v>
      </c>
      <c r="E13" s="29">
        <f>IF($A13=1,0,AnovaT!E14)</f>
        <v>0</v>
      </c>
      <c r="F13" s="28">
        <f t="shared" si="0"/>
        <v>0</v>
      </c>
      <c r="G13" s="24">
        <f t="shared" si="1"/>
        <v>0</v>
      </c>
    </row>
    <row r="14" spans="1:8" x14ac:dyDescent="0.25">
      <c r="A14" s="18">
        <v>1</v>
      </c>
      <c r="B14" s="18" t="str">
        <f>+Diseño!M3</f>
        <v>CxD</v>
      </c>
      <c r="C14" s="29">
        <f>IF($A14=1,0,AnovaT!C16)</f>
        <v>0</v>
      </c>
      <c r="D14" s="29">
        <f>IF($A14=1,0,AnovaT!D16)</f>
        <v>0</v>
      </c>
      <c r="E14" s="29">
        <f>IF($A14=1,0,AnovaT!E16)</f>
        <v>0</v>
      </c>
      <c r="F14" s="28">
        <f t="shared" si="0"/>
        <v>0</v>
      </c>
      <c r="G14" s="24">
        <f t="shared" si="1"/>
        <v>0</v>
      </c>
    </row>
    <row r="15" spans="1:8" x14ac:dyDescent="0.25">
      <c r="A15" s="18">
        <v>1</v>
      </c>
      <c r="B15" s="18" t="str">
        <f>+Diseño!H3</f>
        <v>AxBxC</v>
      </c>
      <c r="C15" s="29">
        <f>IF($A15=1,0,AnovaT!C11)</f>
        <v>0</v>
      </c>
      <c r="D15" s="29">
        <f>IF($A15=1,0,AnovaT!D11)</f>
        <v>0</v>
      </c>
      <c r="E15" s="29">
        <f>IF($A15=1,0,AnovaT!E11)</f>
        <v>0</v>
      </c>
      <c r="F15" s="28">
        <f t="shared" si="0"/>
        <v>0</v>
      </c>
      <c r="G15" s="24">
        <f t="shared" si="1"/>
        <v>0</v>
      </c>
    </row>
    <row r="16" spans="1:8" x14ac:dyDescent="0.25">
      <c r="A16" s="18">
        <v>1</v>
      </c>
      <c r="B16" s="18" t="str">
        <f>+Diseño!L3</f>
        <v>AxBxD</v>
      </c>
      <c r="C16" s="29">
        <f>IF($A16=1,0,AnovaT!C15)</f>
        <v>0</v>
      </c>
      <c r="D16" s="29">
        <f>IF($A16=1,0,AnovaT!D15)</f>
        <v>0</v>
      </c>
      <c r="E16" s="29">
        <f>IF($A16=1,0,AnovaT!E15)</f>
        <v>0</v>
      </c>
      <c r="F16" s="28">
        <f t="shared" si="0"/>
        <v>0</v>
      </c>
      <c r="G16" s="24">
        <f t="shared" si="1"/>
        <v>0</v>
      </c>
    </row>
    <row r="17" spans="1:7" x14ac:dyDescent="0.25">
      <c r="A17" s="18">
        <v>1</v>
      </c>
      <c r="B17" s="18" t="str">
        <f>+Diseño!N3</f>
        <v>AxCxD</v>
      </c>
      <c r="C17" s="29">
        <f>IF($A17=1,0,AnovaT!C17)</f>
        <v>0</v>
      </c>
      <c r="D17" s="29">
        <f>IF($A17=1,0,AnovaT!D17)</f>
        <v>0</v>
      </c>
      <c r="E17" s="29">
        <f>IF($A17=1,0,AnovaT!E17)</f>
        <v>0</v>
      </c>
      <c r="F17" s="28">
        <f t="shared" si="0"/>
        <v>0</v>
      </c>
      <c r="G17" s="24">
        <f t="shared" si="1"/>
        <v>0</v>
      </c>
    </row>
    <row r="18" spans="1:7" x14ac:dyDescent="0.25">
      <c r="A18" s="18">
        <v>1</v>
      </c>
      <c r="B18" s="18" t="str">
        <f>+Diseño!O3</f>
        <v>BxCxD</v>
      </c>
      <c r="C18" s="29">
        <f>IF($A18=1,0,AnovaT!C18)</f>
        <v>0</v>
      </c>
      <c r="D18" s="29">
        <f>IF($A18=1,0,AnovaT!D18)</f>
        <v>0</v>
      </c>
      <c r="E18" s="29">
        <f>IF($A18=1,0,AnovaT!E18)</f>
        <v>0</v>
      </c>
      <c r="F18" s="28">
        <f t="shared" si="0"/>
        <v>0</v>
      </c>
      <c r="G18" s="24">
        <f t="shared" si="1"/>
        <v>0</v>
      </c>
    </row>
    <row r="19" spans="1:7" x14ac:dyDescent="0.25">
      <c r="A19" s="18">
        <v>1</v>
      </c>
      <c r="B19" s="18" t="str">
        <f>+Diseño!P3</f>
        <v>AxBxCxD</v>
      </c>
      <c r="C19" s="29">
        <f>IF($A19=1,0,AnovaT!C19)</f>
        <v>0</v>
      </c>
      <c r="D19" s="29">
        <f>IF($A19=1,0,AnovaT!D19)</f>
        <v>0</v>
      </c>
      <c r="E19" s="29">
        <f>IF($A19=1,0,AnovaT!E19)</f>
        <v>0</v>
      </c>
      <c r="F19" s="28">
        <f t="shared" si="0"/>
        <v>0</v>
      </c>
      <c r="G19" s="24">
        <f t="shared" si="1"/>
        <v>0</v>
      </c>
    </row>
    <row r="20" spans="1:7" x14ac:dyDescent="0.25">
      <c r="B20" s="21" t="s">
        <v>33</v>
      </c>
      <c r="C20" s="30">
        <f>+C21-SUM(C5:C19)</f>
        <v>310064.375</v>
      </c>
      <c r="D20" s="30">
        <f>+D21-SUM(D5:D19)</f>
        <v>27</v>
      </c>
      <c r="E20" s="31">
        <f>+IF(D20=0,"No se puede",C20/D20)</f>
        <v>11483.865740740741</v>
      </c>
      <c r="F20" s="30"/>
      <c r="G20" s="22"/>
    </row>
    <row r="21" spans="1:7" x14ac:dyDescent="0.25">
      <c r="B21" s="21" t="s">
        <v>34</v>
      </c>
      <c r="C21" s="30">
        <f>+AnovaT!C21</f>
        <v>1142841.875</v>
      </c>
      <c r="D21" s="30">
        <f>+AnovaT!D21</f>
        <v>31</v>
      </c>
      <c r="E21" s="30"/>
      <c r="F21" s="30"/>
      <c r="G21" s="22"/>
    </row>
  </sheetData>
  <conditionalFormatting sqref="G5:G19">
    <cfRule type="cellIs" dxfId="0" priority="11" operator="lessThan">
      <formula>$H$4</formula>
    </cfRule>
  </conditionalFormatting>
  <dataValidations count="1">
    <dataValidation type="list" allowBlank="1" showInputMessage="1" showErrorMessage="1" sqref="A5:A19" xr:uid="{00000000-0002-0000-0300-000000000000}">
      <formula1>"0,1"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Diseño</vt:lpstr>
      <vt:lpstr>Efectos</vt:lpstr>
      <vt:lpstr>AnovaT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amaya</dc:creator>
  <cp:lastModifiedBy>Ciro Alberto Amaya Guio</cp:lastModifiedBy>
  <dcterms:created xsi:type="dcterms:W3CDTF">2019-11-16T22:00:13Z</dcterms:created>
  <dcterms:modified xsi:type="dcterms:W3CDTF">2024-11-21T12:39:14Z</dcterms:modified>
</cp:coreProperties>
</file>