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carlocabusora/Desktop/PA3/"/>
    </mc:Choice>
  </mc:AlternateContent>
  <xr:revisionPtr revIDLastSave="0" documentId="13_ncr:1_{CFE64A5A-50D1-3741-BAFA-B6D3F6315AF5}" xr6:coauthVersionLast="47" xr6:coauthVersionMax="47" xr10:uidLastSave="{00000000-0000-0000-0000-000000000000}"/>
  <bookViews>
    <workbookView xWindow="10940" yWindow="500" windowWidth="16920" windowHeight="16020" activeTab="1" xr2:uid="{00000000-000D-0000-FFFF-FFFF00000000}"/>
  </bookViews>
  <sheets>
    <sheet name="Data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F46" i="3" l="1"/>
  <c r="BH43" i="3" a="1"/>
  <c r="BH43" i="3"/>
  <c r="BE43" i="3"/>
  <c r="BE41" i="3"/>
  <c r="BH41" i="3"/>
  <c r="BB43" i="3"/>
  <c r="AY43" i="3"/>
  <c r="BB41" i="3"/>
  <c r="AY41" i="3"/>
  <c r="AT46" i="3"/>
  <c r="AV43" i="3"/>
  <c r="AS43" i="3"/>
  <c r="AV41" i="3"/>
  <c r="AS41" i="3"/>
  <c r="AN46" i="3"/>
  <c r="AP43" i="3"/>
  <c r="AM43" i="3"/>
  <c r="AP41" i="3"/>
  <c r="AM41" i="3"/>
  <c r="AH46" i="3"/>
  <c r="AG43" i="3"/>
  <c r="AJ43" i="3"/>
  <c r="AJ41" i="3"/>
  <c r="AG41" i="3"/>
  <c r="AB46" i="3"/>
  <c r="AD43" i="3"/>
  <c r="AA43" i="3"/>
  <c r="U43" i="3"/>
  <c r="V46" i="3" s="1"/>
  <c r="AD41" i="3"/>
  <c r="AA41" i="3"/>
  <c r="P46" i="3"/>
  <c r="X43" i="3"/>
  <c r="O43" i="3"/>
  <c r="X41" i="3"/>
  <c r="U41" i="3"/>
  <c r="R43" i="3"/>
  <c r="R41" i="3"/>
  <c r="O41" i="3"/>
  <c r="J46" i="3"/>
  <c r="L43" i="3"/>
  <c r="I43" i="3" a="1"/>
  <c r="I43" i="3"/>
  <c r="L41" i="3"/>
  <c r="I41" i="3"/>
  <c r="F37" i="3"/>
  <c r="F36" i="3"/>
  <c r="F35" i="3"/>
  <c r="F34" i="3"/>
  <c r="F33" i="3"/>
  <c r="F32" i="3"/>
  <c r="F31" i="3"/>
  <c r="F30" i="3"/>
  <c r="F29" i="3"/>
  <c r="P18" i="3"/>
  <c r="T16" i="3" a="1"/>
  <c r="T16" i="3" s="1"/>
  <c r="T14" i="3"/>
  <c r="P16" i="3"/>
  <c r="P14" i="3"/>
  <c r="L16" i="3"/>
  <c r="C16" i="3"/>
  <c r="E19" i="3" s="1"/>
  <c r="L14" i="3"/>
  <c r="G16" i="3"/>
  <c r="G14" i="3"/>
  <c r="C14" i="3"/>
  <c r="AZ46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tc={7E27A252-C5EB-2349-867E-3D00AB2F848F}</author>
  </authors>
  <commentList>
    <comment ref="A1" authorId="0" shapeId="0" xr:uid="{7E27A252-C5EB-2349-867E-3D00AB2F848F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a column for ID to index observations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tc={BEC6600B-C211-B147-94C0-6912A5F7B93B}</author>
  </authors>
  <commentList>
    <comment ref="D27" authorId="0" shapeId="0" xr:uid="{BEC6600B-C211-B147-94C0-6912A5F7B93B}">
      <text>
        <t>[Threaded comment]
Your version of Excel allows you to read this threaded comment; however, any edits to it will get removed if the file is opened in a newer version of Excel. Learn more: https://go.microsoft.com/fwlink/?linkid=870924
Comment:
    Sorted by income to calculate midpoints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<sst xmlns="http://schemas.openxmlformats.org/spreadsheetml/2006/main" count="200" uniqueCount="45">
  <si>
    <t>Homeowner</t>
  </si>
  <si>
    <t>No</t>
  </si>
  <si>
    <t>Yes</t>
  </si>
  <si>
    <t>Purchased</t>
  </si>
  <si>
    <t>Married</t>
  </si>
  <si>
    <t>Divorced</t>
  </si>
  <si>
    <t>Single</t>
  </si>
  <si>
    <t>ID</t>
  </si>
  <si>
    <t>no</t>
  </si>
  <si>
    <t>yes</t>
  </si>
  <si>
    <t>s=1</t>
  </si>
  <si>
    <t>s=2</t>
  </si>
  <si>
    <t>Entropy(s=1):</t>
  </si>
  <si>
    <t>Entropy(s=2):</t>
  </si>
  <si>
    <t>Marital Status</t>
  </si>
  <si>
    <t>Marital</t>
  </si>
  <si>
    <t>s=3</t>
  </si>
  <si>
    <t>single</t>
  </si>
  <si>
    <t>married</t>
  </si>
  <si>
    <t>divorced</t>
  </si>
  <si>
    <t>Entropy(s=3):</t>
  </si>
  <si>
    <t>Annual Income</t>
  </si>
  <si>
    <t>Income</t>
  </si>
  <si>
    <t>Annual Income Midpoints</t>
  </si>
  <si>
    <t>income</t>
  </si>
  <si>
    <t>Group</t>
  </si>
  <si>
    <t>Midpoint</t>
  </si>
  <si>
    <t>Impurity:</t>
  </si>
  <si>
    <t>Marital.status</t>
  </si>
  <si>
    <t>Annual.income</t>
  </si>
  <si>
    <t>Spending</t>
  </si>
  <si>
    <t>NA</t>
  </si>
  <si>
    <t>mean:</t>
  </si>
  <si>
    <t>MSE(s=1):</t>
  </si>
  <si>
    <t>MSE(s=2):</t>
  </si>
  <si>
    <t>Midpoint 1: 81951</t>
  </si>
  <si>
    <t>Midpoint 2: 103645.5</t>
  </si>
  <si>
    <t>Midpoint 3: 127208.5</t>
  </si>
  <si>
    <t>Midpoint 4: 138025</t>
  </si>
  <si>
    <t>Midpoint 5: 149094.5</t>
  </si>
  <si>
    <t>Midpoint 6: 159254</t>
  </si>
  <si>
    <t>Midpoint 7: 185890</t>
  </si>
  <si>
    <t>Midpoint 8: 217780</t>
  </si>
  <si>
    <t>Midpoint 9: 282662</t>
  </si>
  <si>
    <t>mean):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</si>
</sst>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ptos Narrow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2" borderId="2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/>
        <right style="thin">
          <color rgb="FFA9D08E"/>
        </right>
        <top style="thin">
          <color rgb="FFA9D08E"/>
        </top>
        <bottom style="thin">
          <color rgb="FFA9D08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rgb="FFA9D08E"/>
        </left>
        <right/>
        <top style="thin">
          <color rgb="FFA9D08E"/>
        </top>
        <bottom style="thin">
          <color rgb="FFA9D08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60960</xdr:colOff>
      <xdr:row>2</xdr:row>
      <xdr:rowOff>50800</xdr:rowOff>
    </xdr:from>
    <xdr:ext cx="6319520" cy="198541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CDA6ACB-9BA8-C065-9284-5FDC12A0A5B8}"/>
            </a:ext>
          </a:extLst>
        </xdr:cNvPr>
        <xdr:cNvSpPr txBox="1"/>
      </xdr:nvSpPr>
      <xdr:spPr>
        <a:xfrm>
          <a:off x="4287520" y="436880"/>
          <a:ext cx="6319520" cy="1985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Question</a:t>
          </a:r>
          <a:r>
            <a:rPr lang="en-US" sz="1100" baseline="0"/>
            <a:t> Answers:</a:t>
          </a:r>
        </a:p>
        <a:p>
          <a:r>
            <a:rPr lang="en-US" sz="1100" baseline="0"/>
            <a:t>1. The MSE on the split for homeownership is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0.24491024</a:t>
          </a:r>
          <a:r>
            <a:rPr lang="en-US"/>
            <a:t> </a:t>
          </a:r>
          <a:r>
            <a:rPr lang="en-US" sz="1100" baseline="0"/>
            <a:t>.</a:t>
          </a:r>
        </a:p>
        <a:p>
          <a:r>
            <a:rPr lang="en-US" sz="1100" baseline="0"/>
            <a:t>2. The MSE on sthe split for marital status is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0.04798636</a:t>
          </a:r>
          <a:r>
            <a:rPr lang="en-US"/>
            <a:t> </a:t>
          </a:r>
          <a:r>
            <a:rPr lang="en-US" sz="1100" baseline="0"/>
            <a:t>.</a:t>
          </a:r>
        </a:p>
        <a:p>
          <a:r>
            <a:rPr lang="en-US" sz="1100" baseline="0"/>
            <a:t>3. The smallest MSE for the split on income is at group 3 with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0.07489346</a:t>
          </a:r>
          <a:r>
            <a:rPr lang="en-US"/>
            <a:t> .</a:t>
          </a:r>
          <a:endParaRPr lang="en-US" sz="1100" baseline="0"/>
        </a:p>
        <a:p>
          <a:r>
            <a:rPr lang="en-US" sz="1100" baseline="0"/>
            <a:t>4. counting all the splits, there are 11.</a:t>
          </a:r>
        </a:p>
        <a:p>
          <a:r>
            <a:rPr lang="en-US" sz="1100" baseline="0"/>
            <a:t>5. According to having the lowest purity value, the marital status split at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0.04798636</a:t>
          </a:r>
          <a:r>
            <a:rPr lang="en-US"/>
            <a:t>  </a:t>
          </a:r>
          <a:r>
            <a:rPr lang="en-US" sz="1100" baseline="0"/>
            <a:t>should be used in the final tree.</a:t>
          </a:r>
        </a:p>
        <a:p>
          <a:r>
            <a:rPr lang="en-US" sz="1100" baseline="0"/>
            <a:t>6.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0.04798636</a:t>
          </a:r>
          <a:r>
            <a:rPr lang="en-US"/>
            <a:t> </a:t>
          </a:r>
        </a:p>
        <a:p>
          <a:r>
            <a:rPr lang="en-US" sz="1100" baseline="0"/>
            <a:t>7. The model predicts observation 11 would spend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2.0357672</a:t>
          </a:r>
          <a:r>
            <a:rPr lang="en-US"/>
            <a:t>  on average</a:t>
          </a:r>
          <a:r>
            <a:rPr lang="en-US" sz="1100" baseline="0"/>
            <a:t>.</a:t>
          </a:r>
        </a:p>
        <a:p>
          <a:r>
            <a:rPr lang="en-US" sz="1100" baseline="0"/>
            <a:t> The model predicts observation 12 would spend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1.87769597</a:t>
          </a:r>
          <a:r>
            <a:rPr lang="en-US"/>
            <a:t> on average</a:t>
          </a:r>
          <a:r>
            <a:rPr lang="en-US" sz="1100" baseline="0"/>
            <a:t>.</a:t>
          </a:r>
          <a:endParaRPr lang="en-US" sz="1100"/>
        </a:p>
        <a:p>
          <a:endParaRPr lang="en-US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abusora, Carlo" id="{88E944AB-A0B9-214F-88E9-95A6540285EB}" userId="S::CABUSORA@email.sc.edu::4339d1dd-4935-470b-aa7c-2677e400b922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C5F703-DB6A-904C-A535-719F8FAD1AA2}" name="Table2" displayName="Table2" ref="B6:D12" totalsRowShown="0">
  <autoFilter ref="B6:D12" xr:uid="{34C5F703-DB6A-904C-A535-719F8FAD1AA2}"/>
  <tableColumns count="3">
    <tableColumn id="1" xr3:uid="{31B99EAD-519E-B147-B1A5-C0B0B86C7EC8}" name="ID"/>
    <tableColumn id="2" xr3:uid="{542D7278-AC02-174B-A3DE-A89883FFADBF}" name="Homeowner"/>
    <tableColumn id="3" xr3:uid="{6A21A5F6-8EFC-8545-9D23-3FF91C609906}" name="Spending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C04752-526D-844C-A995-2BF86A1A5169}" name="Table3" displayName="Table3" ref="F6:H10" totalsRowShown="0">
  <autoFilter ref="F6:H10" xr:uid="{50C04752-526D-844C-A995-2BF86A1A5169}"/>
  <tableColumns count="3">
    <tableColumn id="1" xr3:uid="{C989F9A5-B027-4443-96BC-5C097338D7B0}" name="ID"/>
    <tableColumn id="2" xr3:uid="{336F53FB-003C-D141-B7EF-93D283396F39}" name="Homeowner"/>
    <tableColumn id="3" xr3:uid="{236B7634-F706-8243-A77A-B4F1228D6E92}" name="Purchase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7F6D622-C7B1-B449-AEF1-C0D3C0B967DF}" name="Table6" displayName="Table6" ref="K7:M12" totalsRowShown="0">
  <autoFilter ref="K7:M12" xr:uid="{87F6D622-C7B1-B449-AEF1-C0D3C0B967DF}"/>
  <tableColumns count="3">
    <tableColumn id="1" xr3:uid="{39F02B69-FF39-C74A-88C6-F35B3FA56A4D}" name="ID"/>
    <tableColumn id="2" xr3:uid="{AC4B7CE2-FF88-CB40-AEB4-8C2047843B63}" name="Marital"/>
    <tableColumn id="3" xr3:uid="{C2F831EA-4B1E-154B-9091-272EFB35CA9E}" name="Spending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8B1027E-3391-BA45-A460-9B30E0518580}" name="Table7" displayName="Table7" ref="O7:Q11" totalsRowShown="0">
  <autoFilter ref="O7:Q11" xr:uid="{78B1027E-3391-BA45-A460-9B30E0518580}"/>
  <tableColumns count="3">
    <tableColumn id="1" xr3:uid="{AD1796B7-F77A-4840-9EE9-E6F0BA06A92D}" name="ID"/>
    <tableColumn id="2" xr3:uid="{B52F2A5A-97AC-9745-B977-3196B3C35747}" name="Marital"/>
    <tableColumn id="3" xr3:uid="{C3DD51F5-6957-244C-BDBF-332C2319CB2C}" name="Spending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BEB5398-C8AB-BC45-802D-E2F28E9C516C}" name="Table8" displayName="Table8" ref="S7:U8" totalsRowShown="0">
  <autoFilter ref="S7:U8" xr:uid="{CBEB5398-C8AB-BC45-802D-E2F28E9C516C}"/>
  <tableColumns count="3">
    <tableColumn id="1" xr3:uid="{F231D578-6B1A-954A-9DA2-AA2973DFEB91}" name="ID"/>
    <tableColumn id="2" xr3:uid="{FF7A0372-6170-104B-8AE5-BC75033A90DD}" name="Marital"/>
    <tableColumn id="3" xr3:uid="{FC140889-9D7E-2845-81B5-57058BAF8163}" name="Spending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E4168DD-A033-9848-9FBA-FB234349A4A7}" name="Table9" displayName="Table9" ref="A28:C38" totalsRowShown="0">
  <autoFilter ref="A28:C38" xr:uid="{8E4168DD-A033-9848-9FBA-FB234349A4A7}"/>
  <tableColumns count="3">
    <tableColumn id="1" xr3:uid="{29D5F4E2-3E76-E343-8390-F9738AA23B86}" name="ID"/>
    <tableColumn id="2" xr3:uid="{AEA668E5-3B2A-344D-966B-F17BAD0A1BFE}" name="Income"/>
    <tableColumn id="3" xr3:uid="{7798E05D-CEE7-1A42-B27C-598A1211A9A2}" name="Spending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2FC178C-7C27-B446-A743-545168FF019A}" name="Table11" displayName="Table11" ref="E28:F37" totalsRowShown="0">
  <autoFilter ref="E28:F37" xr:uid="{B2FC178C-7C27-B446-A743-545168FF019A}"/>
  <tableColumns count="2">
    <tableColumn id="1" xr3:uid="{D921F6A1-18DC-E549-B2CD-07BFC93A6844}" name="Group"/>
    <tableColumn id="2" xr3:uid="{A41965EB-471F-8A49-BA06-1D827F028894}" name="Midpoint">
      <calculatedColumnFormula>(B29+B30)/2</calculatedColumnFormula>
    </tableColumn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717A5EA-B06D-0D4F-92B9-19885DA8F9BB}" name="Table14" displayName="Table14" ref="H28:I29" totalsRowShown="0">
  <autoFilter ref="H28:I29" xr:uid="{0717A5EA-B06D-0D4F-92B9-19885DA8F9BB}"/>
  <tableColumns count="2">
    <tableColumn id="1" xr3:uid="{63ED9A36-BD3B-3443-A83A-1152D4C6D33F}" name="Income"/>
    <tableColumn id="2" xr3:uid="{06F41695-40FE-B643-993F-BED6E92B3BE9}" name="Spending"/>
  </tableColumns>
  <tableStyleInfo name="TableStyleLight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8B187B6-22DA-D640-A6C9-7C2FA3414AA3}" name="Table15" displayName="Table15" ref="K28:L37" totalsRowShown="0">
  <autoFilter ref="K28:L37" xr:uid="{38B187B6-22DA-D640-A6C9-7C2FA3414AA3}"/>
  <tableColumns count="2">
    <tableColumn id="1" xr3:uid="{C3814CB1-FE86-5D42-A8D8-0D9E2B168D6E}" name="income"/>
    <tableColumn id="2" xr3:uid="{C59C6871-3BF6-544C-B764-77970190563C}" name="Spending"/>
  </tableColumns>
  <tableStyleInfo name="TableStyleLight1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E13D6D9-D325-B449-A821-C2A4EA8C60CC}" name="Table17" displayName="Table17" ref="N28:O30" totalsRowShown="0" dataDxfId="4">
  <autoFilter ref="N28:O30" xr:uid="{6E13D6D9-D325-B449-A821-C2A4EA8C60CC}"/>
  <tableColumns count="2">
    <tableColumn id="1" xr3:uid="{EAD3CB65-587C-B840-AA05-CB7F1B0265BA}" name="Income" dataDxfId="3"/>
    <tableColumn id="2" xr3:uid="{9690F2F9-6300-D64E-B01C-2BEB891F96D6}" name="Spending" dataDxf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2EC48A1-8C57-F243-A517-D43B437C8253}" name="Table18" displayName="Table18" ref="Q28:R36" totalsRowShown="0">
  <autoFilter ref="Q28:R36" xr:uid="{E2EC48A1-8C57-F243-A517-D43B437C8253}"/>
  <tableColumns count="2">
    <tableColumn id="1" xr3:uid="{4551FA0B-E9BB-8643-8197-1397F68189B6}" name="Income"/>
    <tableColumn id="2" xr3:uid="{C719D47F-99AF-E747-BA6E-37C7290A6F6D}" name="Spending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DD76FBB-C853-EC40-B736-666D2609B748}" name="Table19" displayName="Table19" ref="T28:U31" totalsRowShown="0">
  <autoFilter ref="T28:U31" xr:uid="{7DD76FBB-C853-EC40-B736-666D2609B748}"/>
  <tableColumns count="2">
    <tableColumn id="1" xr3:uid="{7CFAED9F-E8C5-7046-ACA0-3C0781D01A8E}" name="Income"/>
    <tableColumn id="2" xr3:uid="{4AE0C36B-2C37-434B-86C8-263C4D4256BA}" name="Spending"/>
  </tableColumns>
  <tableStyleInfo name="TableStyleLight1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75598CF-C108-2D4E-8791-95E7BBE45E38}" name="Table20" displayName="Table20" ref="W28:X35" totalsRowShown="0">
  <autoFilter ref="W28:X35" xr:uid="{775598CF-C108-2D4E-8791-95E7BBE45E38}"/>
  <tableColumns count="2">
    <tableColumn id="1" xr3:uid="{26B673EB-0FB8-1F4B-94BF-E6292ED7ED39}" name="Income"/>
    <tableColumn id="2" xr3:uid="{997FDB07-AF59-E24A-BDBA-11D977F20148}" name="Spending"/>
  </tableColumns>
  <tableStyleInfo name="TableStyleLight14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C62EA80-766C-794E-967A-D01B99F224C7}" name="Table21" displayName="Table21" ref="Z28:AA32" totalsRowShown="0">
  <autoFilter ref="Z28:AA32" xr:uid="{7C62EA80-766C-794E-967A-D01B99F224C7}"/>
  <tableColumns count="2">
    <tableColumn id="1" xr3:uid="{62AB318B-E100-4044-8CE1-6F052420447E}" name="Income"/>
    <tableColumn id="2" xr3:uid="{6DC649FB-EB29-8042-99C4-95EEC7B6516D}" name="Spending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B2A8121B-BE48-1248-8C2D-D588D23FCC4B}" name="Table22" displayName="Table22" ref="AC28:AD34" totalsRowShown="0">
  <autoFilter ref="AC28:AD34" xr:uid="{B2A8121B-BE48-1248-8C2D-D588D23FCC4B}"/>
  <tableColumns count="2">
    <tableColumn id="1" xr3:uid="{43BE07D2-8B4D-2C4D-97AB-C45E6A68E854}" name="Income"/>
    <tableColumn id="2" xr3:uid="{FB02A270-853C-6A48-8FE5-0D875BD6D3CA}" name="Spending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1AB0F329-F222-5A4C-BA5B-FA9306DA9F40}" name="Table23" displayName="Table23" ref="AF28:AG33" totalsRowShown="0">
  <autoFilter ref="AF28:AG33" xr:uid="{1AB0F329-F222-5A4C-BA5B-FA9306DA9F40}"/>
  <tableColumns count="2">
    <tableColumn id="1" xr3:uid="{B22E1E60-6F94-5D42-8190-76926CC65D89}" name="Income"/>
    <tableColumn id="2" xr3:uid="{BE7278F8-8058-FD43-8101-6154387F4604}" name="Spending"/>
  </tableColumns>
  <tableStyleInfo name="TableStyleLight14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A5CC1322-2DE6-A544-A837-322B6EE2D602}" name="Table24" displayName="Table24" ref="AI28:AJ33" totalsRowShown="0">
  <autoFilter ref="AI28:AJ33" xr:uid="{A5CC1322-2DE6-A544-A837-322B6EE2D602}"/>
  <tableColumns count="2">
    <tableColumn id="1" xr3:uid="{52B70F55-DF53-F74F-903F-AF716C266F3B}" name="Income"/>
    <tableColumn id="2" xr3:uid="{3478190D-6D81-0E47-8CAB-A18D3441B100}" name="Spending"/>
  </tableColumns>
  <tableStyleInfo name="TableStyleLight14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D7473C57-7720-254A-83E0-7E8D86C59A9D}" name="Table25" displayName="Table25" ref="AL28:AM34" totalsRowShown="0">
  <autoFilter ref="AL28:AM34" xr:uid="{D7473C57-7720-254A-83E0-7E8D86C59A9D}"/>
  <tableColumns count="2">
    <tableColumn id="1" xr3:uid="{9A0815BF-0717-9C4A-8E98-471C92E6E31E}" name="Income"/>
    <tableColumn id="2" xr3:uid="{3E0FA402-643E-544F-9663-01BBAD110D09}" name="Spending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1B2F2A4-D1A8-4742-B669-2792F83B2024}" name="Table26" displayName="Table26" ref="AO28:AP32" totalsRowShown="0">
  <autoFilter ref="AO28:AP32" xr:uid="{01B2F2A4-D1A8-4742-B669-2792F83B2024}"/>
  <tableColumns count="2">
    <tableColumn id="1" xr3:uid="{39A68E6F-425B-4E46-9F78-32F502EDF109}" name="Income"/>
    <tableColumn id="2" xr3:uid="{A96467C1-34E5-3448-9FA1-C920E80CE4D1}" name="Spending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614F344-43EE-AC43-ABB4-33E7399E2E19}" name="Table27" displayName="Table27" ref="AR28:AS35" totalsRowShown="0">
  <autoFilter ref="AR28:AS35" xr:uid="{0614F344-43EE-AC43-ABB4-33E7399E2E19}"/>
  <tableColumns count="2">
    <tableColumn id="1" xr3:uid="{73C27F60-CEBE-A842-AEB8-7CDC4F00E33E}" name="Income"/>
    <tableColumn id="2" xr3:uid="{5435138F-4107-0F4E-8CDD-DBCB8DE930B1}" name="Spending"/>
  </tableColumns>
  <tableStyleInfo name="TableStyleLight14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A4354F89-95E7-2C4E-B7F0-94E117FEBCA7}" name="Table28" displayName="Table28" ref="AU28:AV31" totalsRowShown="0">
  <autoFilter ref="AU28:AV31" xr:uid="{A4354F89-95E7-2C4E-B7F0-94E117FEBCA7}"/>
  <tableColumns count="2">
    <tableColumn id="1" xr3:uid="{9D11C714-34E2-1942-99F0-BD4638C4C29C}" name="Income"/>
    <tableColumn id="2" xr3:uid="{6E83AACE-0D4F-974B-8F9B-8E09A20F9070}" name="Spending"/>
  </tableColumns>
  <tableStyleInfo name="TableStyleLight14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61C00324-C76C-B643-A3AA-E4F1CA7CCE6D}" name="Table29" displayName="Table29" ref="AX28:AY36" totalsRowShown="0">
  <autoFilter ref="AX28:AY36" xr:uid="{61C00324-C76C-B643-A3AA-E4F1CA7CCE6D}"/>
  <tableColumns count="2">
    <tableColumn id="1" xr3:uid="{9A764537-8099-FD45-AD0E-41E78ABDB4CC}" name="Income"/>
    <tableColumn id="2" xr3:uid="{F2B76233-4B52-BE40-9CED-EA561C337E23}" name="Spending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39A8B935-7786-344A-A1C1-0A903FB73958}" name="Table30" displayName="Table30" ref="BA28:BB30" totalsRowShown="0">
  <autoFilter ref="BA28:BB30" xr:uid="{39A8B935-7786-344A-A1C1-0A903FB73958}"/>
  <tableColumns count="2">
    <tableColumn id="1" xr3:uid="{F3BF53CE-BCDE-D842-9EA6-DE955294A90D}" name="Income"/>
    <tableColumn id="2" xr3:uid="{7D074A88-A76A-4042-8ADC-A64C680EF2FD}" name="Spending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9749C2FD-BBE4-E34A-85F3-1A6273230654}" name="Table31" displayName="Table31" ref="BD28:BE37" totalsRowShown="0">
  <autoFilter ref="BD28:BE37" xr:uid="{9749C2FD-BBE4-E34A-85F3-1A6273230654}"/>
  <tableColumns count="2">
    <tableColumn id="1" xr3:uid="{26DE9A4E-CE6F-974B-AF05-3F3EBC93266D}" name="Income"/>
    <tableColumn id="2" xr3:uid="{D6F9DB23-74DA-694E-AFAC-52DD905F035F}" name="Spending"/>
  </tableColumns>
  <tableStyleInfo name="TableStyleLight14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92BA8B7A-546A-5B40-9E62-39668634D92F}" name="Table32" displayName="Table32" ref="BG28:BH29" totalsRowShown="0">
  <autoFilter ref="BG28:BH29" xr:uid="{92BA8B7A-546A-5B40-9E62-39668634D92F}"/>
  <tableColumns count="2">
    <tableColumn id="1" xr3:uid="{61B2DADB-F546-BF4B-9B86-90B8ADC61A58}" name="Income" dataDxfId="1"/>
    <tableColumn id="2" xr3:uid="{30B60A24-88E6-3C47-A31A-B1CFB542EC40}" name="Spending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2-10T19:22:45.90" personId="{88E944AB-A0B9-214F-88E9-95A6540285EB}" id="{7E27A252-C5EB-2349-867E-3D00AB2F848F}">
    <text>Added a column for ID to index observations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27" dT="2024-12-10T19:21:58.08" personId="{88E944AB-A0B9-214F-88E9-95A6540285EB}" id="{BEC6600B-C211-B147-94C0-6912A5F7B93B}">
    <text>Sorted by income to calculate midpoints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1" Type="http://schemas.openxmlformats.org/officeDocument/2006/relationships/vmlDrawing" Target="../drawings/vmlDrawing2.vml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microsoft.com/office/2017/10/relationships/threadedComment" Target="../threadedComments/threadedComment2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2C9B-C59A-4901-ACAB-A9703344C9AB}">
  <dimension ref="A1:G14"/>
  <sheetViews>
    <sheetView zoomScale="125" workbookViewId="0">
      <selection activeCell="D18" sqref="D18"/>
    </sheetView>
  </sheetViews>
  <sheetFormatPr baseColWidth="10" defaultColWidth="8.83203125" defaultRowHeight="15" x14ac:dyDescent="0.2"/>
  <cols>
    <col min="2" max="2" width="11.5" customWidth="1"/>
  </cols>
  <sheetData>
    <row r="1" spans="1:7" x14ac:dyDescent="0.2"/>
    <row r="2" spans="1:7" x14ac:dyDescent="0.2">
      <c r="A2" t="s">
        <v>7</v>
      </c>
      <c r="B2" t="s">
        <v>0</v>
      </c>
      <c r="C2" t="s">
        <v>28</v>
      </c>
      <c r="D2" t="s">
        <v>29</v>
      </c>
      <c r="E2" t="s">
        <v>30</v>
      </c>
    </row>
    <row r="3" spans="1:7" x14ac:dyDescent="0.2">
      <c r="A3">
        <v>1</v>
      </c>
      <c r="B3" t="s">
        <v>1</v>
      </c>
      <c r="C3" t="s">
        <v>6</v>
      </c>
      <c r="D3">
        <v>152589</v>
      </c>
      <c r="E3">
        <v>1.96473393083641</v>
      </c>
    </row>
    <row r="4" spans="1:7" x14ac:dyDescent="0.2">
      <c r="A4">
        <v>2</v>
      </c>
      <c r="B4" t="s">
        <v>1</v>
      </c>
      <c r="C4" t="s">
        <v>4</v>
      </c>
      <c r="D4">
        <v>130450</v>
      </c>
      <c r="E4">
        <v>2.5027819320843698</v>
      </c>
      <c r="G4" s="2"/>
    </row>
    <row r="5" spans="1:7" x14ac:dyDescent="0.2">
      <c r="A5">
        <v>3</v>
      </c>
      <c r="B5" t="s">
        <v>1</v>
      </c>
      <c r="C5" t="s">
        <v>6</v>
      </c>
      <c r="D5">
        <v>165919</v>
      </c>
      <c r="E5">
        <v>1.9673483601558801</v>
      </c>
      <c r="G5" s="2"/>
    </row>
    <row r="6" spans="1:7" x14ac:dyDescent="0.2">
      <c r="A6">
        <v>4</v>
      </c>
      <c r="B6" t="s">
        <v>2</v>
      </c>
      <c r="C6" t="s">
        <v>4</v>
      </c>
      <c r="D6">
        <v>80578</v>
      </c>
      <c r="E6">
        <v>1.87386788300611</v>
      </c>
      <c r="G6" s="2"/>
    </row>
    <row r="7" spans="1:7" x14ac:dyDescent="0.2">
      <c r="A7">
        <v>5</v>
      </c>
      <c r="B7" t="s">
        <v>1</v>
      </c>
      <c r="C7" t="s">
        <v>6</v>
      </c>
      <c r="D7">
        <v>335625</v>
      </c>
      <c r="E7">
        <v>1.9894783430640499</v>
      </c>
      <c r="G7" s="2"/>
    </row>
    <row r="8" spans="1:7" x14ac:dyDescent="0.2">
      <c r="A8">
        <v>6</v>
      </c>
      <c r="B8" t="s">
        <v>2</v>
      </c>
      <c r="C8" t="s">
        <v>6</v>
      </c>
      <c r="D8">
        <v>205861</v>
      </c>
      <c r="E8">
        <v>1.4893840667134</v>
      </c>
      <c r="G8" s="2"/>
    </row>
    <row r="9" spans="1:7" x14ac:dyDescent="0.2">
      <c r="A9">
        <v>7</v>
      </c>
      <c r="B9" t="s">
        <v>1</v>
      </c>
      <c r="C9" t="s">
        <v>5</v>
      </c>
      <c r="D9">
        <v>123967</v>
      </c>
      <c r="E9">
        <v>1.2902409634207299</v>
      </c>
      <c r="G9" s="2"/>
    </row>
    <row r="10" spans="1:7" x14ac:dyDescent="0.2">
      <c r="A10">
        <v>8</v>
      </c>
      <c r="B10" t="s">
        <v>2</v>
      </c>
      <c r="C10" t="s">
        <v>4</v>
      </c>
      <c r="D10">
        <v>145600</v>
      </c>
      <c r="E10">
        <v>1.89155377283976</v>
      </c>
      <c r="G10" s="2"/>
    </row>
    <row r="11" spans="1:7" x14ac:dyDescent="0.2">
      <c r="A11">
        <v>9</v>
      </c>
      <c r="B11" t="s">
        <v>2</v>
      </c>
      <c r="C11" t="s">
        <v>4</v>
      </c>
      <c r="D11">
        <v>83324</v>
      </c>
      <c r="E11">
        <v>1.87486519775264</v>
      </c>
      <c r="G11" s="2"/>
    </row>
    <row r="12" spans="1:7" x14ac:dyDescent="0.2">
      <c r="A12">
        <v>10</v>
      </c>
      <c r="B12" t="s">
        <v>1</v>
      </c>
      <c r="C12" t="s">
        <v>6</v>
      </c>
      <c r="D12">
        <v>229699</v>
      </c>
      <c r="E12">
        <v>1.9775351676359001</v>
      </c>
      <c r="G12" s="2"/>
    </row>
    <row r="13" spans="1:7" x14ac:dyDescent="0.2">
      <c r="A13">
        <v>11</v>
      </c>
      <c r="B13" t="s">
        <v>1</v>
      </c>
      <c r="C13" t="s">
        <v>4</v>
      </c>
      <c r="D13">
        <v>302762</v>
      </c>
      <c r="E13" t="s">
        <v>31</v>
      </c>
    </row>
    <row r="14" spans="1:7" x14ac:dyDescent="0.2">
      <c r="A14">
        <v>12</v>
      </c>
      <c r="B14" t="s">
        <v>2</v>
      </c>
      <c r="C14" t="s">
        <v>6</v>
      </c>
      <c r="D14">
        <v>196909</v>
      </c>
      <c r="E14" t="s">
        <v>31</v>
      </c>
    </row>
  </sheetData>
  <sortState xmlns:xlrd2="http://schemas.microsoft.com/office/spreadsheetml/2017/richdata2" ref="B3:E12">
    <sortCondition ref="B3:B12"/>
  </sortState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3BC7-B4D4-3742-8C24-0375468836DD}">
  <dimension ref="A4:BH46"/>
  <sheetViews>
    <sheetView tabSelected="1" topLeftCell="A6" zoomScale="107" zoomScaleNormal="100" workbookViewId="0">
      <selection activeCell="F47" sqref="F47"/>
    </sheetView>
  </sheetViews>
  <sheetFormatPr baseColWidth="10" defaultRowHeight="15" x14ac:dyDescent="0.2"/>
  <cols>
    <col min="3" max="3" width="12.83203125" customWidth="1"/>
    <col min="4" max="4" width="11.33203125" customWidth="1"/>
    <col min="7" max="7" width="12.83203125" customWidth="1"/>
    <col min="8" max="9" width="11.33203125" customWidth="1"/>
    <col min="12" max="13" width="11.33203125" customWidth="1"/>
    <col min="15" max="15" width="11.83203125" bestFit="1" customWidth="1"/>
    <col min="17" max="17" width="11.33203125" customWidth="1"/>
    <col min="21" max="21" width="11.33203125" customWidth="1"/>
    <col min="54" max="54" width="11.83203125" bestFit="1" customWidth="1"/>
  </cols>
  <sheetData>
    <row r="4" spans="2:21" x14ac:dyDescent="0.2">
      <c r="E4" s="1" t="s">
        <v>0</v>
      </c>
    </row>
    <row r="5" spans="2:21" x14ac:dyDescent="0.2">
      <c r="B5" t="s">
        <v>10</v>
      </c>
      <c r="F5" t="s">
        <v>11</v>
      </c>
      <c r="P5" s="1" t="s">
        <v>14</v>
      </c>
    </row>
    <row r="6" spans="2:21" x14ac:dyDescent="0.2">
      <c r="B6" t="s">
        <v>7</v>
      </c>
      <c r="C6" t="s">
        <v>0</v>
      </c>
      <c r="D6" t="s">
        <v>30</v>
      </c>
      <c r="F6" t="s">
        <v>7</v>
      </c>
      <c r="G6" t="s">
        <v>0</v>
      </c>
      <c r="H6" t="s">
        <v>3</v>
      </c>
      <c r="K6" t="s">
        <v>10</v>
      </c>
      <c r="O6" t="s">
        <v>11</v>
      </c>
      <c r="S6" t="s">
        <v>16</v>
      </c>
    </row>
    <row r="7" spans="2:21" ht="16" x14ac:dyDescent="0.2">
      <c r="B7">
        <v>1</v>
      </c>
      <c r="C7" t="s">
        <v>8</v>
      </c>
      <c r="D7">
        <v>1.96473393083641</v>
      </c>
      <c r="F7">
        <v>4</v>
      </c>
      <c r="G7" t="s">
        <v>9</v>
      </c>
      <c r="H7" s="3">
        <v>1.8738678799999999</v>
      </c>
      <c r="K7" t="s">
        <v>7</v>
      </c>
      <c r="L7" t="s">
        <v>15</v>
      </c>
      <c r="M7" t="s">
        <v>30</v>
      </c>
      <c r="O7" t="s">
        <v>7</v>
      </c>
      <c r="P7" t="s">
        <v>15</v>
      </c>
      <c r="Q7" t="s">
        <v>30</v>
      </c>
      <c r="S7" t="s">
        <v>7</v>
      </c>
      <c r="T7" t="s">
        <v>15</v>
      </c>
      <c r="U7" t="s">
        <v>30</v>
      </c>
    </row>
    <row r="8" spans="2:21" ht="16" x14ac:dyDescent="0.2">
      <c r="B8">
        <v>2</v>
      </c>
      <c r="C8" t="s">
        <v>8</v>
      </c>
      <c r="D8" s="3">
        <v>2.5027819299999998</v>
      </c>
      <c r="F8">
        <v>6</v>
      </c>
      <c r="G8" t="s">
        <v>9</v>
      </c>
      <c r="H8">
        <v>1.4893840667134</v>
      </c>
      <c r="K8">
        <v>1</v>
      </c>
      <c r="L8" t="s">
        <v>17</v>
      </c>
      <c r="M8">
        <v>1.96473393083641</v>
      </c>
      <c r="O8">
        <v>2</v>
      </c>
      <c r="P8" t="s">
        <v>18</v>
      </c>
      <c r="Q8">
        <v>2.5027819320843698</v>
      </c>
      <c r="S8">
        <v>7</v>
      </c>
      <c r="T8" t="s">
        <v>19</v>
      </c>
      <c r="U8">
        <v>1.2902409634207299</v>
      </c>
    </row>
    <row r="9" spans="2:21" ht="16" x14ac:dyDescent="0.2">
      <c r="B9">
        <v>3</v>
      </c>
      <c r="C9" t="s">
        <v>8</v>
      </c>
      <c r="D9" s="3">
        <v>1.9673483599999999</v>
      </c>
      <c r="F9">
        <v>8</v>
      </c>
      <c r="G9" t="s">
        <v>9</v>
      </c>
      <c r="H9">
        <v>1.89155377283976</v>
      </c>
      <c r="K9">
        <v>3</v>
      </c>
      <c r="L9" t="s">
        <v>17</v>
      </c>
      <c r="M9">
        <v>1.9673483601558801</v>
      </c>
      <c r="O9">
        <v>4</v>
      </c>
      <c r="P9" t="s">
        <v>18</v>
      </c>
      <c r="Q9">
        <v>1.87386788300611</v>
      </c>
    </row>
    <row r="10" spans="2:21" ht="16" x14ac:dyDescent="0.2">
      <c r="B10">
        <v>5</v>
      </c>
      <c r="C10" t="s">
        <v>8</v>
      </c>
      <c r="D10" s="3">
        <v>1.98947834</v>
      </c>
      <c r="F10">
        <v>9</v>
      </c>
      <c r="G10" t="s">
        <v>9</v>
      </c>
      <c r="H10" s="3">
        <v>1.9775351699999999</v>
      </c>
      <c r="K10">
        <v>5</v>
      </c>
      <c r="L10" t="s">
        <v>17</v>
      </c>
      <c r="M10">
        <v>1.9894783430640499</v>
      </c>
      <c r="O10">
        <v>8</v>
      </c>
      <c r="P10" t="s">
        <v>18</v>
      </c>
      <c r="Q10">
        <v>1.89155377283976</v>
      </c>
    </row>
    <row r="11" spans="2:21" x14ac:dyDescent="0.2">
      <c r="B11">
        <v>7</v>
      </c>
      <c r="C11" t="s">
        <v>8</v>
      </c>
      <c r="D11">
        <v>1.2902409634207299</v>
      </c>
      <c r="K11">
        <v>6</v>
      </c>
      <c r="L11" t="s">
        <v>17</v>
      </c>
      <c r="M11">
        <v>1.4893840667134</v>
      </c>
      <c r="O11">
        <v>9</v>
      </c>
      <c r="P11" t="s">
        <v>18</v>
      </c>
      <c r="Q11">
        <v>1.87486519775264</v>
      </c>
    </row>
    <row r="12" spans="2:21" ht="16" x14ac:dyDescent="0.2">
      <c r="B12">
        <v>10</v>
      </c>
      <c r="C12" t="s">
        <v>8</v>
      </c>
      <c r="D12">
        <v>1.9775351676359001</v>
      </c>
      <c r="K12">
        <v>10</v>
      </c>
      <c r="L12" t="s">
        <v>17</v>
      </c>
      <c r="M12" s="3">
        <v>1.9775351699999999</v>
      </c>
    </row>
    <row r="14" spans="2:21" x14ac:dyDescent="0.2">
      <c r="B14" t="s">
        <v>32</v>
      </c>
      <c r="C14">
        <f>AVERAGE(Table2[Spending])</f>
        <v>1.94868644864884</v>
      </c>
      <c r="F14" t="s">
        <v>32</v>
      </c>
      <c r="G14">
        <f>AVERAGE(Table3[Purchased])</f>
        <v>1.8080852223882902</v>
      </c>
      <c r="K14" t="s">
        <v>32</v>
      </c>
      <c r="L14">
        <f>AVERAGE(Table6[Spending])</f>
        <v>1.8776959741539478</v>
      </c>
      <c r="O14" t="s">
        <v>32</v>
      </c>
      <c r="P14">
        <f>AVERAGE(Table7[Spending])</f>
        <v>2.03576719642072</v>
      </c>
      <c r="S14" t="s">
        <v>32</v>
      </c>
      <c r="T14">
        <f>AVERAGE(Table8[Spending])</f>
        <v>1.2902409634207299</v>
      </c>
    </row>
    <row r="16" spans="2:21" x14ac:dyDescent="0.2">
      <c r="B16" t="s">
        <v>33</v>
      </c>
      <c r="C16">
        <f>((D7-C14)^2 + (D8-C14)^2 + (D9-C14)^2 + (D10-C14)^2 + (D11-C14)^2 + (D12-C14)^2)/2</f>
        <v>0.37183713753904646</v>
      </c>
      <c r="F16" t="s">
        <v>34</v>
      </c>
      <c r="G16">
        <f>((H7-G14)^2 + (H8-G14)^2 +(H9-G14) + (H10-G14)^2) / 4</f>
        <v>5.4519904967012763E-2</v>
      </c>
      <c r="K16" t="s">
        <v>33</v>
      </c>
      <c r="L16">
        <f>((M8-L14)^2 + (M9-L14)^2 + (M10-L14)^2 +(M11-L14)^2 + (M12-L14)^2) / 5</f>
        <v>3.7772491341150946E-2</v>
      </c>
      <c r="O16" t="s">
        <v>34</v>
      </c>
      <c r="P16">
        <f>((Q8-P14)^2 + (Q9-P14)^2 + (Q10-P14)^2 + (Q11-P14)^2) / 4</f>
        <v>7.2750278931858772E-2</v>
      </c>
      <c r="S16" t="s">
        <v>20</v>
      </c>
      <c r="T16" cm="1">
        <f t="array" ref="T16">((Table8[Spending]-T14)^2) / 1</f>
        <v>0</v>
      </c>
    </row>
    <row r="18" spans="1:60" x14ac:dyDescent="0.2">
      <c r="O18" t="s">
        <v>27</v>
      </c>
      <c r="P18">
        <f>5/10*L16+4/10*P16+1/10*0</f>
        <v>4.7986357243318983E-2</v>
      </c>
    </row>
    <row r="19" spans="1:60" x14ac:dyDescent="0.2">
      <c r="D19" t="s">
        <v>27</v>
      </c>
      <c r="E19">
        <f>6/10*C16+4/10*G16</f>
        <v>0.24491024451023297</v>
      </c>
    </row>
    <row r="26" spans="1:60" x14ac:dyDescent="0.2">
      <c r="B26" s="1" t="s">
        <v>21</v>
      </c>
      <c r="E26" s="1" t="s">
        <v>23</v>
      </c>
      <c r="J26" s="1" t="s">
        <v>35</v>
      </c>
      <c r="P26" s="1" t="s">
        <v>36</v>
      </c>
      <c r="V26" s="1" t="s">
        <v>37</v>
      </c>
      <c r="AB26" s="1" t="s">
        <v>38</v>
      </c>
      <c r="AH26" s="1" t="s">
        <v>39</v>
      </c>
      <c r="AN26" s="1" t="s">
        <v>40</v>
      </c>
      <c r="AT26" s="1" t="s">
        <v>41</v>
      </c>
      <c r="AZ26" s="1" t="s">
        <v>42</v>
      </c>
      <c r="BF26" s="1" t="s">
        <v>43</v>
      </c>
    </row>
    <row r="27" spans="1:60" x14ac:dyDescent="0.2">
      <c r="H27" t="s">
        <v>10</v>
      </c>
      <c r="K27" t="s">
        <v>11</v>
      </c>
      <c r="N27" t="s">
        <v>10</v>
      </c>
      <c r="Q27" t="s">
        <v>11</v>
      </c>
      <c r="T27" t="s">
        <v>10</v>
      </c>
      <c r="W27" t="s">
        <v>11</v>
      </c>
      <c r="Z27" t="s">
        <v>10</v>
      </c>
      <c r="AC27" t="s">
        <v>11</v>
      </c>
      <c r="AF27" t="s">
        <v>10</v>
      </c>
      <c r="AI27" t="s">
        <v>11</v>
      </c>
      <c r="AL27" t="s">
        <v>10</v>
      </c>
      <c r="AO27" t="s">
        <v>11</v>
      </c>
      <c r="AR27" t="s">
        <v>10</v>
      </c>
      <c r="AU27" t="s">
        <v>11</v>
      </c>
      <c r="AX27" t="s">
        <v>10</v>
      </c>
      <c r="BA27" t="s">
        <v>11</v>
      </c>
      <c r="BD27" t="s">
        <v>10</v>
      </c>
      <c r="BG27" t="s">
        <v>11</v>
      </c>
    </row>
    <row r="28" spans="1:60" x14ac:dyDescent="0.2">
      <c r="A28" t="s">
        <v>7</v>
      </c>
      <c r="B28" t="s">
        <v>22</v>
      </c>
      <c r="C28" t="s">
        <v>30</v>
      </c>
      <c r="E28" t="s">
        <v>25</v>
      </c>
      <c r="F28" t="s">
        <v>26</v>
      </c>
      <c r="H28" t="s">
        <v>22</v>
      </c>
      <c r="I28" t="s">
        <v>30</v>
      </c>
      <c r="K28" t="s">
        <v>24</v>
      </c>
      <c r="L28" t="s">
        <v>30</v>
      </c>
      <c r="N28" t="s">
        <v>22</v>
      </c>
      <c r="O28" t="s">
        <v>30</v>
      </c>
      <c r="Q28" t="s">
        <v>22</v>
      </c>
      <c r="R28" t="s">
        <v>30</v>
      </c>
      <c r="T28" t="s">
        <v>22</v>
      </c>
      <c r="U28" t="s">
        <v>30</v>
      </c>
      <c r="W28" t="s">
        <v>22</v>
      </c>
      <c r="X28" t="s">
        <v>30</v>
      </c>
      <c r="Z28" t="s">
        <v>22</v>
      </c>
      <c r="AA28" t="s">
        <v>30</v>
      </c>
      <c r="AC28" t="s">
        <v>22</v>
      </c>
      <c r="AD28" t="s">
        <v>30</v>
      </c>
      <c r="AF28" t="s">
        <v>22</v>
      </c>
      <c r="AG28" t="s">
        <v>30</v>
      </c>
      <c r="AI28" t="s">
        <v>22</v>
      </c>
      <c r="AJ28" t="s">
        <v>30</v>
      </c>
      <c r="AL28" t="s">
        <v>22</v>
      </c>
      <c r="AM28" t="s">
        <v>30</v>
      </c>
      <c r="AO28" t="s">
        <v>22</v>
      </c>
      <c r="AP28" t="s">
        <v>30</v>
      </c>
      <c r="AR28" t="s">
        <v>22</v>
      </c>
      <c r="AS28" t="s">
        <v>30</v>
      </c>
      <c r="AU28" t="s">
        <v>22</v>
      </c>
      <c r="AV28" t="s">
        <v>30</v>
      </c>
      <c r="AX28" t="s">
        <v>22</v>
      </c>
      <c r="AY28" t="s">
        <v>30</v>
      </c>
      <c r="BA28" t="s">
        <v>22</v>
      </c>
      <c r="BB28" t="s">
        <v>30</v>
      </c>
      <c r="BD28" t="s">
        <v>22</v>
      </c>
      <c r="BE28" t="s">
        <v>30</v>
      </c>
      <c r="BG28" t="s">
        <v>22</v>
      </c>
      <c r="BH28" t="s">
        <v>30</v>
      </c>
    </row>
    <row r="29" spans="1:60" x14ac:dyDescent="0.2">
      <c r="A29">
        <v>4</v>
      </c>
      <c r="B29">
        <v>80578</v>
      </c>
      <c r="C29">
        <v>1.87386788300611</v>
      </c>
      <c r="E29">
        <v>1</v>
      </c>
      <c r="F29">
        <f>(B29+B30)/2</f>
        <v>81951</v>
      </c>
      <c r="H29">
        <v>80578</v>
      </c>
      <c r="I29" s="4">
        <v>1.873867883</v>
      </c>
      <c r="K29">
        <v>83324</v>
      </c>
      <c r="L29">
        <v>1.87486519775264</v>
      </c>
      <c r="N29" s="2">
        <v>80578</v>
      </c>
      <c r="O29" s="2">
        <v>1.873867883</v>
      </c>
      <c r="Q29">
        <v>123967</v>
      </c>
      <c r="R29">
        <v>1.2902409634207299</v>
      </c>
      <c r="T29" s="2">
        <v>80578</v>
      </c>
      <c r="U29" s="2">
        <v>1.873867883</v>
      </c>
      <c r="W29">
        <v>130450</v>
      </c>
      <c r="X29">
        <v>2.5027819320843698</v>
      </c>
      <c r="Z29" s="2">
        <v>80578</v>
      </c>
      <c r="AA29" s="2">
        <v>1.873867883</v>
      </c>
      <c r="AC29">
        <v>145600</v>
      </c>
      <c r="AD29">
        <v>1.89155377283976</v>
      </c>
      <c r="AF29" s="2">
        <v>80578</v>
      </c>
      <c r="AG29" s="2">
        <v>1.873867883</v>
      </c>
      <c r="AI29" s="5">
        <v>152589</v>
      </c>
      <c r="AJ29" s="6">
        <v>1.96473393</v>
      </c>
      <c r="AL29" s="2">
        <v>80578</v>
      </c>
      <c r="AM29" s="2">
        <v>1.873867883</v>
      </c>
      <c r="AO29" s="7">
        <v>165919</v>
      </c>
      <c r="AP29" s="8">
        <v>1.9673483599999999</v>
      </c>
      <c r="AR29" s="2">
        <v>80578</v>
      </c>
      <c r="AS29" s="2">
        <v>1.873867883</v>
      </c>
      <c r="AU29" s="5">
        <v>205861</v>
      </c>
      <c r="AV29" s="6">
        <v>1.4893840700000001</v>
      </c>
      <c r="AX29" s="2">
        <v>80578</v>
      </c>
      <c r="AY29" s="2">
        <v>1.873867883</v>
      </c>
      <c r="BA29" s="7">
        <v>229699</v>
      </c>
      <c r="BB29" s="8">
        <v>1.9775351699999999</v>
      </c>
      <c r="BD29" s="2">
        <v>80578</v>
      </c>
      <c r="BE29" s="2">
        <v>1.873867883</v>
      </c>
      <c r="BG29" s="5">
        <v>335625</v>
      </c>
      <c r="BH29" s="6">
        <v>1.98947834</v>
      </c>
    </row>
    <row r="30" spans="1:60" x14ac:dyDescent="0.2">
      <c r="A30">
        <v>9</v>
      </c>
      <c r="B30">
        <v>83324</v>
      </c>
      <c r="C30">
        <v>1.87486519775264</v>
      </c>
      <c r="E30">
        <v>2</v>
      </c>
      <c r="F30">
        <f>(B30+B31)/2</f>
        <v>103645.5</v>
      </c>
      <c r="K30">
        <v>123967</v>
      </c>
      <c r="L30">
        <v>1.2902409634207299</v>
      </c>
      <c r="N30" s="2">
        <v>83324</v>
      </c>
      <c r="O30" s="2">
        <v>1.874865198</v>
      </c>
      <c r="Q30">
        <v>130450</v>
      </c>
      <c r="R30">
        <v>2.5027819320843698</v>
      </c>
      <c r="T30" s="2">
        <v>83324</v>
      </c>
      <c r="U30" s="2">
        <v>1.874865198</v>
      </c>
      <c r="W30">
        <v>145600</v>
      </c>
      <c r="X30">
        <v>1.89155377283976</v>
      </c>
      <c r="Z30" s="2">
        <v>83324</v>
      </c>
      <c r="AA30" s="2">
        <v>1.874865198</v>
      </c>
      <c r="AC30">
        <v>152589</v>
      </c>
      <c r="AD30">
        <v>1.96473393083641</v>
      </c>
      <c r="AF30" s="2">
        <v>83324</v>
      </c>
      <c r="AG30" s="2">
        <v>1.874865198</v>
      </c>
      <c r="AI30" s="7">
        <v>165919</v>
      </c>
      <c r="AJ30" s="8">
        <v>1.9673483599999999</v>
      </c>
      <c r="AL30" s="2">
        <v>83324</v>
      </c>
      <c r="AM30" s="2">
        <v>1.874865198</v>
      </c>
      <c r="AO30" s="5">
        <v>205861</v>
      </c>
      <c r="AP30" s="6">
        <v>1.4893840700000001</v>
      </c>
      <c r="AR30" s="2">
        <v>83324</v>
      </c>
      <c r="AS30" s="2">
        <v>1.874865198</v>
      </c>
      <c r="AU30" s="7">
        <v>229699</v>
      </c>
      <c r="AV30" s="8">
        <v>1.9775351699999999</v>
      </c>
      <c r="AX30" s="2">
        <v>83324</v>
      </c>
      <c r="AY30" s="2">
        <v>1.874865198</v>
      </c>
      <c r="BA30" s="5">
        <v>335625</v>
      </c>
      <c r="BB30" s="6">
        <v>1.98947834</v>
      </c>
      <c r="BD30" s="2">
        <v>83324</v>
      </c>
      <c r="BE30" s="2">
        <v>1.874865198</v>
      </c>
    </row>
    <row r="31" spans="1:60" x14ac:dyDescent="0.2">
      <c r="A31">
        <v>7</v>
      </c>
      <c r="B31">
        <v>123967</v>
      </c>
      <c r="C31">
        <v>1.2902409634207299</v>
      </c>
      <c r="E31">
        <v>3</v>
      </c>
      <c r="F31">
        <f>(B31+B32)/2</f>
        <v>127208.5</v>
      </c>
      <c r="K31">
        <v>130450</v>
      </c>
      <c r="L31">
        <v>2.5027819320843698</v>
      </c>
      <c r="Q31">
        <v>145600</v>
      </c>
      <c r="R31">
        <v>1.89155377283976</v>
      </c>
      <c r="T31">
        <v>123967</v>
      </c>
      <c r="U31">
        <v>1.290240963</v>
      </c>
      <c r="W31">
        <v>152589</v>
      </c>
      <c r="X31">
        <v>1.96473393083641</v>
      </c>
      <c r="Z31">
        <v>123967</v>
      </c>
      <c r="AA31">
        <v>1.290240963</v>
      </c>
      <c r="AC31">
        <v>165919</v>
      </c>
      <c r="AD31">
        <v>1.9673483601558801</v>
      </c>
      <c r="AF31">
        <v>123967</v>
      </c>
      <c r="AG31">
        <v>1.290240963</v>
      </c>
      <c r="AI31" s="5">
        <v>205861</v>
      </c>
      <c r="AJ31" s="6">
        <v>1.4893840700000001</v>
      </c>
      <c r="AL31">
        <v>123967</v>
      </c>
      <c r="AM31">
        <v>1.290240963</v>
      </c>
      <c r="AO31" s="7">
        <v>229699</v>
      </c>
      <c r="AP31" s="8">
        <v>1.9775351699999999</v>
      </c>
      <c r="AR31">
        <v>123967</v>
      </c>
      <c r="AS31">
        <v>1.290240963</v>
      </c>
      <c r="AU31" s="5">
        <v>335625</v>
      </c>
      <c r="AV31" s="6">
        <v>1.98947834</v>
      </c>
      <c r="AX31">
        <v>123967</v>
      </c>
      <c r="AY31">
        <v>1.290240963</v>
      </c>
      <c r="BD31">
        <v>123967</v>
      </c>
      <c r="BE31">
        <v>1.290240963</v>
      </c>
    </row>
    <row r="32" spans="1:60" x14ac:dyDescent="0.2">
      <c r="A32">
        <v>2</v>
      </c>
      <c r="B32">
        <v>130450</v>
      </c>
      <c r="C32">
        <v>2.5027819320843698</v>
      </c>
      <c r="E32">
        <v>4</v>
      </c>
      <c r="F32">
        <f>(B32+B33)/2</f>
        <v>138025</v>
      </c>
      <c r="K32">
        <v>145600</v>
      </c>
      <c r="L32">
        <v>1.89155377283976</v>
      </c>
      <c r="Q32">
        <v>152589</v>
      </c>
      <c r="R32">
        <v>1.96473393083641</v>
      </c>
      <c r="W32">
        <v>165919</v>
      </c>
      <c r="X32">
        <v>1.9673483601558801</v>
      </c>
      <c r="Z32">
        <v>130450</v>
      </c>
      <c r="AA32">
        <v>2.5027819320843698</v>
      </c>
      <c r="AC32">
        <v>205861</v>
      </c>
      <c r="AD32">
        <v>1.4893840667134</v>
      </c>
      <c r="AF32">
        <v>130450</v>
      </c>
      <c r="AG32">
        <v>2.5027819320843698</v>
      </c>
      <c r="AI32" s="7">
        <v>229699</v>
      </c>
      <c r="AJ32" s="8">
        <v>1.9775351699999999</v>
      </c>
      <c r="AL32">
        <v>130450</v>
      </c>
      <c r="AM32">
        <v>2.5027819320843698</v>
      </c>
      <c r="AO32" s="5">
        <v>335625</v>
      </c>
      <c r="AP32" s="6">
        <v>1.98947834</v>
      </c>
      <c r="AR32">
        <v>130450</v>
      </c>
      <c r="AS32">
        <v>2.5027819320843698</v>
      </c>
      <c r="AX32">
        <v>130450</v>
      </c>
      <c r="AY32">
        <v>2.5027819320843698</v>
      </c>
      <c r="BD32">
        <v>130450</v>
      </c>
      <c r="BE32">
        <v>2.5027819320843698</v>
      </c>
    </row>
    <row r="33" spans="1:60" x14ac:dyDescent="0.2">
      <c r="A33">
        <v>8</v>
      </c>
      <c r="B33">
        <v>145600</v>
      </c>
      <c r="C33">
        <v>1.89155377283976</v>
      </c>
      <c r="E33">
        <v>5</v>
      </c>
      <c r="F33">
        <f>(B33+B34)/2</f>
        <v>149094.5</v>
      </c>
      <c r="K33">
        <v>152589</v>
      </c>
      <c r="L33">
        <v>1.96473393083641</v>
      </c>
      <c r="Q33">
        <v>165919</v>
      </c>
      <c r="R33">
        <v>1.9673483601558801</v>
      </c>
      <c r="W33">
        <v>205861</v>
      </c>
      <c r="X33">
        <v>1.4893840667134</v>
      </c>
      <c r="AC33">
        <v>229699</v>
      </c>
      <c r="AD33">
        <v>1.9775351676359001</v>
      </c>
      <c r="AF33">
        <v>145600</v>
      </c>
      <c r="AG33">
        <v>1.89155377283976</v>
      </c>
      <c r="AI33" s="5">
        <v>335625</v>
      </c>
      <c r="AJ33" s="6">
        <v>1.98947834</v>
      </c>
      <c r="AL33">
        <v>145600</v>
      </c>
      <c r="AM33">
        <v>1.89155377283976</v>
      </c>
      <c r="AR33">
        <v>145600</v>
      </c>
      <c r="AS33">
        <v>1.89155377283976</v>
      </c>
      <c r="AX33">
        <v>145600</v>
      </c>
      <c r="AY33">
        <v>1.89155377283976</v>
      </c>
      <c r="BD33">
        <v>145600</v>
      </c>
      <c r="BE33">
        <v>1.89155377283976</v>
      </c>
    </row>
    <row r="34" spans="1:60" x14ac:dyDescent="0.2">
      <c r="A34">
        <v>1</v>
      </c>
      <c r="B34">
        <v>152589</v>
      </c>
      <c r="C34">
        <v>1.96473393083641</v>
      </c>
      <c r="E34">
        <v>6</v>
      </c>
      <c r="F34">
        <f>(B34+B35)/2</f>
        <v>159254</v>
      </c>
      <c r="K34">
        <v>165919</v>
      </c>
      <c r="L34">
        <v>1.9673483601558801</v>
      </c>
      <c r="Q34">
        <v>205861</v>
      </c>
      <c r="R34">
        <v>1.4893840667134</v>
      </c>
      <c r="W34">
        <v>229699</v>
      </c>
      <c r="X34">
        <v>1.9775351676359001</v>
      </c>
      <c r="AC34">
        <v>335625</v>
      </c>
      <c r="AD34">
        <v>1.9894783430640499</v>
      </c>
      <c r="AL34" s="5">
        <v>152589</v>
      </c>
      <c r="AM34" s="6">
        <v>1.96473393</v>
      </c>
      <c r="AR34" s="5">
        <v>152589</v>
      </c>
      <c r="AS34" s="6">
        <v>1.96473393</v>
      </c>
      <c r="AX34" s="5">
        <v>152589</v>
      </c>
      <c r="AY34" s="6">
        <v>1.96473393</v>
      </c>
      <c r="BD34" s="5">
        <v>152589</v>
      </c>
      <c r="BE34" s="6">
        <v>1.96473393</v>
      </c>
    </row>
    <row r="35" spans="1:60" x14ac:dyDescent="0.2">
      <c r="A35">
        <v>3</v>
      </c>
      <c r="B35">
        <v>165919</v>
      </c>
      <c r="C35">
        <v>1.9673483601558801</v>
      </c>
      <c r="E35">
        <v>7</v>
      </c>
      <c r="F35">
        <f>(B35+B36)/2</f>
        <v>185890</v>
      </c>
      <c r="K35">
        <v>205861</v>
      </c>
      <c r="L35">
        <v>1.4893840667134</v>
      </c>
      <c r="Q35">
        <v>229699</v>
      </c>
      <c r="R35">
        <v>1.9775351676359001</v>
      </c>
      <c r="W35">
        <v>335625</v>
      </c>
      <c r="X35">
        <v>1.9894783430640499</v>
      </c>
      <c r="AR35">
        <v>165919</v>
      </c>
      <c r="AS35">
        <v>1.9673483599999999</v>
      </c>
      <c r="AX35">
        <v>165919</v>
      </c>
      <c r="AY35">
        <v>1.9673483599999999</v>
      </c>
      <c r="BD35">
        <v>165919</v>
      </c>
      <c r="BE35">
        <v>1.9673483599999999</v>
      </c>
    </row>
    <row r="36" spans="1:60" x14ac:dyDescent="0.2">
      <c r="A36">
        <v>6</v>
      </c>
      <c r="B36">
        <v>205861</v>
      </c>
      <c r="C36">
        <v>1.4893840667134</v>
      </c>
      <c r="E36">
        <v>8</v>
      </c>
      <c r="F36">
        <f>(B36+B37)/2</f>
        <v>217780</v>
      </c>
      <c r="K36">
        <v>229699</v>
      </c>
      <c r="L36">
        <v>1.9775351676359001</v>
      </c>
      <c r="Q36">
        <v>335625</v>
      </c>
      <c r="R36">
        <v>1.9894783430640499</v>
      </c>
      <c r="AX36" s="5">
        <v>205861</v>
      </c>
      <c r="AY36" s="6">
        <v>1.4893840700000001</v>
      </c>
      <c r="BD36" s="5">
        <v>205861</v>
      </c>
      <c r="BE36" s="6">
        <v>1.4893840700000001</v>
      </c>
    </row>
    <row r="37" spans="1:60" x14ac:dyDescent="0.2">
      <c r="A37">
        <v>10</v>
      </c>
      <c r="B37">
        <v>229699</v>
      </c>
      <c r="C37">
        <v>1.9775351676359001</v>
      </c>
      <c r="E37">
        <v>9</v>
      </c>
      <c r="F37">
        <f>(B37+B38)/2</f>
        <v>282662</v>
      </c>
      <c r="K37">
        <v>335625</v>
      </c>
      <c r="L37">
        <v>1.9894783430640499</v>
      </c>
      <c r="BD37" s="7">
        <v>229699</v>
      </c>
      <c r="BE37" s="8">
        <v>1.9775351699999999</v>
      </c>
    </row>
    <row r="38" spans="1:60" x14ac:dyDescent="0.2">
      <c r="A38">
        <v>5</v>
      </c>
      <c r="B38">
        <v>335625</v>
      </c>
      <c r="C38">
        <v>1.9894783430640499</v>
      </c>
    </row>
    <row r="41" spans="1:60" x14ac:dyDescent="0.2">
      <c r="H41" t="s">
        <v>32</v>
      </c>
      <c r="I41">
        <f>AVERAGE(Table14[Spending])</f>
        <v>1.873867883</v>
      </c>
      <c r="K41" t="s">
        <v>32</v>
      </c>
      <c r="L41">
        <f>AVERAGE(Table15[Spending])</f>
        <v>1.8831024149447932</v>
      </c>
      <c r="N41" t="s">
        <v>32</v>
      </c>
      <c r="O41">
        <f>AVERAGE(Table17[Spending])</f>
        <v>1.8743665405000001</v>
      </c>
      <c r="Q41" t="s">
        <v>32</v>
      </c>
      <c r="R41">
        <f>AVERAGE(Table18[Spending])</f>
        <v>1.8841320670938124</v>
      </c>
      <c r="T41" t="s">
        <v>32</v>
      </c>
      <c r="U41">
        <f>AVERAGE(Table19[Spending])</f>
        <v>1.6796580146666666</v>
      </c>
      <c r="W41" t="s">
        <v>32</v>
      </c>
      <c r="X41">
        <f>AVERAGE(Table20[Spending])</f>
        <v>1.9689736533328241</v>
      </c>
      <c r="Z41" t="s">
        <v>32</v>
      </c>
      <c r="AA41">
        <f>AVERAGE(Table21[Spending])</f>
        <v>1.8854389940210923</v>
      </c>
      <c r="AC41" t="s">
        <v>32</v>
      </c>
      <c r="AD41">
        <f>AVERAGE(Table22[Spending])</f>
        <v>1.8800056068742332</v>
      </c>
      <c r="AF41" t="s">
        <v>32</v>
      </c>
      <c r="AG41">
        <f>AVERAGE(Table23[Spending])</f>
        <v>1.8866619497848258</v>
      </c>
      <c r="AI41" t="s">
        <v>32</v>
      </c>
      <c r="AJ41">
        <f>AVERAGE(Table24[Spending])</f>
        <v>1.8776959739999999</v>
      </c>
      <c r="AL41" t="s">
        <v>32</v>
      </c>
      <c r="AM41">
        <f>AVERAGE(Table25[Spending])</f>
        <v>1.8996739464873549</v>
      </c>
      <c r="AO41" t="s">
        <v>32</v>
      </c>
      <c r="AP41">
        <f>AVERAGE(Table26[Spending])</f>
        <v>1.855936485</v>
      </c>
      <c r="AR41" t="s">
        <v>32</v>
      </c>
      <c r="AS41">
        <f>AVERAGE(Table27[Spending])</f>
        <v>1.9093417198463041</v>
      </c>
      <c r="AU41" t="s">
        <v>32</v>
      </c>
      <c r="AV41">
        <f>AVERAGE(Table28[Spending])</f>
        <v>1.8187991933333334</v>
      </c>
      <c r="AX41" t="s">
        <v>32</v>
      </c>
      <c r="AY41">
        <f>AVERAGE(Table29[Spending])</f>
        <v>1.856847013615516</v>
      </c>
      <c r="BA41" t="s">
        <v>32</v>
      </c>
      <c r="BB41">
        <f>AVERAGE(Table30[Spending])</f>
        <v>1.9835067550000001</v>
      </c>
      <c r="BD41" t="s">
        <v>44</v>
      </c>
      <c r="BE41">
        <f>AVERAGE(Table31[Spending])</f>
        <v>1.8702568087693474</v>
      </c>
      <c r="BG41" t="s">
        <v>32</v>
      </c>
      <c r="BH41">
        <f>AVERAGE(Table32[Spending])</f>
        <v>1.98947834</v>
      </c>
    </row>
    <row r="43" spans="1:60" x14ac:dyDescent="0.2">
      <c r="H43" t="s">
        <v>33</v>
      </c>
      <c r="I43" cm="1">
        <f t="array" ref="I43">((Table14[Spending]-I41)^2) / 1</f>
        <v>0</v>
      </c>
      <c r="K43" t="s">
        <v>34</v>
      </c>
      <c r="L43">
        <f>((L29-L41)^2 + (L30-L41)^2 + (L31-L41)^2 + (L32-L41)^2 + (L33-L41)^2 + (L34-L41)^2 + (L35-L41)^2 + (L36-L41)^2 + (L37-L41)^2) / 9</f>
        <v>0.10273725401469777</v>
      </c>
      <c r="N43" t="s">
        <v>12</v>
      </c>
      <c r="O43">
        <f>((O29-O41)^2 +(O30-O41)^2) / 2</f>
        <v>2.4865930230624933E-7</v>
      </c>
      <c r="Q43" t="s">
        <v>13</v>
      </c>
      <c r="R43">
        <f>((R29-R41)^2 + (R30-R41)^2 + (R31-R41)^2 + (R32-R41)^2 + (R33-R41)^2 + (R34-R41)^2 + (R35-R41)^2 + (R36-R41)^2 ) / 8</f>
        <v>0.11556986911460318</v>
      </c>
      <c r="T43" t="s">
        <v>33</v>
      </c>
      <c r="U43">
        <f>((U29-U41)^2 +(U30-U41)^2 + (U31-U41)^2) / 3</f>
        <v>7.582298583724785E-2</v>
      </c>
      <c r="W43" t="s">
        <v>34</v>
      </c>
      <c r="X43">
        <f>((X29-X41)^2 + (X30-X41)^2 + (X31-X41)^2 + (X32-X41)^2 + (X33-X41)^2 + (X34-X41)^2 + (X35-X41)^2 ) / 7</f>
        <v>7.4495092372275945E-2</v>
      </c>
      <c r="Z43" t="s">
        <v>33</v>
      </c>
      <c r="AA43">
        <f>((AA29-AA41)^2 +(AA30-AA41)^2 + (AA31-AA41)^2 + (AA32-AA41)^2) / 4</f>
        <v>0.18390467377013575</v>
      </c>
      <c r="AC43" t="s">
        <v>34</v>
      </c>
      <c r="AD43">
        <f>((AD29-AD41)^2 + (AD30-AD41)^2 + (AD31-AD41)^2 + (AD32-AD41)^2 + (AD33-AD41)^2 + (AD34-AD41)^2) / 6</f>
        <v>3.1503748066382654E-2</v>
      </c>
      <c r="AF43" t="s">
        <v>33</v>
      </c>
      <c r="AG43">
        <f>((AG29-AG41)^2 + (AG30-AG41)^2 + (AG31-AG41)^2 + (AG32-AG41)^2 + (AG33-AG41)^2) / 5</f>
        <v>0.14712972149930878</v>
      </c>
      <c r="AI43" t="s">
        <v>34</v>
      </c>
      <c r="AJ43">
        <f>((AJ29-AJ41)^2 + (AJ30-AJ41)^2 + (AJ31-AJ41)^2 + (AJ32-AJ41)^2 + (AJ33-AJ41)^2) / 5</f>
        <v>3.7772490658948089E-2</v>
      </c>
      <c r="AL43" t="s">
        <v>33</v>
      </c>
      <c r="AM43">
        <f>((AM29-AM41)^2 + (AM30-AM41)^2 + (AM31-AM41)^2 + (AM32-AM41)^2 + (AM33-AM41)^2 + (AM34-AM41)^2) / 6</f>
        <v>0.12345466154035713</v>
      </c>
      <c r="AO43" t="s">
        <v>34</v>
      </c>
      <c r="AP43">
        <f>((AP29-AP41)^2 + (AP30-AP41)^2 + (AP31-AP41)^2 + (AP32-AP41)^2) / 4</f>
        <v>4.4848236515979509E-2</v>
      </c>
      <c r="AR43" t="s">
        <v>33</v>
      </c>
      <c r="AS43">
        <f>((AS29-AS41)^2 + (AS30-AS41)^2 + (AS31-AS41)^2 + (AS32-AS41)^2 + (AS33-AS41)^2 + (AS34-AS41)^2 + (AS35-AS41)^2 ) / 7</f>
        <v>0.10637907637062616</v>
      </c>
      <c r="AU43" t="s">
        <v>34</v>
      </c>
      <c r="AV43">
        <f>((AV29-AV41)^2 + (AV30-AV41)^2 + (AV31-AV41)^2) / 3</f>
        <v>5.4280934958632399E-2</v>
      </c>
      <c r="AX43" t="s">
        <v>33</v>
      </c>
      <c r="AY43">
        <f>((AY29-AY41)^2 + (AY30-AY41)^2 + (AY31-AY41)^2 + (AY32-AY41)^2 + (AY33-AY41)^2 + (AY34-AY41)^2 + (AY35-AY41)^2 + (AY36-AY41)^2) / 8</f>
        <v>0.11237155110009503</v>
      </c>
      <c r="BA43" t="s">
        <v>34</v>
      </c>
      <c r="BB43">
        <f>((BB29-BB41)^2 + (BB30-BB41)^2) / 2</f>
        <v>3.5659827412225681E-5</v>
      </c>
      <c r="BD43" t="s">
        <v>33</v>
      </c>
      <c r="BE43">
        <f>((BE29-BE41)^2 + (BE30-BE41)^2 + (BE31-BE41)^2 + (BE32-BE41)^2 + (BE33-BE41)^2 + (BE34-BE41)^2 + (BE35-BE41)^2 + (BE36-BE41)^2 + (BE37-BE41)^2) / 9</f>
        <v>0.10132440404862626</v>
      </c>
      <c r="BG43" t="s">
        <v>34</v>
      </c>
      <c r="BH43" cm="1">
        <f t="array" ref="BH43">((Table32[Spending]-BH41)^2) / 1</f>
        <v>0</v>
      </c>
    </row>
    <row r="45" spans="1:60" x14ac:dyDescent="0.2">
      <c r="J45" t="s">
        <v>27</v>
      </c>
      <c r="P45" t="s">
        <v>27</v>
      </c>
      <c r="V45" t="s">
        <v>27</v>
      </c>
      <c r="AB45" t="s">
        <v>27</v>
      </c>
      <c r="AH45" t="s">
        <v>27</v>
      </c>
      <c r="AN45" t="s">
        <v>27</v>
      </c>
      <c r="AT45" t="s">
        <v>27</v>
      </c>
      <c r="AZ45" t="s">
        <v>27</v>
      </c>
      <c r="BF45" t="s">
        <v>27</v>
      </c>
    </row>
    <row r="46" spans="1:60" x14ac:dyDescent="0.2">
      <c r="J46">
        <f>1/10*I43+9/10*L43</f>
        <v>9.2463528613227999E-2</v>
      </c>
      <c r="P46">
        <f>2/10*O43+8/10*R43</f>
        <v>9.2455945023543012E-2</v>
      </c>
      <c r="V46">
        <f>3/10*U43+7/10*X43</f>
        <v>7.4893460411767504E-2</v>
      </c>
      <c r="AB46">
        <f>4/10*AA43+6/10*AD43</f>
        <v>9.24641183478839E-2</v>
      </c>
      <c r="AH46">
        <f>5/10*AG43+5/10*AJ43</f>
        <v>9.2451106079128431E-2</v>
      </c>
      <c r="AN46">
        <f>6/10*AM43+4/10*AP43</f>
        <v>9.2012091530606077E-2</v>
      </c>
      <c r="AT46">
        <f>7/10*AS43+3/10*AV43</f>
        <v>9.0749633947028022E-2</v>
      </c>
      <c r="AZ46">
        <f>8/10*AY43+2/10*BB43</f>
        <v>8.9904372845558481E-2</v>
      </c>
      <c r="BF46">
        <f>9/10*BE43+1/10*BH43</f>
        <v>9.1191963643763641E-2</v>
      </c>
    </row>
  </sheetData>
  <pageMargins left="0.7" right="0.7" top="0.75" bottom="0.75" header="0.3" footer="0.3"/>
  <legacyDrawing r:id="rId1"/>
  <tableParts count="2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RBA</dc:creator>
  <cp:lastModifiedBy>Cabusora, Carlo</cp:lastModifiedBy>
  <dcterms:created xsi:type="dcterms:W3CDTF">2019-10-29T19:57:44Z</dcterms:created>
  <dcterms:modified xsi:type="dcterms:W3CDTF">2024-12-10T19:23:19Z</dcterms:modified>
</cp:coreProperties>
</file>