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D:\Обучение\GeecBrains\Обучение\15. Финансовая математика\"/>
    </mc:Choice>
  </mc:AlternateContent>
  <xr:revisionPtr revIDLastSave="0" documentId="13_ncr:1_{E1E6485E-6EE6-4896-AE85-FA7200117BD8}" xr6:coauthVersionLast="47" xr6:coauthVersionMax="47" xr10:uidLastSave="{00000000-0000-0000-0000-000000000000}"/>
  <bookViews>
    <workbookView xWindow="-108" yWindow="-108" windowWidth="23256" windowHeight="12576" firstSheet="4" activeTab="10" xr2:uid="{00000000-000D-0000-FFFF-FFFF00000000}"/>
  </bookViews>
  <sheets>
    <sheet name="Лекция_1" sheetId="1" r:id="rId1"/>
    <sheet name="Лекция_2" sheetId="2" r:id="rId2"/>
    <sheet name="Семинар_1" sheetId="3" r:id="rId3"/>
    <sheet name="ДЗ_1" sheetId="4" r:id="rId4"/>
    <sheet name="Лекция_3" sheetId="5" r:id="rId5"/>
    <sheet name="Семинар_2" sheetId="6" r:id="rId6"/>
    <sheet name="ДЗ_2" sheetId="8" r:id="rId7"/>
    <sheet name="Лекция_4" sheetId="7" r:id="rId8"/>
    <sheet name="Лекция_5" sheetId="9" r:id="rId9"/>
    <sheet name="Семинар_3" sheetId="10" r:id="rId10"/>
    <sheet name="ДЗ_3" sheetId="11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26" i="10" l="1"/>
  <c r="K330" i="10" a="1"/>
  <c r="K330" i="10" s="1"/>
  <c r="C309" i="10"/>
  <c r="D312" i="10" s="1" a="1"/>
  <c r="D312" i="10" s="1"/>
  <c r="D309" i="10"/>
  <c r="E309" i="10"/>
  <c r="F309" i="10"/>
  <c r="G309" i="10"/>
  <c r="H309" i="10"/>
  <c r="I309" i="10"/>
  <c r="J309" i="10"/>
  <c r="K309" i="10"/>
  <c r="L309" i="10"/>
  <c r="D291" i="10" a="1"/>
  <c r="D291" i="10" s="1"/>
  <c r="D253" i="10"/>
  <c r="D277" i="10"/>
  <c r="O221" i="10"/>
  <c r="N221" i="10"/>
  <c r="M221" i="10"/>
  <c r="L221" i="10"/>
  <c r="K221" i="10"/>
  <c r="J221" i="10"/>
  <c r="I221" i="10"/>
  <c r="H221" i="10"/>
  <c r="G221" i="10"/>
  <c r="F221" i="10"/>
  <c r="E221" i="10"/>
  <c r="D221" i="10"/>
  <c r="F186" i="10"/>
  <c r="O208" i="10"/>
  <c r="O210" i="10" s="1"/>
  <c r="N208" i="10"/>
  <c r="N210" i="10" s="1"/>
  <c r="M208" i="10"/>
  <c r="M210" i="10" s="1"/>
  <c r="L208" i="10"/>
  <c r="L210" i="10" s="1"/>
  <c r="K208" i="10"/>
  <c r="K210" i="10" s="1"/>
  <c r="J208" i="10"/>
  <c r="J210" i="10" s="1"/>
  <c r="I208" i="10"/>
  <c r="I210" i="10" s="1"/>
  <c r="H208" i="10"/>
  <c r="H210" i="10" s="1"/>
  <c r="G208" i="10"/>
  <c r="G210" i="10" s="1"/>
  <c r="F208" i="10"/>
  <c r="F210" i="10" s="1"/>
  <c r="E208" i="10"/>
  <c r="E210" i="10" s="1"/>
  <c r="D208" i="10"/>
  <c r="D210" i="10" s="1"/>
  <c r="E193" i="10"/>
  <c r="F193" i="10"/>
  <c r="G193" i="10"/>
  <c r="H193" i="10"/>
  <c r="I193" i="10"/>
  <c r="J193" i="10"/>
  <c r="K193" i="10"/>
  <c r="L193" i="10"/>
  <c r="M193" i="10"/>
  <c r="N193" i="10"/>
  <c r="O193" i="10"/>
  <c r="D193" i="10"/>
  <c r="O186" i="10"/>
  <c r="E186" i="10"/>
  <c r="G186" i="10"/>
  <c r="H186" i="10"/>
  <c r="I186" i="10"/>
  <c r="J186" i="10"/>
  <c r="K186" i="10"/>
  <c r="L186" i="10"/>
  <c r="M186" i="10"/>
  <c r="N186" i="10"/>
  <c r="D186" i="10"/>
  <c r="N144" i="10"/>
  <c r="K143" i="10"/>
  <c r="N136" i="10"/>
  <c r="J135" i="10"/>
  <c r="D58" i="9"/>
  <c r="E58" i="9"/>
  <c r="F58" i="9"/>
  <c r="G58" i="9"/>
  <c r="H58" i="9"/>
  <c r="I58" i="9"/>
  <c r="J58" i="9"/>
  <c r="I61" i="9" a="1"/>
  <c r="I61" i="9" s="1"/>
  <c r="D61" i="9"/>
  <c r="G164" i="7"/>
  <c r="G162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59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C74" i="7"/>
  <c r="C67" i="8"/>
  <c r="C72" i="8"/>
  <c r="C71" i="8"/>
  <c r="C66" i="8"/>
  <c r="H71" i="8"/>
  <c r="G71" i="8"/>
  <c r="F71" i="8"/>
  <c r="E71" i="8"/>
  <c r="D71" i="8"/>
  <c r="D70" i="8"/>
  <c r="E70" i="8" s="1"/>
  <c r="F70" i="8" s="1"/>
  <c r="G70" i="8" s="1"/>
  <c r="H70" i="8" s="1"/>
  <c r="H66" i="8"/>
  <c r="G66" i="8"/>
  <c r="F66" i="8"/>
  <c r="E66" i="8"/>
  <c r="D66" i="8"/>
  <c r="D67" i="8" s="1"/>
  <c r="E67" i="8" s="1"/>
  <c r="F67" i="8" s="1"/>
  <c r="G67" i="8" s="1"/>
  <c r="H67" i="8" s="1"/>
  <c r="E65" i="8"/>
  <c r="F65" i="8" s="1"/>
  <c r="G65" i="8" s="1"/>
  <c r="H65" i="8" s="1"/>
  <c r="D65" i="8"/>
  <c r="E229" i="6"/>
  <c r="F229" i="6"/>
  <c r="G229" i="6"/>
  <c r="H229" i="6"/>
  <c r="I229" i="6"/>
  <c r="J229" i="6"/>
  <c r="K229" i="6"/>
  <c r="L229" i="6"/>
  <c r="M229" i="6"/>
  <c r="D229" i="6"/>
  <c r="E228" i="6"/>
  <c r="E231" i="6" s="1"/>
  <c r="E232" i="6" s="1"/>
  <c r="E234" i="6" s="1"/>
  <c r="E238" i="6" s="1"/>
  <c r="F228" i="6"/>
  <c r="F231" i="6" s="1"/>
  <c r="G228" i="6"/>
  <c r="H228" i="6"/>
  <c r="I228" i="6"/>
  <c r="J228" i="6"/>
  <c r="K228" i="6"/>
  <c r="L228" i="6"/>
  <c r="M228" i="6"/>
  <c r="D228" i="6"/>
  <c r="C103" i="5"/>
  <c r="C33" i="8"/>
  <c r="D25" i="8"/>
  <c r="L330" i="10" l="1"/>
  <c r="E312" i="10"/>
  <c r="E291" i="10"/>
  <c r="D230" i="10"/>
  <c r="D240" i="10" s="1"/>
  <c r="D223" i="10"/>
  <c r="D212" i="10"/>
  <c r="D238" i="10" s="1"/>
  <c r="D239" i="10" s="1"/>
  <c r="D195" i="10"/>
  <c r="D191" i="10"/>
  <c r="D62" i="9"/>
  <c r="I62" i="9" a="1"/>
  <c r="I62" i="9" s="1"/>
  <c r="J61" i="9"/>
  <c r="G161" i="7"/>
  <c r="G160" i="7"/>
  <c r="B77" i="7"/>
  <c r="D72" i="8"/>
  <c r="E72" i="8" s="1"/>
  <c r="F72" i="8" s="1"/>
  <c r="G72" i="8" s="1"/>
  <c r="H72" i="8" s="1"/>
  <c r="G231" i="6"/>
  <c r="K231" i="6"/>
  <c r="K232" i="6" s="1"/>
  <c r="K234" i="6" s="1"/>
  <c r="K238" i="6" s="1"/>
  <c r="L231" i="6"/>
  <c r="H231" i="6"/>
  <c r="H232" i="6" s="1"/>
  <c r="D231" i="6"/>
  <c r="D232" i="6" s="1"/>
  <c r="D234" i="6" s="1"/>
  <c r="D238" i="6" s="1"/>
  <c r="F232" i="6"/>
  <c r="F234" i="6" s="1"/>
  <c r="F238" i="6" s="1"/>
  <c r="I231" i="6"/>
  <c r="I232" i="6" s="1"/>
  <c r="I234" i="6" s="1"/>
  <c r="I238" i="6" s="1"/>
  <c r="J231" i="6"/>
  <c r="M231" i="6"/>
  <c r="M232" i="6" s="1"/>
  <c r="M234" i="6" s="1"/>
  <c r="M238" i="6" s="1"/>
  <c r="L232" i="6"/>
  <c r="L234" i="6" s="1"/>
  <c r="L238" i="6" s="1"/>
  <c r="J232" i="6"/>
  <c r="J234" i="6" s="1"/>
  <c r="J238" i="6" s="1"/>
  <c r="G234" i="6"/>
  <c r="G238" i="6" s="1"/>
  <c r="G232" i="6"/>
  <c r="L55" i="9" l="1"/>
  <c r="M55" i="9"/>
  <c r="K55" i="9"/>
  <c r="N55" i="9"/>
  <c r="O55" i="9"/>
  <c r="P55" i="9"/>
  <c r="J62" i="9"/>
  <c r="H234" i="6"/>
  <c r="H238" i="6" s="1"/>
  <c r="C239" i="6"/>
  <c r="L58" i="9" l="1"/>
  <c r="M58" i="9"/>
  <c r="N58" i="9"/>
  <c r="O58" i="9"/>
  <c r="P58" i="9"/>
  <c r="K58" i="9"/>
  <c r="C199" i="6"/>
  <c r="D199" i="6"/>
  <c r="C198" i="6"/>
  <c r="D198" i="6"/>
  <c r="H182" i="6"/>
  <c r="H183" i="6"/>
  <c r="H181" i="6"/>
  <c r="G182" i="6"/>
  <c r="G183" i="6"/>
  <c r="G181" i="6"/>
  <c r="C149" i="6"/>
  <c r="C146" i="6"/>
  <c r="C134" i="6"/>
  <c r="C124" i="6"/>
  <c r="C26" i="8" l="1"/>
  <c r="D73" i="5"/>
  <c r="E73" i="5"/>
  <c r="F73" i="5"/>
  <c r="G73" i="5"/>
  <c r="H73" i="5"/>
  <c r="I73" i="5"/>
  <c r="J73" i="5"/>
  <c r="C73" i="5"/>
  <c r="C41" i="5"/>
  <c r="D51" i="8" l="1"/>
  <c r="E51" i="8"/>
  <c r="F51" i="8"/>
  <c r="G51" i="8"/>
  <c r="H51" i="8"/>
  <c r="C51" i="8"/>
  <c r="D46" i="8"/>
  <c r="E46" i="8"/>
  <c r="F46" i="8"/>
  <c r="G46" i="8"/>
  <c r="H46" i="8"/>
  <c r="C46" i="8"/>
  <c r="D50" i="8"/>
  <c r="E50" i="8" s="1"/>
  <c r="F50" i="8" s="1"/>
  <c r="G50" i="8" s="1"/>
  <c r="H50" i="8" s="1"/>
  <c r="D45" i="8"/>
  <c r="E45" i="8" s="1"/>
  <c r="F45" i="8" s="1"/>
  <c r="G45" i="8" s="1"/>
  <c r="H45" i="8" s="1"/>
  <c r="C12" i="8"/>
  <c r="D350" i="6"/>
  <c r="E350" i="6"/>
  <c r="F350" i="6"/>
  <c r="G350" i="6"/>
  <c r="H350" i="6"/>
  <c r="I350" i="6"/>
  <c r="J350" i="6"/>
  <c r="K350" i="6"/>
  <c r="I342" i="6"/>
  <c r="K49" i="8"/>
  <c r="K50" i="8" s="1"/>
  <c r="K43" i="8"/>
  <c r="K44" i="8" s="1"/>
  <c r="D322" i="6"/>
  <c r="E322" i="6" s="1"/>
  <c r="F322" i="6" s="1"/>
  <c r="G322" i="6" s="1"/>
  <c r="H322" i="6" s="1"/>
  <c r="D320" i="6"/>
  <c r="E320" i="6" s="1"/>
  <c r="F320" i="6" s="1"/>
  <c r="G320" i="6" s="1"/>
  <c r="H320" i="6" s="1"/>
  <c r="K329" i="6"/>
  <c r="K330" i="6" s="1"/>
  <c r="K327" i="6"/>
  <c r="K328" i="6" s="1"/>
  <c r="C304" i="6"/>
  <c r="D303" i="6"/>
  <c r="E303" i="6" s="1"/>
  <c r="D294" i="6"/>
  <c r="E294" i="6" s="1"/>
  <c r="F294" i="6" s="1"/>
  <c r="G294" i="6" s="1"/>
  <c r="H294" i="6" s="1"/>
  <c r="I294" i="6" s="1"/>
  <c r="J294" i="6" s="1"/>
  <c r="K294" i="6" s="1"/>
  <c r="D12" i="8"/>
  <c r="E12" i="8"/>
  <c r="F12" i="8"/>
  <c r="G12" i="8"/>
  <c r="H12" i="8"/>
  <c r="D62" i="5"/>
  <c r="C62" i="5"/>
  <c r="C101" i="5"/>
  <c r="J96" i="5"/>
  <c r="J98" i="5" s="1"/>
  <c r="I96" i="5"/>
  <c r="I98" i="5" s="1"/>
  <c r="H96" i="5"/>
  <c r="G96" i="5"/>
  <c r="G98" i="5" s="1"/>
  <c r="F96" i="5"/>
  <c r="F98" i="5" s="1"/>
  <c r="C96" i="5"/>
  <c r="C98" i="5" s="1"/>
  <c r="E96" i="5"/>
  <c r="E98" i="5" s="1"/>
  <c r="H98" i="5"/>
  <c r="D96" i="5"/>
  <c r="D98" i="5" s="1"/>
  <c r="D72" i="5"/>
  <c r="E72" i="5" s="1"/>
  <c r="C49" i="5"/>
  <c r="H62" i="5"/>
  <c r="G62" i="5"/>
  <c r="F62" i="5"/>
  <c r="E62" i="5"/>
  <c r="D39" i="5"/>
  <c r="E39" i="5" s="1"/>
  <c r="F39" i="5" s="1"/>
  <c r="G39" i="5" s="1"/>
  <c r="H39" i="5" s="1"/>
  <c r="I39" i="5" s="1"/>
  <c r="J39" i="5" s="1"/>
  <c r="J41" i="5" s="1"/>
  <c r="J40" i="5"/>
  <c r="I40" i="5"/>
  <c r="H40" i="5"/>
  <c r="G40" i="5"/>
  <c r="F40" i="5"/>
  <c r="E40" i="5"/>
  <c r="D40" i="5"/>
  <c r="C40" i="5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63" i="4"/>
  <c r="K64" i="4"/>
  <c r="M64" i="4" s="1"/>
  <c r="K65" i="4"/>
  <c r="M65" i="4" s="1"/>
  <c r="K66" i="4"/>
  <c r="M66" i="4" s="1"/>
  <c r="K67" i="4"/>
  <c r="M67" i="4" s="1"/>
  <c r="K68" i="4"/>
  <c r="K69" i="4"/>
  <c r="K70" i="4"/>
  <c r="K71" i="4"/>
  <c r="K72" i="4"/>
  <c r="M72" i="4" s="1"/>
  <c r="K73" i="4"/>
  <c r="K74" i="4"/>
  <c r="M74" i="4" s="1"/>
  <c r="K75" i="4"/>
  <c r="M75" i="4" s="1"/>
  <c r="K76" i="4"/>
  <c r="M76" i="4" s="1"/>
  <c r="K77" i="4"/>
  <c r="M77" i="4" s="1"/>
  <c r="K78" i="4"/>
  <c r="M78" i="4" s="1"/>
  <c r="K79" i="4"/>
  <c r="M79" i="4" s="1"/>
  <c r="K80" i="4"/>
  <c r="K81" i="4"/>
  <c r="K82" i="4"/>
  <c r="K83" i="4"/>
  <c r="K84" i="4"/>
  <c r="M84" i="4" s="1"/>
  <c r="K85" i="4"/>
  <c r="K86" i="4"/>
  <c r="M86" i="4" s="1"/>
  <c r="K87" i="4"/>
  <c r="M87" i="4" s="1"/>
  <c r="K88" i="4"/>
  <c r="M88" i="4" s="1"/>
  <c r="K89" i="4"/>
  <c r="M89" i="4" s="1"/>
  <c r="K90" i="4"/>
  <c r="M90" i="4" s="1"/>
  <c r="K91" i="4"/>
  <c r="M91" i="4" s="1"/>
  <c r="K92" i="4"/>
  <c r="K63" i="4"/>
  <c r="E54" i="4"/>
  <c r="J54" i="4" s="1"/>
  <c r="F42" i="4"/>
  <c r="G42" i="4"/>
  <c r="H42" i="4" s="1"/>
  <c r="I42" i="4" s="1"/>
  <c r="C52" i="8" l="1"/>
  <c r="L350" i="6"/>
  <c r="C351" i="6" s="1"/>
  <c r="E25" i="8"/>
  <c r="D26" i="8"/>
  <c r="C47" i="8"/>
  <c r="F303" i="6"/>
  <c r="E304" i="6"/>
  <c r="D304" i="6"/>
  <c r="C13" i="8"/>
  <c r="C74" i="5"/>
  <c r="D97" i="5"/>
  <c r="C99" i="5"/>
  <c r="D99" i="5" s="1"/>
  <c r="F72" i="5"/>
  <c r="C63" i="5"/>
  <c r="H41" i="5"/>
  <c r="G41" i="5"/>
  <c r="C42" i="5"/>
  <c r="F41" i="5"/>
  <c r="E41" i="5"/>
  <c r="D41" i="5"/>
  <c r="I41" i="5"/>
  <c r="M81" i="4"/>
  <c r="M69" i="4"/>
  <c r="M92" i="4"/>
  <c r="M80" i="4"/>
  <c r="M68" i="4"/>
  <c r="M85" i="4"/>
  <c r="M73" i="4"/>
  <c r="M63" i="4"/>
  <c r="M83" i="4"/>
  <c r="M71" i="4"/>
  <c r="M82" i="4"/>
  <c r="M70" i="4"/>
  <c r="I58" i="4"/>
  <c r="K58" i="4"/>
  <c r="J58" i="4"/>
  <c r="I54" i="4"/>
  <c r="K54" i="4"/>
  <c r="C25" i="4"/>
  <c r="D25" i="4" s="1"/>
  <c r="E25" i="4" s="1"/>
  <c r="F25" i="4" s="1"/>
  <c r="G25" i="4" s="1"/>
  <c r="H25" i="4" s="1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W25" i="4" s="1"/>
  <c r="X25" i="4" s="1"/>
  <c r="Y25" i="4" s="1"/>
  <c r="Z25" i="4" s="1"/>
  <c r="AA25" i="4" s="1"/>
  <c r="AB25" i="4" s="1"/>
  <c r="AC25" i="4" s="1"/>
  <c r="AD25" i="4" s="1"/>
  <c r="AE25" i="4" s="1"/>
  <c r="D30" i="4"/>
  <c r="H30" i="4" s="1"/>
  <c r="E14" i="4"/>
  <c r="C9" i="4"/>
  <c r="D9" i="4" s="1"/>
  <c r="E9" i="4" s="1"/>
  <c r="F9" i="4" s="1"/>
  <c r="G9" i="4" s="1"/>
  <c r="H9" i="4" s="1"/>
  <c r="F25" i="8" l="1"/>
  <c r="E26" i="8"/>
  <c r="D305" i="6"/>
  <c r="E305" i="6" s="1"/>
  <c r="G303" i="6"/>
  <c r="F304" i="6"/>
  <c r="E97" i="5"/>
  <c r="F97" i="5" s="1"/>
  <c r="G97" i="5" s="1"/>
  <c r="H97" i="5" s="1"/>
  <c r="I97" i="5" s="1"/>
  <c r="J97" i="5" s="1"/>
  <c r="G72" i="5"/>
  <c r="L54" i="4"/>
  <c r="G30" i="4"/>
  <c r="F141" i="3"/>
  <c r="E21" i="3"/>
  <c r="F21" i="3"/>
  <c r="G25" i="8" l="1"/>
  <c r="F26" i="8"/>
  <c r="F305" i="6"/>
  <c r="H303" i="6"/>
  <c r="G304" i="6"/>
  <c r="H72" i="5"/>
  <c r="G397" i="3"/>
  <c r="H397" i="3" s="1"/>
  <c r="I397" i="3" s="1"/>
  <c r="G396" i="3"/>
  <c r="H396" i="3" s="1"/>
  <c r="I396" i="3" s="1"/>
  <c r="F378" i="3"/>
  <c r="G378" i="3"/>
  <c r="H378" i="3"/>
  <c r="I378" i="3"/>
  <c r="E378" i="3"/>
  <c r="D375" i="3"/>
  <c r="E377" i="3" s="1"/>
  <c r="F368" i="3"/>
  <c r="G368" i="3" s="1"/>
  <c r="H368" i="3" s="1"/>
  <c r="D349" i="3"/>
  <c r="E351" i="3" s="1"/>
  <c r="G333" i="3"/>
  <c r="B336" i="3"/>
  <c r="B337" i="3" s="1"/>
  <c r="G318" i="3"/>
  <c r="B321" i="3"/>
  <c r="B322" i="3" s="1"/>
  <c r="F307" i="3"/>
  <c r="C308" i="3"/>
  <c r="C309" i="3" s="1"/>
  <c r="D308" i="3"/>
  <c r="D309" i="3" s="1"/>
  <c r="E308" i="3"/>
  <c r="E309" i="3" s="1"/>
  <c r="F308" i="3"/>
  <c r="F304" i="3"/>
  <c r="B306" i="3" s="1"/>
  <c r="C295" i="3"/>
  <c r="D295" i="3" s="1"/>
  <c r="E295" i="3" s="1"/>
  <c r="C294" i="3"/>
  <c r="B293" i="3"/>
  <c r="F291" i="3"/>
  <c r="F281" i="3"/>
  <c r="F273" i="3"/>
  <c r="G145" i="3"/>
  <c r="H145" i="3" s="1"/>
  <c r="G144" i="3"/>
  <c r="H143" i="3" s="1"/>
  <c r="B146" i="3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C144" i="3" s="1"/>
  <c r="E145" i="3" s="1"/>
  <c r="B144" i="3"/>
  <c r="E144" i="3" s="1"/>
  <c r="B118" i="3"/>
  <c r="B117" i="3"/>
  <c r="E130" i="3"/>
  <c r="G141" i="3"/>
  <c r="D123" i="3"/>
  <c r="D120" i="3"/>
  <c r="E120" i="3" s="1"/>
  <c r="F120" i="3" s="1"/>
  <c r="E119" i="3"/>
  <c r="F119" i="3"/>
  <c r="G119" i="3"/>
  <c r="H119" i="3"/>
  <c r="I119" i="3"/>
  <c r="J119" i="3"/>
  <c r="K119" i="3"/>
  <c r="L119" i="3"/>
  <c r="M119" i="3"/>
  <c r="O122" i="3" s="1"/>
  <c r="N119" i="3"/>
  <c r="O119" i="3"/>
  <c r="P119" i="3"/>
  <c r="Q119" i="3"/>
  <c r="R119" i="3"/>
  <c r="D119" i="3"/>
  <c r="E89" i="3"/>
  <c r="D64" i="3"/>
  <c r="G64" i="3"/>
  <c r="D108" i="3"/>
  <c r="D101" i="3"/>
  <c r="D83" i="3"/>
  <c r="E83" i="3" s="1"/>
  <c r="E72" i="3"/>
  <c r="F57" i="3"/>
  <c r="E49" i="3"/>
  <c r="F49" i="3" s="1"/>
  <c r="G49" i="3" s="1"/>
  <c r="E40" i="3"/>
  <c r="F40" i="3" s="1"/>
  <c r="F31" i="3"/>
  <c r="G31" i="3" s="1"/>
  <c r="J10" i="3"/>
  <c r="E10" i="3"/>
  <c r="E187" i="2"/>
  <c r="E189" i="2"/>
  <c r="F189" i="2" s="1"/>
  <c r="F190" i="2" s="1"/>
  <c r="E165" i="2"/>
  <c r="E166" i="2" s="1"/>
  <c r="E167" i="2" s="1"/>
  <c r="F164" i="2"/>
  <c r="E163" i="2"/>
  <c r="F165" i="2" s="1"/>
  <c r="E157" i="2"/>
  <c r="F157" i="2" s="1"/>
  <c r="F158" i="2" s="1"/>
  <c r="I134" i="2"/>
  <c r="G118" i="2"/>
  <c r="H103" i="2"/>
  <c r="I103" i="2" s="1"/>
  <c r="H87" i="2"/>
  <c r="E75" i="2" s="1"/>
  <c r="E76" i="2" s="1"/>
  <c r="G66" i="2"/>
  <c r="H66" i="2" s="1"/>
  <c r="G52" i="2"/>
  <c r="H52" i="2" s="1"/>
  <c r="H38" i="2"/>
  <c r="G38" i="2"/>
  <c r="J19" i="2"/>
  <c r="M25" i="2" s="1"/>
  <c r="J28" i="2"/>
  <c r="M26" i="2" s="1"/>
  <c r="H28" i="2"/>
  <c r="K19" i="2"/>
  <c r="H19" i="2"/>
  <c r="I19" i="2"/>
  <c r="Q37" i="1"/>
  <c r="Q36" i="1"/>
  <c r="P36" i="1"/>
  <c r="Q26" i="1"/>
  <c r="Q13" i="1"/>
  <c r="P26" i="1"/>
  <c r="Q6" i="1"/>
  <c r="P6" i="1"/>
  <c r="P17" i="1"/>
  <c r="P13" i="1"/>
  <c r="H25" i="8" l="1"/>
  <c r="G26" i="8"/>
  <c r="G305" i="6"/>
  <c r="I303" i="6"/>
  <c r="H304" i="6"/>
  <c r="H305" i="6" s="1"/>
  <c r="I72" i="5"/>
  <c r="E190" i="2"/>
  <c r="G382" i="3"/>
  <c r="E376" i="3"/>
  <c r="E375" i="3" s="1"/>
  <c r="F377" i="3" s="1"/>
  <c r="F376" i="3" s="1"/>
  <c r="F375" i="3" s="1"/>
  <c r="E352" i="3"/>
  <c r="E350" i="3" s="1"/>
  <c r="E349" i="3" s="1"/>
  <c r="C336" i="3"/>
  <c r="C337" i="3" s="1"/>
  <c r="C321" i="3"/>
  <c r="F309" i="3"/>
  <c r="C310" i="3" s="1"/>
  <c r="C296" i="3"/>
  <c r="D294" i="3"/>
  <c r="E294" i="3" s="1"/>
  <c r="N122" i="3"/>
  <c r="R122" i="3"/>
  <c r="Q122" i="3"/>
  <c r="P122" i="3"/>
  <c r="G120" i="3"/>
  <c r="H120" i="3" s="1"/>
  <c r="I120" i="3" s="1"/>
  <c r="F121" i="3"/>
  <c r="D121" i="3"/>
  <c r="E121" i="3"/>
  <c r="E158" i="2"/>
  <c r="F166" i="2"/>
  <c r="F167" i="2" s="1"/>
  <c r="G189" i="2"/>
  <c r="E186" i="2"/>
  <c r="E185" i="2" s="1"/>
  <c r="F187" i="2" s="1"/>
  <c r="F186" i="2" s="1"/>
  <c r="E155" i="2"/>
  <c r="E154" i="2" s="1"/>
  <c r="F155" i="2"/>
  <c r="G157" i="2"/>
  <c r="G158" i="2" s="1"/>
  <c r="F163" i="2"/>
  <c r="G165" i="2" s="1"/>
  <c r="G164" i="2"/>
  <c r="H164" i="2" s="1"/>
  <c r="I164" i="2" s="1"/>
  <c r="J164" i="2" s="1"/>
  <c r="F75" i="2"/>
  <c r="F76" i="2" s="1"/>
  <c r="F93" i="2"/>
  <c r="E93" i="2"/>
  <c r="G93" i="2"/>
  <c r="H93" i="2"/>
  <c r="I87" i="2"/>
  <c r="M27" i="2"/>
  <c r="R36" i="1"/>
  <c r="R6" i="1"/>
  <c r="I25" i="8" l="1"/>
  <c r="I26" i="8" s="1"/>
  <c r="H26" i="8"/>
  <c r="C27" i="8" s="1"/>
  <c r="J303" i="6"/>
  <c r="I304" i="6"/>
  <c r="I305" i="6" s="1"/>
  <c r="J72" i="5"/>
  <c r="H189" i="2"/>
  <c r="G190" i="2"/>
  <c r="G377" i="3"/>
  <c r="G376" i="3" s="1"/>
  <c r="G375" i="3" s="1"/>
  <c r="H377" i="3" s="1"/>
  <c r="H376" i="3" s="1"/>
  <c r="H375" i="3" s="1"/>
  <c r="I377" i="3" s="1"/>
  <c r="F352" i="3"/>
  <c r="F351" i="3"/>
  <c r="D336" i="3"/>
  <c r="D337" i="3" s="1"/>
  <c r="C322" i="3"/>
  <c r="D321" i="3"/>
  <c r="G121" i="3"/>
  <c r="E296" i="3"/>
  <c r="D296" i="3"/>
  <c r="H121" i="3"/>
  <c r="J120" i="3"/>
  <c r="I121" i="3"/>
  <c r="F185" i="2"/>
  <c r="G187" i="2" s="1"/>
  <c r="G186" i="2" s="1"/>
  <c r="G166" i="2"/>
  <c r="G167" i="2" s="1"/>
  <c r="G163" i="2"/>
  <c r="H165" i="2" s="1"/>
  <c r="H166" i="2" s="1"/>
  <c r="H167" i="2" s="1"/>
  <c r="F154" i="2"/>
  <c r="G155" i="2"/>
  <c r="G154" i="2" s="1"/>
  <c r="H157" i="2"/>
  <c r="H158" i="2" s="1"/>
  <c r="H163" i="2"/>
  <c r="I165" i="2" s="1"/>
  <c r="I166" i="2" s="1"/>
  <c r="I167" i="2" s="1"/>
  <c r="G75" i="2"/>
  <c r="H75" i="2" s="1"/>
  <c r="G94" i="2"/>
  <c r="G95" i="2"/>
  <c r="F94" i="2"/>
  <c r="F95" i="2"/>
  <c r="H94" i="2"/>
  <c r="H95" i="2"/>
  <c r="E94" i="2"/>
  <c r="E95" i="2"/>
  <c r="I93" i="2"/>
  <c r="K303" i="6" l="1"/>
  <c r="K304" i="6" s="1"/>
  <c r="J304" i="6"/>
  <c r="J305" i="6" s="1"/>
  <c r="I189" i="2"/>
  <c r="H190" i="2"/>
  <c r="I376" i="3"/>
  <c r="I375" i="3" s="1"/>
  <c r="F350" i="3"/>
  <c r="F349" i="3" s="1"/>
  <c r="E336" i="3"/>
  <c r="E337" i="3" s="1"/>
  <c r="D322" i="3"/>
  <c r="E321" i="3"/>
  <c r="C297" i="3"/>
  <c r="K120" i="3"/>
  <c r="J121" i="3"/>
  <c r="G185" i="2"/>
  <c r="H187" i="2" s="1"/>
  <c r="H186" i="2" s="1"/>
  <c r="H185" i="2" s="1"/>
  <c r="G76" i="2"/>
  <c r="H155" i="2"/>
  <c r="H154" i="2" s="1"/>
  <c r="I157" i="2"/>
  <c r="I158" i="2" s="1"/>
  <c r="I163" i="2"/>
  <c r="J165" i="2" s="1"/>
  <c r="J166" i="2" s="1"/>
  <c r="I94" i="2"/>
  <c r="J103" i="2" s="1"/>
  <c r="I95" i="2"/>
  <c r="J104" i="2" s="1"/>
  <c r="H76" i="2"/>
  <c r="I75" i="2"/>
  <c r="I76" i="2" s="1"/>
  <c r="K305" i="6" l="1"/>
  <c r="H309" i="6" s="1"/>
  <c r="M305" i="6"/>
  <c r="J189" i="2"/>
  <c r="J190" i="2" s="1"/>
  <c r="I190" i="2"/>
  <c r="L189" i="2"/>
  <c r="L188" i="2" s="1"/>
  <c r="G351" i="3"/>
  <c r="G352" i="3"/>
  <c r="G350" i="3" s="1"/>
  <c r="G349" i="3" s="1"/>
  <c r="F336" i="3"/>
  <c r="F337" i="3" s="1"/>
  <c r="F321" i="3"/>
  <c r="E322" i="3"/>
  <c r="L120" i="3"/>
  <c r="K121" i="3"/>
  <c r="L166" i="2"/>
  <c r="J167" i="2"/>
  <c r="I187" i="2"/>
  <c r="I186" i="2" s="1"/>
  <c r="I185" i="2" s="1"/>
  <c r="J157" i="2"/>
  <c r="J158" i="2" s="1"/>
  <c r="I155" i="2"/>
  <c r="I154" i="2" s="1"/>
  <c r="J163" i="2"/>
  <c r="J87" i="2"/>
  <c r="H351" i="3" l="1"/>
  <c r="H352" i="3"/>
  <c r="G336" i="3"/>
  <c r="G337" i="3" s="1"/>
  <c r="G321" i="3"/>
  <c r="F322" i="3"/>
  <c r="M120" i="3"/>
  <c r="L121" i="3"/>
  <c r="J187" i="2"/>
  <c r="J186" i="2" s="1"/>
  <c r="J185" i="2" s="1"/>
  <c r="J155" i="2"/>
  <c r="J154" i="2" s="1"/>
  <c r="L157" i="2"/>
  <c r="H350" i="3" l="1"/>
  <c r="H349" i="3" s="1"/>
  <c r="H336" i="3"/>
  <c r="H337" i="3" s="1"/>
  <c r="H321" i="3"/>
  <c r="G322" i="3"/>
  <c r="M121" i="3"/>
  <c r="N120" i="3"/>
  <c r="I351" i="3" l="1"/>
  <c r="I352" i="3"/>
  <c r="I350" i="3" s="1"/>
  <c r="I349" i="3" s="1"/>
  <c r="I336" i="3"/>
  <c r="I337" i="3" s="1"/>
  <c r="I321" i="3"/>
  <c r="H322" i="3"/>
  <c r="N121" i="3"/>
  <c r="O120" i="3"/>
  <c r="J351" i="3" l="1"/>
  <c r="J352" i="3"/>
  <c r="J350" i="3" s="1"/>
  <c r="J349" i="3" s="1"/>
  <c r="J336" i="3"/>
  <c r="J337" i="3" s="1"/>
  <c r="J321" i="3"/>
  <c r="I322" i="3"/>
  <c r="O121" i="3"/>
  <c r="P120" i="3"/>
  <c r="K351" i="3" l="1"/>
  <c r="K352" i="3"/>
  <c r="K336" i="3"/>
  <c r="K337" i="3" s="1"/>
  <c r="K321" i="3"/>
  <c r="J322" i="3"/>
  <c r="Q120" i="3"/>
  <c r="P121" i="3"/>
  <c r="K350" i="3" l="1"/>
  <c r="K349" i="3" s="1"/>
  <c r="L336" i="3"/>
  <c r="L337" i="3" s="1"/>
  <c r="L321" i="3"/>
  <c r="K322" i="3"/>
  <c r="R120" i="3"/>
  <c r="R121" i="3" s="1"/>
  <c r="Q121" i="3"/>
  <c r="L351" i="3" l="1"/>
  <c r="L352" i="3"/>
  <c r="M336" i="3"/>
  <c r="M337" i="3" s="1"/>
  <c r="M321" i="3"/>
  <c r="L322" i="3"/>
  <c r="D122" i="3"/>
  <c r="L350" i="3" l="1"/>
  <c r="L349" i="3" s="1"/>
  <c r="N336" i="3"/>
  <c r="N337" i="3" s="1"/>
  <c r="N321" i="3"/>
  <c r="M322" i="3"/>
  <c r="M351" i="3" l="1"/>
  <c r="M352" i="3"/>
  <c r="O336" i="3"/>
  <c r="O337" i="3" s="1"/>
  <c r="B339" i="3" s="1"/>
  <c r="O321" i="3"/>
  <c r="O322" i="3" s="1"/>
  <c r="N322" i="3"/>
  <c r="M350" i="3" l="1"/>
  <c r="M349" i="3" s="1"/>
  <c r="B324" i="3"/>
  <c r="B325" i="3" s="1"/>
  <c r="N351" i="3" l="1"/>
  <c r="N352" i="3"/>
  <c r="N350" i="3" l="1"/>
  <c r="N349" i="3" s="1"/>
  <c r="O351" i="3" s="1"/>
  <c r="O352" i="3" l="1"/>
  <c r="O350" i="3" s="1"/>
  <c r="O349" i="3" s="1"/>
  <c r="P351" i="3" s="1"/>
  <c r="P352" i="3" l="1"/>
  <c r="P350" i="3" s="1"/>
  <c r="P349" i="3" s="1"/>
</calcChain>
</file>

<file path=xl/sharedStrings.xml><?xml version="1.0" encoding="utf-8"?>
<sst xmlns="http://schemas.openxmlformats.org/spreadsheetml/2006/main" count="1512" uniqueCount="1119">
  <si>
    <t>Сколько мы получим при начислении простых и сложных процентов?</t>
  </si>
  <si>
    <t>Для сложных процентов: 1000*(1+12%)^3 = 1 405 руб. 45 рублей разницы – это эффект капитализации за 3 года.</t>
  </si>
  <si>
    <t>Разница</t>
  </si>
  <si>
    <t>лет</t>
  </si>
  <si>
    <t>Прост %</t>
  </si>
  <si>
    <t>Сложн %</t>
  </si>
  <si>
    <t xml:space="preserve">Он планирует, что для оплаты учебы в университете, нужно будет иметь $100 тыс. </t>
  </si>
  <si>
    <t xml:space="preserve">Если текущая доходность банковского депозита равна 4% годовых, то сколько нужно положить в банк сейчас, </t>
  </si>
  <si>
    <t>чтобы через 16 лет получить нужную сумму?</t>
  </si>
  <si>
    <t xml:space="preserve"> если мы знаем заявленную временную стоимость (4% годовых): PV = 100 000 / (1+0.04)^16 = $53 391. </t>
  </si>
  <si>
    <t>Если мы положим эту сумму в банк под 4%, то через 16 лет там будет ровно требуемые $100 000.</t>
  </si>
  <si>
    <r>
      <rPr>
        <sz val="12"/>
        <color theme="1"/>
        <rFont val="Arial"/>
        <family val="2"/>
        <charset val="204"/>
      </rPr>
      <t>Задача 1.</t>
    </r>
    <r>
      <rPr>
        <sz val="12"/>
        <color theme="1"/>
        <rFont val="Calibri"/>
        <family val="2"/>
        <charset val="204"/>
      </rPr>
      <t xml:space="preserve"> Пусть мы вкладываем 1 000 рублей под 12% годовых на 3 года.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</si>
  <si>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</rPr>
      <t xml:space="preserve"> Для случая простых процентов: 1000*(1+3*12%) = 1 360 руб. 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</si>
  <si>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charset val="204"/>
      </rPr>
      <t xml:space="preserve"> Человек хочет иметь возможность через 16 лет оплатить образование своему ребенку.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</si>
  <si>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charset val="204"/>
      </rPr>
      <t>Мы знаем, что FV = $100 тыс. Наша задача – определить текущую стоимость этих денег,</t>
    </r>
  </si>
  <si>
    <t>%</t>
  </si>
  <si>
    <t>Кон\сумма</t>
  </si>
  <si>
    <t>вклад</t>
  </si>
  <si>
    <t>Вклад</t>
  </si>
  <si>
    <t>о какую сумму он может ожидать получить через 20 лет, если средняя доходность фондового рынка ожидается 7% годовых?</t>
  </si>
  <si>
    <r>
      <rPr>
        <sz val="12"/>
        <color theme="1"/>
        <rFont val="Arial"/>
        <family val="2"/>
        <charset val="204"/>
      </rPr>
      <t xml:space="preserve">Задача 3. </t>
    </r>
    <r>
      <rPr>
        <sz val="12"/>
        <color theme="1"/>
        <rFont val="Calibri"/>
        <family val="2"/>
        <charset val="204"/>
      </rPr>
      <t>Если инвестор получил наследство в размере $125 тыс и хочет вложить его в акции на фондовом рынке, т</t>
    </r>
  </si>
  <si>
    <t>FV = 125 000 * (1+0.07)^20 = $483 711.</t>
  </si>
  <si>
    <t>ср % год</t>
  </si>
  <si>
    <t>ожид +</t>
  </si>
  <si>
    <t>ПС</t>
  </si>
  <si>
    <t>Через ПС</t>
  </si>
  <si>
    <t>БС - будущая стоимость</t>
  </si>
  <si>
    <t>Через БС</t>
  </si>
  <si>
    <r>
      <t>а с периодичностью m раз за период, рассчитывается по формуле:</t>
    </r>
    <r>
      <rPr>
        <b/>
        <sz val="12"/>
        <color theme="1"/>
        <rFont val="Calibri"/>
        <family val="2"/>
        <charset val="204"/>
        <scheme val="minor"/>
      </rPr>
      <t xml:space="preserve"> FV = PV * (1 + i/m) ^ (n*m)</t>
    </r>
  </si>
  <si>
    <t>Если начисление процентов осуществляется ежемесячно, какова эффективная ставка по кредиту?</t>
  </si>
  <si>
    <t>FV = 1 * (1+0,15/12)^(12*1) = 1.1607 рубля. Применяя формулу эффективной ставки: эф.ставка = 1,1607/1 – 1 = 0,1607 = 16,07%.</t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</si>
  <si>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charset val="204"/>
        <scheme val="minor"/>
      </rPr>
      <t xml:space="preserve">Найдем сумму, которую мы должны будем вернуть через 1 год, если возьмем в долг 1 условный рубль (для удобства расчета):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</si>
  <si>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charset val="204"/>
      </rPr>
      <t xml:space="preserve">Нам нужно найти будущую стоимость по формуле сложных процентов: </t>
    </r>
  </si>
  <si>
    <r>
      <rPr>
        <sz val="12"/>
        <color theme="1"/>
        <rFont val="Arial"/>
        <family val="2"/>
        <charset val="204"/>
      </rPr>
      <t xml:space="preserve">Задача 4. </t>
    </r>
    <r>
      <rPr>
        <sz val="12"/>
        <color theme="1"/>
        <rFont val="Calibri"/>
        <family val="2"/>
        <charset val="204"/>
        <scheme val="minor"/>
      </rPr>
      <t xml:space="preserve">В кредитном договоре прописана ставка 15% годовых. </t>
    </r>
  </si>
  <si>
    <t>% год</t>
  </si>
  <si>
    <t>вернуть</t>
  </si>
  <si>
    <t>Начисления</t>
  </si>
  <si>
    <t>1раз/год</t>
  </si>
  <si>
    <t>1раз/месяц</t>
  </si>
  <si>
    <t>разной периодичности начисления процентов (ежегодно, раз в полгода, ежеквартально, ежемесячно и ежедневно):</t>
  </si>
  <si>
    <r>
      <rPr>
        <sz val="12"/>
        <color theme="1"/>
        <rFont val="Arial"/>
        <family val="2"/>
        <charset val="204"/>
      </rPr>
      <t xml:space="preserve">Пример: </t>
    </r>
    <r>
      <rPr>
        <sz val="12"/>
        <color theme="1"/>
        <rFont val="Calibri"/>
        <family val="2"/>
        <charset val="204"/>
        <scheme val="minor"/>
      </rPr>
      <t xml:space="preserve">рассмотрим, сколько денег будет на счету, если мы положим под </t>
    </r>
    <r>
      <rPr>
        <b/>
        <sz val="12"/>
        <color theme="1"/>
        <rFont val="Calibri"/>
        <family val="2"/>
        <charset val="204"/>
        <scheme val="minor"/>
      </rPr>
      <t>20% годовых</t>
    </r>
    <r>
      <rPr>
        <sz val="12"/>
        <color theme="1"/>
        <rFont val="Calibri"/>
        <family val="2"/>
        <charset val="204"/>
        <scheme val="minor"/>
      </rPr>
      <t xml:space="preserve"> сумму в 100 руб при условии </t>
    </r>
  </si>
  <si>
    <r>
      <rPr>
        <sz val="12"/>
        <color theme="1"/>
        <rFont val="Arial"/>
        <family val="2"/>
        <charset val="204"/>
      </rPr>
      <t xml:space="preserve">Наращение </t>
    </r>
    <r>
      <rPr>
        <sz val="12"/>
        <color theme="1"/>
        <rFont val="Calibri"/>
        <family val="2"/>
        <charset val="204"/>
        <scheme val="minor"/>
      </rPr>
      <t xml:space="preserve">(и, соответственно, дисконтирование) для начисления процентов по сложной ставке </t>
    </r>
    <r>
      <rPr>
        <b/>
        <i/>
        <sz val="12"/>
        <color theme="1"/>
        <rFont val="Calibri"/>
        <family val="2"/>
        <charset val="204"/>
        <scheme val="minor"/>
      </rPr>
      <t>i</t>
    </r>
    <r>
      <rPr>
        <sz val="12"/>
        <color theme="1"/>
        <rFont val="Calibri"/>
        <family val="2"/>
        <charset val="204"/>
        <scheme val="minor"/>
      </rPr>
      <t xml:space="preserve"> в течение </t>
    </r>
    <r>
      <rPr>
        <b/>
        <i/>
        <sz val="12"/>
        <color theme="1"/>
        <rFont val="Calibri"/>
        <family val="2"/>
        <charset val="204"/>
        <scheme val="minor"/>
      </rPr>
      <t>n</t>
    </r>
    <r>
      <rPr>
        <sz val="12"/>
        <color theme="1"/>
        <rFont val="Calibri"/>
        <family val="2"/>
        <charset val="204"/>
        <scheme val="minor"/>
      </rPr>
      <t xml:space="preserve"> периодов, но не 1 раз за период, </t>
    </r>
  </si>
  <si>
    <r>
      <rPr>
        <sz val="12"/>
        <color theme="1"/>
        <rFont val="Arial"/>
        <family val="2"/>
        <charset val="204"/>
      </rPr>
      <t>эффективная процентная ставка</t>
    </r>
    <r>
      <rPr>
        <sz val="12"/>
        <color theme="1"/>
        <rFont val="Calibri"/>
        <family val="2"/>
        <charset val="204"/>
        <scheme val="minor"/>
      </rPr>
      <t xml:space="preserve"> - та процентная ставка, которая дает тот же эффект с точки зрения итоговой денежной суммы,</t>
    </r>
  </si>
  <si>
    <r>
      <t xml:space="preserve">но </t>
    </r>
    <r>
      <rPr>
        <b/>
        <sz val="12"/>
        <color theme="1"/>
        <rFont val="Calibri"/>
        <family val="2"/>
        <charset val="204"/>
        <scheme val="minor"/>
      </rPr>
      <t>при</t>
    </r>
    <r>
      <rPr>
        <sz val="12"/>
        <color theme="1"/>
        <rFont val="Calibri"/>
        <family val="2"/>
        <charset val="204"/>
        <scheme val="minor"/>
      </rPr>
      <t xml:space="preserve"> условии </t>
    </r>
    <r>
      <rPr>
        <b/>
        <sz val="12"/>
        <color theme="1"/>
        <rFont val="Calibri"/>
        <family val="2"/>
        <charset val="204"/>
        <scheme val="minor"/>
      </rPr>
      <t xml:space="preserve">начисления 1 раз </t>
    </r>
    <r>
      <rPr>
        <sz val="12"/>
        <color theme="1"/>
        <rFont val="Calibri"/>
        <family val="2"/>
        <charset val="204"/>
        <scheme val="minor"/>
      </rPr>
      <t xml:space="preserve">в год: </t>
    </r>
    <r>
      <rPr>
        <b/>
        <sz val="12"/>
        <color theme="1"/>
        <rFont val="Calibri"/>
        <family val="2"/>
        <charset val="204"/>
        <scheme val="minor"/>
      </rPr>
      <t>FV = PV * (1 + эф.ставка)</t>
    </r>
  </si>
  <si>
    <t>ЭФФЕКТ</t>
  </si>
  <si>
    <t>ОПРЕДЕЛЕНИЕ СТАВКИ ДИСКОНТИРОВАНИЯ</t>
  </si>
  <si>
    <t>(1 + Rном) = (1 + Rреал) * (1 + I)</t>
  </si>
  <si>
    <r>
      <rPr>
        <b/>
        <sz val="12"/>
        <color theme="1"/>
        <rFont val="Calibri"/>
        <family val="2"/>
        <charset val="204"/>
        <scheme val="minor"/>
      </rPr>
      <t>номинальная процентная ставка</t>
    </r>
    <r>
      <rPr>
        <sz val="12"/>
        <color theme="1"/>
        <rFont val="Calibri"/>
        <family val="2"/>
        <charset val="204"/>
        <scheme val="minor"/>
      </rPr>
      <t xml:space="preserve"> - отражает реальные цены активов (включает в себя инфляцию</t>
    </r>
  </si>
  <si>
    <r>
      <rPr>
        <b/>
        <sz val="12"/>
        <color theme="1"/>
        <rFont val="Calibri"/>
        <family val="2"/>
        <charset val="204"/>
        <scheme val="minor"/>
      </rPr>
      <t>реальная процентная ставка</t>
    </r>
    <r>
      <rPr>
        <sz val="12"/>
        <color theme="1"/>
        <rFont val="Calibri"/>
        <family val="2"/>
        <charset val="204"/>
        <scheme val="minor"/>
      </rPr>
      <t xml:space="preserve"> - процентная ставка, очищенная от инфляции</t>
    </r>
  </si>
  <si>
    <r>
      <rPr>
        <b/>
        <sz val="12"/>
        <color theme="1"/>
        <rFont val="Calibri"/>
        <family val="2"/>
        <charset val="204"/>
        <scheme val="minor"/>
      </rPr>
      <t xml:space="preserve">риск </t>
    </r>
    <r>
      <rPr>
        <sz val="12"/>
        <color theme="1"/>
        <rFont val="Calibri"/>
        <family val="2"/>
        <charset val="204"/>
        <scheme val="minor"/>
      </rPr>
      <t xml:space="preserve">- измеримая возможность наступления неблагоприятных финансовых последствий </t>
    </r>
  </si>
  <si>
    <t>Финансовая математика</t>
  </si>
  <si>
    <t>1. Семинар</t>
  </si>
  <si>
    <t>Если стоимость денег равна 10% годовых, то сколько стоит такой договор? Сколько нужно заплатить в момент его заключения?</t>
  </si>
  <si>
    <t xml:space="preserve">Можно подойти к этой задаче двумя путями. Мы можем считать ренту ежемесячной, </t>
  </si>
  <si>
    <t xml:space="preserve">тогда А = 30000 руб., n = 20 * 12 месяцев, i = (10%/12) за месяц, </t>
  </si>
  <si>
    <t>Либо мы можем упрощенно пренебречь временной стоимостью денег внутри года, и анализировать как годовые платежи:</t>
  </si>
  <si>
    <t xml:space="preserve">Сумма получилась чуть меньше, поскольку мы не учли, что получение ежемесячных платежей чуть выгоднее, чем платежей 1 раз в год. </t>
  </si>
  <si>
    <r>
      <rPr>
        <b/>
        <sz val="12"/>
        <color theme="1"/>
        <rFont val="Calibri"/>
        <family val="2"/>
        <charset val="204"/>
        <scheme val="minor"/>
      </rPr>
      <t>Задача 1.</t>
    </r>
    <r>
      <rPr>
        <sz val="12"/>
        <color theme="1"/>
        <rFont val="Calibri"/>
        <family val="2"/>
        <charset val="204"/>
        <scheme val="minor"/>
      </rPr>
      <t xml:space="preserve"> Человек заключил договор ренты на 20 лет, с ежемесячным платежом 30 тыс.руб. Первый платеж ожидается через месяц. </t>
    </r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</si>
  <si>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Чтобы ответить на вопрос задачи, надо найти приведенную стоимость этого аннуитета (ренты). </t>
    </r>
  </si>
  <si>
    <r>
      <t xml:space="preserve">Задача 2. </t>
    </r>
    <r>
      <rPr>
        <sz val="12"/>
        <color theme="1"/>
        <rFont val="Calibri"/>
        <family val="2"/>
        <charset val="204"/>
        <scheme val="minor"/>
      </rPr>
      <t>Если рента в предыдущем примере будет бесконечной, то сколько нужно заплатить в момент заключения договора?</t>
    </r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</si>
  <si>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Воспользуемся формулой бесконечного аннуитета: PV = 30000 * 12 / 10% = 3 600 000 руб.</t>
    </r>
  </si>
  <si>
    <t>вашу инвестицию из расчета доходности 12% годовых. Какой размер платежа будет у этого аннуитета?</t>
  </si>
  <si>
    <t xml:space="preserve">A через остальные известные параметры: n = 10 лет, i = 12%, PV = 1 000 000 руб. Тогда A = 12% * 1 000 000 / (1-(1+12%)^(-10)) = 176 984 руб. </t>
  </si>
  <si>
    <r>
      <t>Задача 3.</t>
    </r>
    <r>
      <rPr>
        <sz val="12"/>
        <color theme="1"/>
        <rFont val="Calibri"/>
        <family val="2"/>
        <charset val="204"/>
        <scheme val="minor"/>
      </rPr>
      <t xml:space="preserve"> Вы инвестировали 1 000 000 рублей на следующих условиях: в течение 10 лет вам будут возвращать </t>
    </r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</si>
  <si>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Чтобы определить размер платежа, нужно из вышеприведенной формулы для аннуитета выразить </t>
    </r>
  </si>
  <si>
    <t>и банк при этом начисляет 6% годовых, то какая сумма получится на конец 6-го года?</t>
  </si>
  <si>
    <r>
      <t xml:space="preserve">Задача 4. </t>
    </r>
    <r>
      <rPr>
        <sz val="12"/>
        <color theme="1"/>
        <rFont val="Calibri"/>
        <family val="2"/>
        <charset val="204"/>
        <scheme val="minor"/>
      </rPr>
      <t xml:space="preserve">Если класть в банк по $1000 в течение 4 лет, начиная с текущего момента, </t>
    </r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</si>
  <si>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Воспользуемся формулой для аннуитета пренумерандо, чтобы найти будущую стоимость в конце 4-летнего аннуитета,</t>
    </r>
  </si>
  <si>
    <t>если первый платеж будет получен через 3 года, а стоимость денег равна 9%.</t>
  </si>
  <si>
    <r>
      <t xml:space="preserve">Задача 5. </t>
    </r>
    <r>
      <rPr>
        <sz val="12"/>
        <color theme="1"/>
        <rFont val="Calibri"/>
        <family val="2"/>
        <charset val="204"/>
        <scheme val="minor"/>
      </rPr>
      <t xml:space="preserve">Найти текущую стоимость четырех платежей по $100, </t>
    </r>
  </si>
  <si>
    <r>
      <rPr>
        <b/>
        <sz val="12"/>
        <color theme="1"/>
        <rFont val="Calibri"/>
        <family val="2"/>
        <charset val="204"/>
        <scheme val="minor"/>
      </rPr>
      <t>Решение</t>
    </r>
    <r>
      <rPr>
        <sz val="12"/>
        <color theme="1"/>
        <rFont val="Calibri"/>
        <family val="2"/>
        <charset val="204"/>
        <scheme val="minor"/>
      </rPr>
      <t xml:space="preserve">. Воспользуемся формулой для приведенной стоимости аннуитета постнумерандо для 4-летнего аннуитета, </t>
    </r>
  </si>
  <si>
    <t>Пусть стоимость денег для держателя облигации равна 8% годовых. Какова справедливая цена облигации?</t>
  </si>
  <si>
    <t>Видно, что облигация каждый год платит процент (купон) в размере 7% (ставка купона) * €1 000 (номинал облигации) = €70,</t>
  </si>
  <si>
    <t xml:space="preserve"> а в конце возвращает помимо последнего купона еще и весь номинал, €1 000. </t>
  </si>
  <si>
    <t xml:space="preserve">Продисконтируем каждый из платежей по облигации под 8% годовых: </t>
  </si>
  <si>
    <t xml:space="preserve">PV = 70/(1+8%)^1 + 70/(1+8%)^2 + 70/(1+8%)^3 + 70/(1+8%)^4 + 1070/(1+8%)^5 = €960. </t>
  </si>
  <si>
    <t>Это и есть справедливая цена облигации.</t>
  </si>
  <si>
    <r>
      <t>Задача 6.</t>
    </r>
    <r>
      <rPr>
        <sz val="12"/>
        <color rgb="FF000000"/>
        <rFont val="Calibri"/>
        <family val="2"/>
        <charset val="204"/>
        <scheme val="minor"/>
      </rPr>
      <t xml:space="preserve"> Есть 5-ти летняя облигация, номиналом €1000 и с купоном 7%, уплачиваемым 1 раз в год. </t>
    </r>
  </si>
  <si>
    <r>
      <rPr>
        <b/>
        <sz val="12"/>
        <color rgb="FF000000"/>
        <rFont val="Calibri"/>
        <family val="2"/>
        <charset val="204"/>
        <scheme val="minor"/>
      </rPr>
      <t>Решение.</t>
    </r>
    <r>
      <rPr>
        <sz val="12"/>
        <color rgb="FF000000"/>
        <rFont val="Calibri"/>
        <family val="2"/>
        <charset val="204"/>
        <scheme val="minor"/>
      </rPr>
      <t xml:space="preserve"> Визуально можно представить денежный поток по облигации следующим образом:</t>
    </r>
  </si>
  <si>
    <t>Текущая цена равна €900. Какова доходность этой облигации?</t>
  </si>
  <si>
    <t xml:space="preserve">€900 = 70/(1+х)^1 + 70/(1+х)^2 + 70/(1+х)^3 + 70/(1+х)^4 + 1070/(1+х)^5, </t>
  </si>
  <si>
    <t xml:space="preserve">где х – неизвестная доходность. С помощью Eхcel можно подобрать эту величину: х ≈ 9,61% годовых. </t>
  </si>
  <si>
    <r>
      <t xml:space="preserve">Задача 7. </t>
    </r>
    <r>
      <rPr>
        <sz val="12"/>
        <color theme="1"/>
        <rFont val="Calibri"/>
        <family val="2"/>
        <charset val="204"/>
        <scheme val="minor"/>
      </rPr>
      <t>Есть 5-ти летняя облигация, номиналом €1000 и купоном 7%, уплачиваемым 1 раз в год.</t>
    </r>
  </si>
  <si>
    <t>если требуемая доходность для инвестора составляет 12% годовых?</t>
  </si>
  <si>
    <t xml:space="preserve">то единственный денежный поток будет в 3 году, в размере номинала. Соответственно, </t>
  </si>
  <si>
    <t>уплачиваемым 2 раза в год. Текущая цена равна €900. Какова доходность этой облигации?</t>
  </si>
  <si>
    <t>Год</t>
  </si>
  <si>
    <t>Платеж</t>
  </si>
  <si>
    <t>Воспользуемся Excel для поиска решения: ставка = 9,56%</t>
  </si>
  <si>
    <r>
      <t>Задача 8.</t>
    </r>
    <r>
      <rPr>
        <sz val="12"/>
        <color theme="1"/>
        <rFont val="Calibri"/>
        <family val="2"/>
        <charset val="204"/>
        <scheme val="minor"/>
      </rPr>
      <t xml:space="preserve"> Какова справедливая цена 3-летней бескупонной облигации с номиналом €1000, </t>
    </r>
  </si>
  <si>
    <r>
      <t>Задача 9.</t>
    </r>
    <r>
      <rPr>
        <sz val="12"/>
        <color theme="1"/>
        <rFont val="Calibri"/>
        <family val="2"/>
        <charset val="204"/>
        <scheme val="minor"/>
      </rPr>
      <t xml:space="preserve"> Есть 5-ти летняя облигация, номиналом €1000 и годовым купоном 7%, </t>
    </r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</si>
  <si>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Поскольку по бескупонной облигации не выплачиваются купоны, </t>
    </r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</si>
  <si>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Составим уравнение вида «цена облигации = PV денежных потоков по ней»: </t>
    </r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</si>
  <si>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Здесь нужно понять, что при начислении процентов 2 раза в год величина каждого платежа будет в 2 раза меньше, </t>
    </r>
  </si>
  <si>
    <t>Сделаем график платежей по кредиту с выделением процентов и основной суммы долга в двух вариантах:</t>
  </si>
  <si>
    <t xml:space="preserve">уплачиваемых процентах и погашении основного долга в каждом периоде. </t>
  </si>
  <si>
    <t>Проведем этот расчет в Excel и получим следующие результаты. Для первого варианта:</t>
  </si>
  <si>
    <t xml:space="preserve">Год </t>
  </si>
  <si>
    <t>Баланс долга</t>
  </si>
  <si>
    <t>Погашение ОД</t>
  </si>
  <si>
    <t>Погашение процентов</t>
  </si>
  <si>
    <t>Итоговый платеж</t>
  </si>
  <si>
    <t>1.    если платежи аннуитетные</t>
  </si>
  <si>
    <t>2.    если основной долг гасится равномерными годовыми платежами, начиная со 2-го года</t>
  </si>
  <si>
    <r>
      <t xml:space="preserve">Задача 10. </t>
    </r>
    <r>
      <rPr>
        <sz val="12"/>
        <color theme="1"/>
        <rFont val="Calibri"/>
        <family val="2"/>
        <charset val="204"/>
        <scheme val="minor"/>
      </rPr>
      <t xml:space="preserve">Банк выдает заемщику кредит в размере 3 млн.руб. на 6 лет под 14% годовых. </t>
    </r>
  </si>
  <si>
    <t xml:space="preserve">На основе этих графиков можно сделать вывод о разной динамике погашения долга </t>
  </si>
  <si>
    <t>и разной финансовой нагрузке на заемщика в отдельные периоды времени.</t>
  </si>
  <si>
    <t>Сделать график платежей по лизингу с выделением процентов и основной суммы долга, если график платежей аннуитетный.</t>
  </si>
  <si>
    <t xml:space="preserve">стоимостью 3 млн.руб. на 6 лет под 14% годовых. Выкупная стоимость имущества в конце срока лизинга составляет 1 млн.руб. </t>
  </si>
  <si>
    <r>
      <t xml:space="preserve">Задача 11. </t>
    </r>
    <r>
      <rPr>
        <sz val="12"/>
        <color theme="1"/>
        <rFont val="Calibri"/>
        <family val="2"/>
        <charset val="204"/>
        <scheme val="minor"/>
      </rPr>
      <t xml:space="preserve">Лизинговая компания заключает договор финансового лизинга на имущество </t>
    </r>
  </si>
  <si>
    <t>Баланс</t>
  </si>
  <si>
    <t>Выкупная сумма</t>
  </si>
  <si>
    <t>Тогда можно построить график, аналогично тому, как мы делали с кредитом:</t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</si>
  <si>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С помощью Excel рассчитаем аннуитетный платеж, проценты и погашение основной суммы долга:</t>
    </r>
  </si>
  <si>
    <t>ежемес/плат</t>
  </si>
  <si>
    <t>разм/еж/плат</t>
  </si>
  <si>
    <t>ставка/дисконт</t>
  </si>
  <si>
    <t>вар 1</t>
  </si>
  <si>
    <t>вар 2</t>
  </si>
  <si>
    <t>стоим/ануитета</t>
  </si>
  <si>
    <t>кол/период</t>
  </si>
  <si>
    <t>учёт помесяц. платежей</t>
  </si>
  <si>
    <t>с ПС</t>
  </si>
  <si>
    <r>
      <t xml:space="preserve">и приведенная стоимость будет равна </t>
    </r>
    <r>
      <rPr>
        <b/>
        <sz val="12"/>
        <color theme="1"/>
        <rFont val="Calibri"/>
        <family val="2"/>
        <charset val="204"/>
        <scheme val="minor"/>
      </rPr>
      <t>PV = (30000) * (1-(1+10%/12)^(-20*12))/(10%/12) = 3 108 739</t>
    </r>
    <r>
      <rPr>
        <sz val="12"/>
        <color theme="1"/>
        <rFont val="Calibri"/>
        <family val="2"/>
        <charset val="204"/>
        <scheme val="minor"/>
      </rPr>
      <t xml:space="preserve"> руб. </t>
    </r>
  </si>
  <si>
    <r>
      <t xml:space="preserve"> А = 30 000 * 12 руб., n = 20 лет, i = 10% годовых, тогда </t>
    </r>
    <r>
      <rPr>
        <b/>
        <sz val="12"/>
        <color theme="1"/>
        <rFont val="Calibri"/>
        <family val="2"/>
        <charset val="204"/>
        <scheme val="minor"/>
      </rPr>
      <t>PV = (30000 *12) * (1-(1+10%)^(-20))/(10%) = 3 064 883</t>
    </r>
    <r>
      <rPr>
        <sz val="12"/>
        <color theme="1"/>
        <rFont val="Calibri"/>
        <family val="2"/>
        <charset val="204"/>
        <scheme val="minor"/>
      </rPr>
      <t xml:space="preserve"> руб. </t>
    </r>
  </si>
  <si>
    <t>Стоимость бесконечного договора</t>
  </si>
  <si>
    <t>разница</t>
  </si>
  <si>
    <t>инвестиции</t>
  </si>
  <si>
    <t>доход/год</t>
  </si>
  <si>
    <t>ПЛТ</t>
  </si>
  <si>
    <t>ставка</t>
  </si>
  <si>
    <t>с ПЛТ</t>
  </si>
  <si>
    <t>Размер/плат ануитета</t>
  </si>
  <si>
    <t>кол-во/лет</t>
  </si>
  <si>
    <t>Сумма</t>
  </si>
  <si>
    <t>PV</t>
  </si>
  <si>
    <t>платёж</t>
  </si>
  <si>
    <t>через        кол-во/лет</t>
  </si>
  <si>
    <t>стоим/денег %</t>
  </si>
  <si>
    <t>Сумма в конце ( )/года</t>
  </si>
  <si>
    <r>
      <t xml:space="preserve">начинающегося в конце 2 года: </t>
    </r>
    <r>
      <rPr>
        <b/>
        <sz val="12"/>
        <color theme="1"/>
        <rFont val="Calibri"/>
        <family val="2"/>
        <charset val="204"/>
        <scheme val="minor"/>
      </rPr>
      <t>PV2 = 100*(1-(1+9%)^(-4))/9% = $324.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</si>
  <si>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Чтобы определить текущую стоимость (то есть в момент времени 0), нужно продисконтировать на 2 года: </t>
    </r>
    <r>
      <rPr>
        <b/>
        <sz val="12"/>
        <color theme="1"/>
        <rFont val="Calibri"/>
        <family val="2"/>
        <charset val="204"/>
        <scheme val="minor"/>
      </rPr>
      <t>PV0 = PV2 / (1+9%)^2 = $273</t>
    </r>
  </si>
  <si>
    <r>
      <t xml:space="preserve"> то есть в конце 4 года: </t>
    </r>
    <r>
      <rPr>
        <b/>
        <sz val="12"/>
        <color theme="1"/>
        <rFont val="Calibri"/>
        <family val="2"/>
        <charset val="204"/>
        <scheme val="minor"/>
      </rPr>
      <t>FV­­­4 = $1 000 * ((1+6%)^4-1)/6% * (1+6%) = $4 637.</t>
    </r>
    <r>
      <rPr>
        <sz val="12"/>
        <color theme="1"/>
        <rFont val="Calibri"/>
        <family val="2"/>
        <charset val="204"/>
        <scheme val="minor"/>
      </rPr>
      <t xml:space="preserve"> А чтобы теперь узнать стоимость </t>
    </r>
  </si>
  <si>
    <r>
      <t xml:space="preserve">на конец 6 года, нужно воспользоваться классической формулой наращения: </t>
    </r>
    <r>
      <rPr>
        <b/>
        <sz val="12"/>
        <color theme="1"/>
        <rFont val="Calibri"/>
        <family val="2"/>
        <charset val="204"/>
        <scheme val="minor"/>
      </rPr>
      <t>FV­­­6­ = FV­­­4­­ * (1+6%)^2 = $5 210.</t>
    </r>
  </si>
  <si>
    <r>
      <t xml:space="preserve">цена облигации  </t>
    </r>
    <r>
      <rPr>
        <b/>
        <sz val="12"/>
        <color theme="1"/>
        <rFont val="Calibri"/>
        <family val="2"/>
        <charset val="204"/>
        <scheme val="minor"/>
      </rPr>
      <t>PV = €1 000 / (1+12%)^3 = €712</t>
    </r>
  </si>
  <si>
    <r>
      <t>то есть 7</t>
    </r>
    <r>
      <rPr>
        <b/>
        <sz val="12"/>
        <color theme="1"/>
        <rFont val="Calibri"/>
        <family val="2"/>
        <charset val="204"/>
        <scheme val="minor"/>
      </rPr>
      <t>%/2 * €1000 = €35.</t>
    </r>
    <r>
      <rPr>
        <sz val="12"/>
        <color theme="1"/>
        <rFont val="Calibri"/>
        <family val="2"/>
        <charset val="204"/>
        <scheme val="minor"/>
      </rPr>
      <t xml:space="preserve"> В виде таблицы это будет выглядеть так:</t>
    </r>
  </si>
  <si>
    <t xml:space="preserve">PV2 </t>
  </si>
  <si>
    <t>PV0</t>
  </si>
  <si>
    <t>Денежные потоки и аннуитеты</t>
  </si>
  <si>
    <t>номинал</t>
  </si>
  <si>
    <t>%/год</t>
  </si>
  <si>
    <t>разм.купона</t>
  </si>
  <si>
    <t>справедл. стоим.</t>
  </si>
  <si>
    <t xml:space="preserve"> % от купона</t>
  </si>
  <si>
    <t>???</t>
  </si>
  <si>
    <t>СУММ</t>
  </si>
  <si>
    <t>текущ. цена</t>
  </si>
  <si>
    <t>СТАВКА</t>
  </si>
  <si>
    <t>кол-во/период</t>
  </si>
  <si>
    <t>привед/стоим</t>
  </si>
  <si>
    <t>будущ/стоим</t>
  </si>
  <si>
    <t>разм./плат.</t>
  </si>
  <si>
    <t>1 данные</t>
  </si>
  <si>
    <t>3 подбор параметра</t>
  </si>
  <si>
    <t>2 анализ что если</t>
  </si>
  <si>
    <t xml:space="preserve"> % облигации</t>
  </si>
  <si>
    <t>треб./доход.</t>
  </si>
  <si>
    <r>
      <t xml:space="preserve">с </t>
    </r>
    <r>
      <rPr>
        <b/>
        <sz val="9"/>
        <color theme="1"/>
        <rFont val="Calibri"/>
        <family val="2"/>
        <charset val="204"/>
        <scheme val="minor"/>
      </rPr>
      <t>ПЛТ</t>
    </r>
  </si>
  <si>
    <t xml:space="preserve"> 1 годовой платёж</t>
  </si>
  <si>
    <t>с учётом помесячн. платежей</t>
  </si>
  <si>
    <t>Стоимость договора с огранич. периодом</t>
  </si>
  <si>
    <t>огранич.</t>
  </si>
  <si>
    <t>бесконечн.</t>
  </si>
  <si>
    <t xml:space="preserve"> </t>
  </si>
  <si>
    <t>платежей/год</t>
  </si>
  <si>
    <t>годовой купон</t>
  </si>
  <si>
    <t>период</t>
  </si>
  <si>
    <t>доход облигации</t>
  </si>
  <si>
    <t>Облигационные расчёты</t>
  </si>
  <si>
    <t>Доходность облигации</t>
  </si>
  <si>
    <t>РАСЧЕТЫ ПО КРЕДИТАМ</t>
  </si>
  <si>
    <r>
      <t xml:space="preserve">Решение. Для составления графика погашения нам нужно иметь данные о балансе кредита </t>
    </r>
    <r>
      <rPr>
        <b/>
        <sz val="12"/>
        <color theme="1"/>
        <rFont val="Calibri"/>
        <family val="2"/>
        <charset val="204"/>
        <scheme val="minor"/>
      </rPr>
      <t>(остатка долга - ОД</t>
    </r>
    <r>
      <rPr>
        <sz val="12"/>
        <color theme="1"/>
        <rFont val="Calibri"/>
        <family val="2"/>
        <charset val="204"/>
        <scheme val="minor"/>
      </rPr>
      <t xml:space="preserve">), </t>
    </r>
  </si>
  <si>
    <t>кредит</t>
  </si>
  <si>
    <t>%/годовых</t>
  </si>
  <si>
    <t>РАСЧЕТЫ ПО ЛИЗИНГУ</t>
  </si>
  <si>
    <t>выкупная сумма</t>
  </si>
  <si>
    <t>Блок 1. Простые и сложные проценты</t>
  </si>
  <si>
    <t xml:space="preserve">либо под 15% годовых по схеме сложных процентов (с капитализацией), либо под 20% годовых по схеме простых процентов. </t>
  </si>
  <si>
    <t>Какой вариант выгоднее для заемщика?</t>
  </si>
  <si>
    <t xml:space="preserve">Простые проценты: 1 000 000 * (1+0,20*3) = 1 600 000 руб. Схема с простыми процентами выгоднее для клиента. </t>
  </si>
  <si>
    <t>что для этого нужно будет иметь €350 тыс. Если текущая доходность банковского депозита в Европе равна 3% годовых,</t>
  </si>
  <si>
    <t xml:space="preserve"> то сколько нужно положить в банк сейчас, чтобы через 25 лет получить нужную сумму?</t>
  </si>
  <si>
    <t xml:space="preserve"> Какую процентную ставку предлагает банк, если подразумевается начисление процентов раз в год по сложной ставке? </t>
  </si>
  <si>
    <t xml:space="preserve"> и возвратом кредита и всех накопленных процентов в конце срока. Определить величину переплаты по кредиту по сравнению с изначальной суммой. </t>
  </si>
  <si>
    <t xml:space="preserve">Переплата = 194 940 – 150 000 = 44 940 руб, т.е. почти 30% от первоначальной суммы кредита. </t>
  </si>
  <si>
    <t xml:space="preserve">и возвратом кредита и всех накопленных процентов в конце срока. Определить величину переплаты по кредиту по сравнению с изначальной суммой. </t>
  </si>
  <si>
    <t xml:space="preserve"> Переплата = 198 148 – 150 000 = 48 148 руб, т.е. более 32% от первоначальной суммы кредита.</t>
  </si>
  <si>
    <t>Через 7 лет на счету у него оказалось 30 млн.руб. Какую сумму положил в банк вкладчик?</t>
  </si>
  <si>
    <t xml:space="preserve"> Какую сумму он может ожидать получить через 15 лет, если средняя доходность, которую ему обещает трейдер, составит 12% годовых?</t>
  </si>
  <si>
    <t>Блок 2. Эффективная ставка. Учет инфляции в расходах</t>
  </si>
  <si>
    <t>Какая эффективная ставка по этому кредиту?</t>
  </si>
  <si>
    <t>То есть FV/PV = 6.17 =&gt; эффективная ставка = FV/PV – 1 = 5.17 = 517% годовых.</t>
  </si>
  <si>
    <t>Если инфляция в стране за этот период составила 7%, какая реальная доходность его инвестиций?</t>
  </si>
  <si>
    <t>Реальная доходность – это доходность, учитывающая инфляцию.</t>
  </si>
  <si>
    <t>Нужно учесть итоговый прирост портфеля инвестора и разделить его на инфляцию.</t>
  </si>
  <si>
    <t xml:space="preserve"> то какова эффективная ставка?</t>
  </si>
  <si>
    <t xml:space="preserve">Номинальная ставка — это ставка, по которой рассчитывается ежемесячное вознаграждение. </t>
  </si>
  <si>
    <t xml:space="preserve">Эффективная ставка — это номинальная ставка + сумма капитализации, которая получается за счет начисления вознаграждения не только на сумму вашего вклада, </t>
  </si>
  <si>
    <t>но и на проценты, которые были начислены банком.1</t>
  </si>
  <si>
    <t>в то время как реальная – только 8,5%. Какая инфляция была заложена в расчеты?</t>
  </si>
  <si>
    <t>I = (1+12%)/(1+8,5%) – 1 = 3,2%</t>
  </si>
  <si>
    <t>Блок 3. Аннуитеты</t>
  </si>
  <si>
    <t>250 тыс. руб./год в течение 15 лет. Если стоимость денег равна 10% годовых, то сколько будет стоить такой пенсионный контракт сейчас?</t>
  </si>
  <si>
    <t>250/1.1+250/1.1^2…</t>
  </si>
  <si>
    <t>Сколько получим в реальных деньгах на сегодня?</t>
  </si>
  <si>
    <t>а банк при этом начисляет 8% годовых, то какая сумма получится на депозите через 20 лет?</t>
  </si>
  <si>
    <t>=A3*1,1+100 второй год, протянуть</t>
  </si>
  <si>
    <t xml:space="preserve"> Эта сумма будет лежать еще 10 лет и тем самым там будет накоплено БС(8%/12;10*12;0;-18295) = $40 608. Будущая стоимость.</t>
  </si>
  <si>
    <t>18295*(1+0,08/12)^(12*10)=40608,318</t>
  </si>
  <si>
    <t>В момент заключения он заплатил 7 млн руб. Оплата ренты будет проходить в виде ежемесячных аннуитетных платежей. Какой будет размер этого платежа?</t>
  </si>
  <si>
    <t>то каков размер ежемесячного платежа?</t>
  </si>
  <si>
    <t>Блок 4. Расчеты по облигациям</t>
  </si>
  <si>
    <t>Текущая цена равна $900. Какова доходность этой облигации?</t>
  </si>
  <si>
    <t>Пусть стоимость денег для держателя облигации равна 10% годовых. Какова справедливая цена облигации?</t>
  </si>
  <si>
    <t>Рыночная цена облигации равна 950 руб. Какова доходность облигации (т.е. стоимость денег)?</t>
  </si>
  <si>
    <t>Блок 5. Построение графиков погашения по кредиту и лизингу</t>
  </si>
  <si>
    <t xml:space="preserve">Сделать график платежей по кредиту с выделением процентов и основной суммы долга, если известно, </t>
  </si>
  <si>
    <t>что погашение будет проводиться аннуитетными платежами на всем сроке кредита.</t>
  </si>
  <si>
    <t>млн руб.</t>
  </si>
  <si>
    <t>млн.руб.</t>
  </si>
  <si>
    <t>с ежемесячными аннуитетными платежами. Определить размер совокупной переплаты для заемщика.</t>
  </si>
  <si>
    <t xml:space="preserve">Таким образом, за 2 года всего будет уплачено: 49*12*2 = 1 176 тыс.руб. А общий размер долга = 1 000 тыс.руб., </t>
  </si>
  <si>
    <t>то есть совокупная итоговая переплата на сроке кредита составит 1176-1000 = 176 тыс.руб.</t>
  </si>
  <si>
    <t>0,16/12*(1+0,16/12)^(2*12)/((1+0,16/12)^(2*12)-1)*1000000*12*2-1000000=176000</t>
  </si>
  <si>
    <t xml:space="preserve">Выкупная стоимость предмета лизинга 1 млн руб. Сделать график платежей по лизингу с выделением процентов и основной суммы долга, </t>
  </si>
  <si>
    <t>если известно, что погашение будет проводиться аннуитетными ежегодными платежами на всем сроке.</t>
  </si>
  <si>
    <t>10% годовых на 4 года с ежеквартальным погашением, либо лизинг под 11% годовых на 3 года</t>
  </si>
  <si>
    <t xml:space="preserve"> с ежемесячным аннуитетным погашением и выкупной суммой 500 тыс.руб</t>
  </si>
  <si>
    <t>Определить, какой вариант выгодней с точки зрения переплаты.</t>
  </si>
  <si>
    <t>В случае лизинга размер платежа будет равен: ПЛТ(11%/12;3*12;-3000;500) = 86,43 тыс.руб./месяц,</t>
  </si>
  <si>
    <t xml:space="preserve"> всего будет заплачено  86,43 * 3 года * 12 месяцев = 3 111,5 тыс.руб. регулярными платежами, а также выкупная сумма 500 тыс.руб.,</t>
  </si>
  <si>
    <t xml:space="preserve"> то есть всего 3 611,5 тыс. руб. =&gt; переплата 611,5 тыс.руб. Второй вариант выгоднее, поскольку переплата меньше.</t>
  </si>
  <si>
    <r>
      <t>Решение.</t>
    </r>
    <r>
      <rPr>
        <i/>
        <sz val="12"/>
        <color rgb="FF000000"/>
        <rFont val="Calibri"/>
        <family val="2"/>
        <charset val="204"/>
        <scheme val="minor"/>
      </rPr>
      <t xml:space="preserve"> У нас есть уравнение FV = 4,5 = 3,0 * (1+х)^6, решаем его, чтобы найти ставку х: x = (4.5/3.0)^(1/6) – 1 = 7.0%</t>
    </r>
  </si>
  <si>
    <r>
      <rPr>
        <sz val="12"/>
        <color rgb="FF000000"/>
        <rFont val="Arial"/>
        <family val="2"/>
        <charset val="204"/>
      </rPr>
      <t xml:space="preserve">Задача 3. </t>
    </r>
    <r>
      <rPr>
        <sz val="12"/>
        <color rgb="FF000000"/>
        <rFont val="Calibri"/>
        <family val="2"/>
        <charset val="204"/>
        <scheme val="minor"/>
      </rPr>
      <t>Если в договоре банковского депозита предусмотрено ежеквартальное начисление процентов по номинальной ставке 10% годовых,</t>
    </r>
  </si>
  <si>
    <r>
      <rPr>
        <sz val="12"/>
        <color rgb="FF000000"/>
        <rFont val="Arial"/>
        <family val="2"/>
        <charset val="204"/>
      </rPr>
      <t>Решение.</t>
    </r>
    <r>
      <rPr>
        <sz val="12"/>
        <color rgb="FF000000"/>
        <rFont val="Calibri"/>
        <family val="2"/>
        <charset val="204"/>
        <scheme val="minor"/>
      </rPr>
      <t xml:space="preserve"> (1+10%/4)^4 – 1 = 10,38%</t>
    </r>
  </si>
  <si>
    <r>
      <rPr>
        <sz val="12"/>
        <color rgb="FF000000"/>
        <rFont val="Arial"/>
        <family val="2"/>
        <charset val="204"/>
      </rPr>
      <t xml:space="preserve">Задача 4. </t>
    </r>
    <r>
      <rPr>
        <i/>
        <sz val="12"/>
        <color rgb="FF000000"/>
        <rFont val="Calibri"/>
        <family val="2"/>
        <charset val="204"/>
        <scheme val="minor"/>
      </rPr>
      <t xml:space="preserve">Инвестиционный фонд сообщил своим участникам, что номинальная доходность инвестиций составила 12% за год, </t>
    </r>
  </si>
  <si>
    <r>
      <rPr>
        <sz val="12"/>
        <color rgb="FF000000"/>
        <rFont val="Arial"/>
        <family val="2"/>
        <charset val="204"/>
      </rPr>
      <t>Решение.</t>
    </r>
    <r>
      <rPr>
        <b/>
        <sz val="12"/>
        <color rgb="FF000000"/>
        <rFont val="Arial"/>
        <family val="2"/>
        <charset val="204"/>
      </rPr>
      <t xml:space="preserve"> </t>
    </r>
    <r>
      <rPr>
        <i/>
        <sz val="12"/>
        <color rgb="FF000000"/>
        <rFont val="Calibri"/>
        <family val="2"/>
        <charset val="204"/>
        <scheme val="minor"/>
      </rPr>
      <t>(1+12%)/(1+x) – 1 = 8.5%</t>
    </r>
  </si>
  <si>
    <r>
      <rPr>
        <sz val="12"/>
        <color rgb="FF000000"/>
        <rFont val="Arial"/>
        <family val="2"/>
        <charset val="204"/>
      </rPr>
      <t>Решение.</t>
    </r>
    <r>
      <rPr>
        <sz val="12"/>
        <color rgb="FF000000"/>
        <rFont val="Calibri"/>
        <family val="2"/>
        <charset val="204"/>
        <scheme val="minor"/>
      </rPr>
      <t xml:space="preserve"> Rреал = (1+18%)/(1+7%) – 1 = 10,3%</t>
    </r>
  </si>
  <si>
    <r>
      <rPr>
        <sz val="12"/>
        <color rgb="FF000000"/>
        <rFont val="Arial"/>
        <family val="2"/>
        <charset val="204"/>
      </rPr>
      <t>Задача 2.</t>
    </r>
    <r>
      <rPr>
        <sz val="12"/>
        <color rgb="FF000000"/>
        <rFont val="Calibri"/>
        <family val="2"/>
        <charset val="204"/>
        <scheme val="minor"/>
      </rPr>
      <t xml:space="preserve"> Инвестор подвел итоги года и рассчитал, что за год его инвестиции принесли доходность 18%. </t>
    </r>
  </si>
  <si>
    <t xml:space="preserve">Решение. На горизонте года 1 рубль долга превратится в  1*(1+0,005)^365 = 6.17 руб. </t>
  </si>
  <si>
    <r>
      <rPr>
        <sz val="12"/>
        <color rgb="FF000000"/>
        <rFont val="Arial"/>
        <family val="2"/>
        <charset val="204"/>
      </rPr>
      <t>Задача 1.</t>
    </r>
    <r>
      <rPr>
        <sz val="12"/>
        <color rgb="FF000000"/>
        <rFont val="Calibri"/>
        <family val="2"/>
        <charset val="204"/>
        <scheme val="minor"/>
      </rPr>
      <t xml:space="preserve"> Микрофинансовая организация начисляет 0.5% за каждый день пользования кредитом (исходя из 365 дней в году). 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</si>
  <si>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 xml:space="preserve">Нам нужно найти будущую стоимость по формуле сложных процентов: FV = 2,5 * (1+0.12)^15 = 13,7 млн руб. </t>
    </r>
  </si>
  <si>
    <r>
      <rPr>
        <sz val="12"/>
        <color rgb="FF000000"/>
        <rFont val="Arial"/>
        <family val="2"/>
        <charset val="204"/>
      </rPr>
      <t>Задача 8.</t>
    </r>
    <r>
      <rPr>
        <sz val="12"/>
        <color rgb="FF000000"/>
        <rFont val="Calibri"/>
        <family val="2"/>
        <charset val="204"/>
        <scheme val="minor"/>
      </rPr>
      <t xml:space="preserve"> Менеджер получил годовой бонус в размере 2,5 млн руб. и хочет отдать его в управление профессиональному трейдеру на фондовом рынке.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</si>
  <si>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FV/PV = 2 = (1+x)^5 =&gt; x = 2^(1/5)-1 = 14.9%</t>
    </r>
  </si>
  <si>
    <r>
      <rPr>
        <sz val="12"/>
        <color rgb="FF000000"/>
        <rFont val="Arial"/>
        <family val="2"/>
        <charset val="204"/>
      </rPr>
      <t>Задача 7.</t>
    </r>
    <r>
      <rPr>
        <sz val="12"/>
        <color rgb="FF000000"/>
        <rFont val="Calibri"/>
        <family val="2"/>
        <charset val="204"/>
        <scheme val="minor"/>
      </rPr>
      <t xml:space="preserve"> Какая доходность должна быть у инвестиций, чтобы они позволили инвестору увеличить свои вложения в 2 раза на горизонте 5 лет?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</si>
  <si>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PV = 30 / (1+0,12/4)^(7*4) = 13.1 млн.руб</t>
    </r>
  </si>
  <si>
    <r>
      <rPr>
        <sz val="12"/>
        <color rgb="FF000000"/>
        <rFont val="Arial"/>
        <family val="2"/>
        <charset val="204"/>
      </rPr>
      <t xml:space="preserve">Задача 6. </t>
    </r>
    <r>
      <rPr>
        <sz val="12"/>
        <color rgb="FF000000"/>
        <rFont val="Calibri"/>
        <family val="2"/>
        <charset val="204"/>
        <scheme val="minor"/>
      </rPr>
      <t xml:space="preserve">Вкладчик внес в банк некую сумму денег под 12% годовых с начислением сложных процентов раз в квартал. </t>
    </r>
  </si>
  <si>
    <r>
      <rPr>
        <sz val="12"/>
        <color rgb="FF000000"/>
        <rFont val="Arial"/>
        <family val="2"/>
        <charset val="204"/>
      </rPr>
      <t>Решение.</t>
    </r>
    <r>
      <rPr>
        <sz val="12"/>
        <color rgb="FF000000"/>
        <rFont val="Calibri"/>
        <family val="2"/>
        <charset val="204"/>
        <scheme val="minor"/>
      </rPr>
      <t xml:space="preserve"> Через 2 года придется отдать: 150 000 * (1+0,14/12)^(2*12) = 198 148 руб.</t>
    </r>
  </si>
  <si>
    <r>
      <rPr>
        <sz val="12"/>
        <color rgb="FF000000"/>
        <rFont val="Arial"/>
        <family val="2"/>
        <charset val="204"/>
      </rPr>
      <t>Задача 5</t>
    </r>
    <r>
      <rPr>
        <sz val="12"/>
        <color rgb="FF000000"/>
        <rFont val="Calibri"/>
        <family val="2"/>
        <charset val="204"/>
        <scheme val="minor"/>
      </rPr>
      <t xml:space="preserve">. Клиент банка взял кредит в размере 150 тыс.руб. на 2 года под 14% годовых с ежемесячным начислением процентов </t>
    </r>
  </si>
  <si>
    <r>
      <rPr>
        <sz val="12"/>
        <color rgb="FF000000"/>
        <rFont val="Arial"/>
        <family val="2"/>
        <charset val="204"/>
      </rPr>
      <t>Решение.</t>
    </r>
    <r>
      <rPr>
        <i/>
        <sz val="12"/>
        <color rgb="FF000000"/>
        <rFont val="Calibri"/>
        <family val="2"/>
        <charset val="204"/>
        <scheme val="minor"/>
      </rPr>
      <t xml:space="preserve"> Через 2 года придется отдать: 150 000 * (1+0,14)^2 = 194 940 руб. </t>
    </r>
  </si>
  <si>
    <r>
      <rPr>
        <sz val="12"/>
        <color rgb="FF000000"/>
        <rFont val="Arial"/>
        <family val="2"/>
        <charset val="204"/>
      </rPr>
      <t>Задача 4</t>
    </r>
    <r>
      <rPr>
        <sz val="12"/>
        <color rgb="FF000000"/>
        <rFont val="Calibri"/>
        <family val="2"/>
        <charset val="204"/>
        <scheme val="minor"/>
      </rPr>
      <t>. Клиент банка взял кредит в размере 150 тыс.руб. на 2 года под 14% годовых с ежегодным начислением процентов</t>
    </r>
  </si>
  <si>
    <r>
      <rPr>
        <sz val="12"/>
        <color rgb="FF000000"/>
        <rFont val="Arial"/>
        <family val="2"/>
        <charset val="204"/>
      </rPr>
      <t>Задача 1.</t>
    </r>
    <r>
      <rPr>
        <sz val="12"/>
        <color rgb="FF000000"/>
        <rFont val="Calibri"/>
        <family val="2"/>
        <charset val="204"/>
        <scheme val="minor"/>
      </rPr>
      <t xml:space="preserve"> Согласно договору со страховой компанией по договору накопительной пенсии она гарантирует выплаты в размере </t>
    </r>
  </si>
  <si>
    <r>
      <rPr>
        <sz val="12"/>
        <color rgb="FF000000"/>
        <rFont val="Arial"/>
        <family val="2"/>
        <charset val="204"/>
      </rPr>
      <t>Решение.</t>
    </r>
    <r>
      <rPr>
        <sz val="12"/>
        <color rgb="FF000000"/>
        <rFont val="Calibri"/>
        <family val="2"/>
        <charset val="204"/>
        <scheme val="minor"/>
      </rPr>
      <t xml:space="preserve"> Приведенная стоимость аннуитета (в Excel): ПС(10%;15;-250) = 1 901,5 тыс. руб., т.е. 1 901 500 руб.</t>
    </r>
  </si>
  <si>
    <r>
      <rPr>
        <sz val="12"/>
        <color rgb="FF000000"/>
        <rFont val="Arial"/>
        <family val="2"/>
        <charset val="204"/>
      </rPr>
      <t>Задача 2.</t>
    </r>
    <r>
      <rPr>
        <sz val="12"/>
        <color rgb="FF000000"/>
        <rFont val="Calibri"/>
        <family val="2"/>
        <charset val="204"/>
        <scheme val="minor"/>
      </rPr>
      <t xml:space="preserve"> Если класть в банк по $100 ежемесячно в течение 10 лет, начиная со следующего месяца, 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</si>
  <si>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Это классический аннуитет постнумерандо. Определим сумму на счету в банке в конце 10-го года: БС(8%/12;10*12;-100) = $18 295.</t>
    </r>
  </si>
  <si>
    <r>
      <rPr>
        <sz val="12"/>
        <color rgb="FF000000"/>
        <rFont val="Arial"/>
        <family val="2"/>
        <charset val="204"/>
      </rPr>
      <t xml:space="preserve">Задача 3. </t>
    </r>
    <r>
      <rPr>
        <sz val="12"/>
        <color rgb="FF000000"/>
        <rFont val="Calibri"/>
        <family val="2"/>
        <charset val="204"/>
        <scheme val="minor"/>
      </rPr>
      <t xml:space="preserve">Для обеспечения себя будущей пенсией человек заключил договор финансовой ренты на 20 лет по ставке 12% годовых. </t>
    </r>
  </si>
  <si>
    <r>
      <rPr>
        <sz val="12"/>
        <color rgb="FF000000"/>
        <rFont val="Arial"/>
        <family val="2"/>
        <charset val="204"/>
      </rPr>
      <t>Решение.</t>
    </r>
    <r>
      <rPr>
        <b/>
        <sz val="12"/>
        <color rgb="FF000000"/>
        <rFont val="Arial"/>
        <family val="2"/>
        <charset val="204"/>
      </rPr>
      <t xml:space="preserve"> </t>
    </r>
    <r>
      <rPr>
        <sz val="12"/>
        <color rgb="FF000000"/>
        <rFont val="Calibri"/>
        <family val="2"/>
        <charset val="204"/>
        <scheme val="minor"/>
      </rPr>
      <t>ПЛТ(12%/12;12*20;-7000000) =&gt; 77,0 тыс. руб.</t>
    </r>
  </si>
  <si>
    <r>
      <rPr>
        <sz val="12"/>
        <color rgb="FF000000"/>
        <rFont val="Arial"/>
        <family val="2"/>
        <charset val="204"/>
      </rPr>
      <t xml:space="preserve">Задача 4. </t>
    </r>
    <r>
      <rPr>
        <sz val="12"/>
        <color rgb="FF000000"/>
        <rFont val="Calibri"/>
        <family val="2"/>
        <charset val="204"/>
        <scheme val="minor"/>
      </rPr>
      <t xml:space="preserve">Если в предыдущей задаче срок такой ренты в договоре  будет бесконечным (то есть, юридически до момента смерти пенсионера), </t>
    </r>
  </si>
  <si>
    <r>
      <rPr>
        <sz val="12"/>
        <color rgb="FF000000"/>
        <rFont val="Arial"/>
        <family val="2"/>
        <charset val="204"/>
      </rPr>
      <t>Задача 1.</t>
    </r>
    <r>
      <rPr>
        <sz val="12"/>
        <color rgb="FF000000"/>
        <rFont val="Calibri"/>
        <family val="2"/>
        <charset val="204"/>
        <scheme val="minor"/>
      </rPr>
      <t xml:space="preserve"> Есть 3-х летняя облигация, номиналом $1000 и купоном 5%, уплачиваемым 1 раз в год. 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</si>
  <si>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В Excel рассчитываем с помощью формулы СТАВКА(3;5%*1000;-900;1000) = 8,9%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</si>
  <si>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=БС(12%;4;100;-1100) = 1 253 руб. Обратите внимание, что купоны и текущая рыночная цена должны быть в формуле с разными знаками!!</t>
    </r>
  </si>
  <si>
    <r>
      <rPr>
        <sz val="12"/>
        <color theme="1"/>
        <rFont val="Arial"/>
        <family val="2"/>
        <charset val="204"/>
      </rPr>
      <t>Задача 2</t>
    </r>
    <r>
      <rPr>
        <b/>
        <sz val="12"/>
        <color theme="1"/>
        <rFont val="Arial"/>
        <family val="2"/>
        <charset val="204"/>
      </rPr>
      <t>.</t>
    </r>
    <r>
      <rPr>
        <sz val="12"/>
        <color theme="1"/>
        <rFont val="Calibri"/>
        <family val="2"/>
        <charset val="204"/>
        <scheme val="minor"/>
      </rPr>
      <t xml:space="preserve"> Каков номинал 4-х летней облигации, если ее рыночная цена = 1100 руб., по ней платится ежегодный купон в размере 100 руб., и ее доходность равна 12% годовых.</t>
    </r>
  </si>
  <si>
    <r>
      <rPr>
        <sz val="12"/>
        <color rgb="FF000000"/>
        <rFont val="Arial"/>
        <family val="2"/>
        <charset val="204"/>
      </rPr>
      <t>Задача 3.</t>
    </r>
    <r>
      <rPr>
        <sz val="12"/>
        <color rgb="FF000000"/>
        <rFont val="Calibri"/>
        <family val="2"/>
        <charset val="204"/>
        <scheme val="minor"/>
      </rPr>
      <t xml:space="preserve"> Есть 7-ми летняя облигация, номиналом 1 000 руб. и с купоном 12%, уплачиваемым 2 раза в год. 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</si>
  <si>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=-ПС(10%/2;7*2;12%*1000/2;1000) = 1 099 руб.</t>
    </r>
  </si>
  <si>
    <r>
      <rPr>
        <sz val="12"/>
        <color rgb="FF000000"/>
        <rFont val="Arial"/>
        <family val="2"/>
        <charset val="204"/>
      </rPr>
      <t xml:space="preserve">Задача 4. </t>
    </r>
    <r>
      <rPr>
        <sz val="12"/>
        <color rgb="FF000000"/>
        <rFont val="Calibri"/>
        <family val="2"/>
        <charset val="204"/>
        <scheme val="minor"/>
      </rPr>
      <t xml:space="preserve">Есть 7-ми летняя облигация, номиналом 1 000 руб. и с купоном 12%, уплачиваемым 2 раза в год. 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</si>
  <si>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=СТАВКА(7*2;12%*1000/2;-950;1000)*2 = 13,1%</t>
    </r>
  </si>
  <si>
    <t xml:space="preserve">Задача 1. Банк выдал заемщику кредит в размере 100 млн.руб. на 12 лет под 12% годовых. </t>
  </si>
  <si>
    <r>
      <rPr>
        <sz val="12"/>
        <color rgb="FF000000"/>
        <rFont val="Arial"/>
        <family val="2"/>
        <charset val="204"/>
      </rPr>
      <t>Задача 2.</t>
    </r>
    <r>
      <rPr>
        <sz val="12"/>
        <color rgb="FF000000"/>
        <rFont val="Calibri"/>
        <family val="2"/>
        <charset val="204"/>
        <scheme val="minor"/>
      </rPr>
      <t xml:space="preserve"> Заемщик получил в банке кредит размером 1 млн руб., выданный на 2 года под ставку 16% годовых,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</si>
  <si>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 xml:space="preserve">Размер ежемесячного аннуитетного платежа по кредиту равен = ПЛТ(16%/12;2*12;-1000) = 49,0 тыс.руб. </t>
    </r>
  </si>
  <si>
    <r>
      <rPr>
        <sz val="12"/>
        <color rgb="FF000000"/>
        <rFont val="Arial"/>
        <family val="2"/>
        <charset val="204"/>
      </rPr>
      <t>Задача 3.</t>
    </r>
    <r>
      <rPr>
        <sz val="12"/>
        <color rgb="FF000000"/>
        <rFont val="Calibri"/>
        <family val="2"/>
        <charset val="204"/>
        <scheme val="minor"/>
      </rPr>
      <t xml:space="preserve"> Компания заключила договор лизинга на коммерческий автомобиль, стоимостью 10 млн.руб. на 5 лет под 15% годовых. </t>
    </r>
  </si>
  <si>
    <r>
      <rPr>
        <sz val="12"/>
        <color rgb="FF000000"/>
        <rFont val="Arial"/>
        <family val="2"/>
        <charset val="204"/>
      </rPr>
      <t>Задача 4.</t>
    </r>
    <r>
      <rPr>
        <sz val="12"/>
        <color rgb="FF000000"/>
        <rFont val="Calibri"/>
        <family val="2"/>
        <charset val="204"/>
        <scheme val="minor"/>
      </rPr>
      <t xml:space="preserve"> Банк предлагает два варианта финансирования 3 млн.руб.: либо кредит под 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</si>
  <si>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 xml:space="preserve">В случае кредита размер платежа будет равен ПЛТ(10%/4;4*4;-3000;0) = 229,8 тыс.руб./квартал, </t>
    </r>
  </si>
  <si>
    <r>
      <rPr>
        <sz val="12"/>
        <color rgb="FF000000"/>
        <rFont val="Arial"/>
        <family val="2"/>
        <charset val="204"/>
      </rPr>
      <t>Задача 1.</t>
    </r>
    <r>
      <rPr>
        <sz val="12"/>
        <color rgb="FF000000"/>
        <rFont val="Calibri"/>
        <family val="2"/>
        <charset val="204"/>
        <scheme val="minor"/>
      </rPr>
      <t xml:space="preserve"> Банк предлагает два варианта размещения депозита в размере 1 млн руб. на 3 года: </t>
    </r>
  </si>
  <si>
    <r>
      <rPr>
        <sz val="12"/>
        <color rgb="FF000000"/>
        <rFont val="Arial"/>
        <family val="2"/>
        <charset val="204"/>
      </rPr>
      <t>Решение.</t>
    </r>
    <r>
      <rPr>
        <sz val="12"/>
        <color rgb="FF000000"/>
        <rFont val="Calibri"/>
        <family val="2"/>
        <charset val="204"/>
        <scheme val="minor"/>
      </rPr>
      <t xml:space="preserve"> Сложные проценты: 1 000 000 * (1+0,15)^3 = 1 520 875 руб.</t>
    </r>
  </si>
  <si>
    <r>
      <rPr>
        <sz val="12"/>
        <color rgb="FF000000"/>
        <rFont val="Arial"/>
        <family val="2"/>
        <charset val="204"/>
      </rPr>
      <t xml:space="preserve">Задача 2. </t>
    </r>
    <r>
      <rPr>
        <sz val="12"/>
        <color rgb="FF000000"/>
        <rFont val="Calibri"/>
        <family val="2"/>
        <charset val="204"/>
        <scheme val="minor"/>
      </rPr>
      <t xml:space="preserve">Инвестор хочет через 25 лет выйти на пенсию и купить домик в Испании. Он планирует, </t>
    </r>
  </si>
  <si>
    <r>
      <rPr>
        <sz val="12"/>
        <color rgb="FF000000"/>
        <rFont val="Arial"/>
        <family val="2"/>
        <charset val="204"/>
      </rPr>
      <t>Решение</t>
    </r>
    <r>
      <rPr>
        <sz val="12"/>
        <color rgb="FF000000"/>
        <rFont val="Calibri"/>
        <family val="2"/>
        <charset val="204"/>
        <scheme val="minor"/>
      </rPr>
      <t>. Мы знаем, что FV = €350 тыс. Нужно определить текущую стоимость PV = 350 000 / (1+0.03)^25 = €167 162.</t>
    </r>
  </si>
  <si>
    <r>
      <rPr>
        <sz val="12"/>
        <color rgb="FF000000"/>
        <rFont val="Arial"/>
        <family val="2"/>
        <charset val="204"/>
      </rPr>
      <t>Задача 3.</t>
    </r>
    <r>
      <rPr>
        <sz val="12"/>
        <color rgb="FF000000"/>
        <rFont val="Calibri"/>
        <family val="2"/>
        <charset val="204"/>
        <scheme val="minor"/>
      </rPr>
      <t xml:space="preserve"> Банк предлагает положить депозит 3 млн руб. на 6 лет, обещая выплатить 1,5 млн руб. процентов в конце срока.</t>
    </r>
  </si>
  <si>
    <t>депозит</t>
  </si>
  <si>
    <t>выплаты по %</t>
  </si>
  <si>
    <t>% ставка</t>
  </si>
  <si>
    <t>сумма</t>
  </si>
  <si>
    <t>Выплаты</t>
  </si>
  <si>
    <t>переплата</t>
  </si>
  <si>
    <t>% переплаты</t>
  </si>
  <si>
    <t>сумма на счету</t>
  </si>
  <si>
    <t>сумма вклада</t>
  </si>
  <si>
    <t>Периоды начислений</t>
  </si>
  <si>
    <t>&lt; доход/в n раз</t>
  </si>
  <si>
    <t>доход инвестиций</t>
  </si>
  <si>
    <t>годовой бонус</t>
  </si>
  <si>
    <t>средняя доходность</t>
  </si>
  <si>
    <t>ожид. сумма</t>
  </si>
  <si>
    <t>дн\год</t>
  </si>
  <si>
    <t>за 1 день</t>
  </si>
  <si>
    <t>эффект. ставка</t>
  </si>
  <si>
    <t>доходность/год</t>
  </si>
  <si>
    <t>инфляция</t>
  </si>
  <si>
    <t>номинальная</t>
  </si>
  <si>
    <t>реальная</t>
  </si>
  <si>
    <t>Выплаты/год</t>
  </si>
  <si>
    <t>стоим.ден./%год</t>
  </si>
  <si>
    <t>стоим. контракта</t>
  </si>
  <si>
    <t>% годовых</t>
  </si>
  <si>
    <t>годовых</t>
  </si>
  <si>
    <t>реал. доходность/год</t>
  </si>
  <si>
    <t>Допустим, его целевой уровень капитала к пенсии составляет $350 000. Если он ожидает ставку доходности на рынке порядка 8% годовых,</t>
  </si>
  <si>
    <t xml:space="preserve"> то какую сумму ему надо инвестировать каждый год для достижения цели?</t>
  </si>
  <si>
    <t>Погашение кредита будет происходить ежемесячными аннуитетными платежами.</t>
  </si>
  <si>
    <t xml:space="preserve"> Определить, сколько составит общая переплата (сумма процентов) по кредиту.</t>
  </si>
  <si>
    <t xml:space="preserve">и для данного проекта премия за риск равна 4%. Пусть ставка дисконтирования определяется как сумма этих трех составляющих, </t>
  </si>
  <si>
    <t>тогда чему равна приведенная стоимость потоков по проекту, если в первый год ожидается $2000, во второй $5000 и в третьем году проект будет продан за $10000?</t>
  </si>
  <si>
    <t>ежемес/вклад</t>
  </si>
  <si>
    <t>начисления банка</t>
  </si>
  <si>
    <t>через/лет</t>
  </si>
  <si>
    <t>сумма начислений</t>
  </si>
  <si>
    <t>сумма в конце 10 г</t>
  </si>
  <si>
    <r>
      <rPr>
        <b/>
        <sz val="12"/>
        <color theme="1"/>
        <rFont val="Calibri"/>
        <family val="2"/>
        <charset val="204"/>
        <scheme val="minor"/>
      </rPr>
      <t>БС</t>
    </r>
    <r>
      <rPr>
        <b/>
        <sz val="11"/>
        <color theme="1"/>
        <rFont val="Calibri"/>
        <family val="2"/>
        <charset val="204"/>
        <scheme val="minor"/>
      </rPr>
      <t>-будущ.стоим</t>
    </r>
  </si>
  <si>
    <t>30 лет</t>
  </si>
  <si>
    <t>15 лет</t>
  </si>
  <si>
    <t>ипотека</t>
  </si>
  <si>
    <t>первонач. взнос</t>
  </si>
  <si>
    <t>доход на/год</t>
  </si>
  <si>
    <t>ставка/годовых</t>
  </si>
  <si>
    <t>бесконечн</t>
  </si>
  <si>
    <t>доходность облигац.</t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</si>
  <si>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Это бесконечный аннуитет: платеж = 7 000 000 * (12%/12) = 70,0 тыс. руб.</t>
    </r>
  </si>
  <si>
    <t>ежегодн. Купон</t>
  </si>
  <si>
    <t>стоим. денег</t>
  </si>
  <si>
    <t>кол-во выплат/год</t>
  </si>
  <si>
    <t>справедл. цена</t>
  </si>
  <si>
    <t>рыночн. цена</t>
  </si>
  <si>
    <t>подбор</t>
  </si>
  <si>
    <t>всего уплачено</t>
  </si>
  <si>
    <t>переплата по кр.</t>
  </si>
  <si>
    <t>ежемесячный платёж</t>
  </si>
  <si>
    <t>* 24 периода</t>
  </si>
  <si>
    <t>кредит млн.</t>
  </si>
  <si>
    <t>выкупная сумма млн.</t>
  </si>
  <si>
    <t>Итого выплачено</t>
  </si>
  <si>
    <t>*3*12</t>
  </si>
  <si>
    <t>выплат в год</t>
  </si>
  <si>
    <t>Ежемес. плат.</t>
  </si>
  <si>
    <t>Итого</t>
  </si>
  <si>
    <t>привед/стоим/лизинг</t>
  </si>
  <si>
    <t>покупка</t>
  </si>
  <si>
    <t>продажа</t>
  </si>
  <si>
    <t>доход/% год</t>
  </si>
  <si>
    <t>пенсия</t>
  </si>
  <si>
    <t>ожид/доход</t>
  </si>
  <si>
    <t>кон/сумма</t>
  </si>
  <si>
    <t>инвест/лет</t>
  </si>
  <si>
    <r>
      <rPr>
        <sz val="12"/>
        <color rgb="FF2C2D30"/>
        <rFont val="Arial"/>
        <family val="2"/>
        <charset val="204"/>
      </rPr>
      <t xml:space="preserve">Решение. </t>
    </r>
    <r>
      <rPr>
        <sz val="12"/>
        <color rgb="FF2C2D30"/>
        <rFont val="Calibri"/>
        <family val="2"/>
        <charset val="204"/>
        <scheme val="minor"/>
      </rPr>
      <t xml:space="preserve">формула наращения сложной процентной ставки FV=PV(1+i)^n, </t>
    </r>
  </si>
  <si>
    <t>A</t>
  </si>
  <si>
    <t>r</t>
  </si>
  <si>
    <t>n</t>
  </si>
  <si>
    <t>FV</t>
  </si>
  <si>
    <t>i</t>
  </si>
  <si>
    <t>периодов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</si>
  <si>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начисление процентов на аннуитет постнумерандо FV=A*((1+r)^n-1)/r , </t>
    </r>
  </si>
  <si>
    <t>A=FVr/((1+r)^n-1) = (350000*8%)/((1+8%)^30-1) = 3089,60</t>
  </si>
  <si>
    <t>ПЛТ = (8%;30;0;-350000)</t>
  </si>
  <si>
    <t>формулы годовой доходности i = (FV/PV) ^ (1 / n) - 1 =  (50/ 10) ^ (1 / 6) - 1 = 30,77%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</si>
  <si>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PV=A*((1-(1+r)^(-n))/r</t>
    </r>
  </si>
  <si>
    <t>А=PVr/((1-(1+r)^(-n)) = (8000000*(10%/12))/(1-(1+10%/12)^(-20*12)) = 77201,73</t>
  </si>
  <si>
    <t>ПЛТ = (10%/12;20*12;-8000000;0) = 77201,73</t>
  </si>
  <si>
    <t>ожидание по годам</t>
  </si>
  <si>
    <t>приведённая стоимость</t>
  </si>
  <si>
    <t>безриск. став</t>
  </si>
  <si>
    <t>премия/риск</t>
  </si>
  <si>
    <t>ставка диск.</t>
  </si>
  <si>
    <t>c  ПС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</si>
  <si>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PV1 = FV/(1+i)^n</t>
    </r>
  </si>
  <si>
    <t>PV1 = 2000/(1+$11%)^1 = 18001,80</t>
  </si>
  <si>
    <t>PV2 = 5000/(1+$11%)^2 = 4058,11</t>
  </si>
  <si>
    <t>PV3 = 10000/(1+$11%)^3= 7311,91</t>
  </si>
  <si>
    <t>ПС1 = ($11%;1;;-2000) = 18001,80</t>
  </si>
  <si>
    <t>ПС2 = ($11%;2;;-5000) =4058,11</t>
  </si>
  <si>
    <t>ПС3 = ($11%;3;;-10000) = 7311,91</t>
  </si>
  <si>
    <t>ежемес</t>
  </si>
  <si>
    <t>ежегодн</t>
  </si>
  <si>
    <t>БС = (11%/12;12*1;;-100)=11,57</t>
  </si>
  <si>
    <t>БС = (11,5%;1;;-100)=11,50</t>
  </si>
  <si>
    <r>
      <rPr>
        <b/>
        <sz val="12"/>
        <color rgb="FF2C2D30"/>
        <rFont val="Arial"/>
        <family val="2"/>
        <charset val="204"/>
      </rPr>
      <t>Задача 1. </t>
    </r>
    <r>
      <rPr>
        <sz val="12"/>
        <color rgb="FF2C2D30"/>
        <rFont val="Calibri"/>
        <family val="2"/>
        <charset val="204"/>
        <scheme val="minor"/>
      </rPr>
      <t>Инвестор купил акцию 6 лет назад по цене $10. Сейчас он продал ее за $50. Определить, какую доходность принесла ему эта инвестиция в процентах годовых.</t>
    </r>
  </si>
  <si>
    <r>
      <rPr>
        <b/>
        <sz val="12"/>
        <color rgb="FF2C2D30"/>
        <rFont val="Arial"/>
        <family val="2"/>
        <charset val="204"/>
      </rPr>
      <t>Задача 2.</t>
    </r>
    <r>
      <rPr>
        <sz val="12"/>
        <color rgb="FF2C2D30"/>
        <rFont val="Calibri"/>
        <family val="2"/>
        <charset val="204"/>
        <scheme val="minor"/>
      </rPr>
      <t xml:space="preserve"> Инвестору исполнилось только что 30 лет. Он хочет выйти на пенсию в 60 лет и жить на доход с капитала. </t>
    </r>
  </si>
  <si>
    <r>
      <rPr>
        <b/>
        <sz val="12"/>
        <color rgb="FF2C2D30"/>
        <rFont val="Arial"/>
        <family val="2"/>
        <charset val="204"/>
      </rPr>
      <t>Задача 3</t>
    </r>
    <r>
      <rPr>
        <sz val="12"/>
        <color rgb="FF2C2D30"/>
        <rFont val="Arial"/>
        <family val="2"/>
        <charset val="204"/>
      </rPr>
      <t>. </t>
    </r>
    <r>
      <rPr>
        <sz val="12"/>
        <color rgb="FF2C2D30"/>
        <rFont val="Calibri"/>
        <family val="2"/>
        <charset val="204"/>
        <scheme val="minor"/>
      </rPr>
      <t xml:space="preserve">Человек взял ипотечный кредит на сумму 8 млн руб., на 20 лет под 10% годовых. </t>
    </r>
  </si>
  <si>
    <r>
      <rPr>
        <b/>
        <sz val="12"/>
        <color rgb="FF2C2D30"/>
        <rFont val="Arial"/>
        <family val="2"/>
        <charset val="204"/>
      </rPr>
      <t>Задача 4.</t>
    </r>
    <r>
      <rPr>
        <sz val="12"/>
        <color rgb="FF2C2D30"/>
        <rFont val="Calibri"/>
        <family val="2"/>
        <charset val="204"/>
        <scheme val="minor"/>
      </rPr>
      <t xml:space="preserve"> Известно, что безрисковая ставка на рынке составляет 1%, инфляция ожидается 6% годовых </t>
    </r>
  </si>
  <si>
    <r>
      <rPr>
        <b/>
        <sz val="12"/>
        <color rgb="FF2C2D30"/>
        <rFont val="Arial"/>
        <family val="2"/>
        <charset val="204"/>
      </rPr>
      <t>Задача 5.</t>
    </r>
    <r>
      <rPr>
        <sz val="12"/>
        <color rgb="FF2C2D30"/>
        <rFont val="Calibri"/>
        <family val="2"/>
        <charset val="204"/>
        <scheme val="minor"/>
      </rPr>
      <t> Что выгодней: положить деньги на депозит под 11% годовых с ежемесячной капитализацией или на депозит под 11,5% с ежегодной капитализацией процентов?</t>
    </r>
  </si>
  <si>
    <r>
      <rPr>
        <b/>
        <sz val="18"/>
        <color rgb="FF3F5368"/>
        <rFont val="Arial"/>
        <family val="2"/>
        <charset val="204"/>
      </rPr>
      <t>Урок 1.</t>
    </r>
    <r>
      <rPr>
        <sz val="18"/>
        <color rgb="FF3F5368"/>
        <rFont val="Arial"/>
        <family val="2"/>
        <charset val="204"/>
      </rPr>
      <t xml:space="preserve"> Временная стоимость денег. Процентные расчеты</t>
    </r>
  </si>
  <si>
    <t>1. Лекция</t>
  </si>
  <si>
    <t>2. Лекция</t>
  </si>
  <si>
    <t xml:space="preserve">при которой чистая приведенная стоимость проекта равна 0, при условии, что все положительные денежные потоки </t>
  </si>
  <si>
    <t>реинвестируются по ставке реинвестирования, а все оттоки привлекаются на условиях кредита под ставку финансирования</t>
  </si>
  <si>
    <r>
      <rPr>
        <sz val="12"/>
        <color theme="1"/>
        <rFont val="Arial"/>
        <family val="2"/>
        <charset val="204"/>
      </rPr>
      <t>Эффективность проекта</t>
    </r>
    <r>
      <rPr>
        <sz val="12"/>
        <color theme="1"/>
        <rFont val="Calibri"/>
        <family val="2"/>
        <charset val="204"/>
        <scheme val="minor"/>
      </rPr>
      <t xml:space="preserve"> - степень соответствия результатов  (фактических или прогнозных) проекта целям и интересам его участников</t>
    </r>
  </si>
  <si>
    <r>
      <rPr>
        <sz val="12"/>
        <color theme="1"/>
        <rFont val="Arial"/>
        <family val="2"/>
        <charset val="204"/>
      </rPr>
      <t>Эффективность инвестиционного проекта</t>
    </r>
    <r>
      <rPr>
        <sz val="12"/>
        <color theme="1"/>
        <rFont val="Calibri"/>
        <family val="2"/>
        <charset val="204"/>
        <scheme val="minor"/>
      </rPr>
      <t xml:space="preserve"> - соотношение финансовых результатов проекта и затрат ресурсов на его реализацию</t>
    </r>
  </si>
  <si>
    <t>приведенных к текущему моменту времени</t>
  </si>
  <si>
    <t>ставка дисконтирования, при которой чистая приведенная стоимость проекта равна 0</t>
  </si>
  <si>
    <t>положительными денежными потоками от проекта</t>
  </si>
  <si>
    <t xml:space="preserve"> по проекту к первоначальным инвестициям</t>
  </si>
  <si>
    <t>ЧИСТАЯ ПРИВЕДЕННАЯ СТОИМОСТЬ</t>
  </si>
  <si>
    <t xml:space="preserve">где CFi – денежный поток по проекту в момент времени i,
</t>
  </si>
  <si>
    <t>k – ставка дисконтирования.</t>
  </si>
  <si>
    <r>
      <t xml:space="preserve">все инвестиционные проекты, у которых </t>
    </r>
    <r>
      <rPr>
        <b/>
        <sz val="12"/>
        <color rgb="FF000000"/>
        <rFont val="Calibri"/>
        <family val="2"/>
        <charset val="204"/>
        <scheme val="minor"/>
      </rPr>
      <t>NPV &gt; 0</t>
    </r>
    <r>
      <rPr>
        <sz val="12"/>
        <color rgb="FF000000"/>
        <rFont val="Calibri"/>
        <family val="2"/>
        <charset val="204"/>
        <scheme val="minor"/>
      </rPr>
      <t xml:space="preserve">, следует </t>
    </r>
    <r>
      <rPr>
        <b/>
        <sz val="12"/>
        <color rgb="FF000000"/>
        <rFont val="Calibri"/>
        <family val="2"/>
        <charset val="204"/>
        <scheme val="minor"/>
      </rPr>
      <t>принимать</t>
    </r>
    <r>
      <rPr>
        <sz val="12"/>
        <color rgb="FF000000"/>
        <rFont val="Calibri"/>
        <family val="2"/>
        <charset val="204"/>
        <scheme val="minor"/>
      </rPr>
      <t xml:space="preserve">, а все инвестиционные проекты с </t>
    </r>
    <r>
      <rPr>
        <b/>
        <sz val="12"/>
        <color rgb="FF000000"/>
        <rFont val="Calibri"/>
        <family val="2"/>
        <charset val="204"/>
        <scheme val="minor"/>
      </rPr>
      <t>NPV &lt; 0 – отвергать</t>
    </r>
  </si>
  <si>
    <t>год</t>
  </si>
  <si>
    <t>денежный поток</t>
  </si>
  <si>
    <t>Денежные потоки</t>
  </si>
  <si>
    <t>Ставка</t>
  </si>
  <si>
    <t>Дисконтирующий множитель</t>
  </si>
  <si>
    <t>Дисконтированные денежные потоки</t>
  </si>
  <si>
    <t>NPV</t>
  </si>
  <si>
    <t>Продисконтируем каждую составляющую денежного потока по ставке 10%, и просуммируем эти дисконтированные величины: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</si>
  <si>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Используем для ответа на этот вопрос формулу NPV, приведенную выше. 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</si>
  <si>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charset val="204"/>
        <scheme val="minor"/>
      </rPr>
      <t xml:space="preserve"> Рассчитать NPV проекта, описанного денежными потоками из задачи 1, используя для этого только встроенные функции Excel.</t>
    </r>
  </si>
  <si>
    <r>
      <rPr>
        <sz val="12"/>
        <color rgb="FF000000"/>
        <rFont val="Arial"/>
        <family val="2"/>
        <charset val="204"/>
      </rPr>
      <t xml:space="preserve">Задача 1. </t>
    </r>
    <r>
      <rPr>
        <sz val="12"/>
        <color rgb="FF000000"/>
        <rFont val="Calibri"/>
        <family val="2"/>
        <charset val="204"/>
        <scheme val="minor"/>
      </rPr>
      <t>Пусть есть проект с денежными потоками следующего вида: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</si>
  <si>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Для нахождения </t>
    </r>
    <r>
      <rPr>
        <b/>
        <sz val="12"/>
        <color theme="1"/>
        <rFont val="Calibri"/>
        <family val="2"/>
        <charset val="204"/>
        <scheme val="minor"/>
      </rPr>
      <t>NPV</t>
    </r>
    <r>
      <rPr>
        <sz val="12"/>
        <color theme="1"/>
        <rFont val="Calibri"/>
        <family val="2"/>
        <charset val="204"/>
        <scheme val="minor"/>
      </rPr>
      <t xml:space="preserve"> есть готовая функция –</t>
    </r>
    <r>
      <rPr>
        <b/>
        <sz val="12"/>
        <color theme="1"/>
        <rFont val="Calibri"/>
        <family val="2"/>
        <charset val="204"/>
        <scheme val="minor"/>
      </rPr>
      <t xml:space="preserve"> ЧПС</t>
    </r>
    <r>
      <rPr>
        <sz val="12"/>
        <color theme="1"/>
        <rFont val="Calibri"/>
        <family val="2"/>
        <charset val="204"/>
        <scheme val="minor"/>
      </rPr>
      <t>(), название функции – это аббревиатура от «Чистой Приведенной Стоимости»</t>
    </r>
  </si>
  <si>
    <r>
      <t xml:space="preserve">Задача 3. </t>
    </r>
    <r>
      <rPr>
        <sz val="14"/>
        <color theme="1"/>
        <rFont val="Arial"/>
        <family val="2"/>
        <charset val="204"/>
      </rPr>
      <t>Определить</t>
    </r>
    <r>
      <rPr>
        <b/>
        <sz val="14"/>
        <color theme="1"/>
        <rFont val="Arial"/>
        <family val="2"/>
        <charset val="204"/>
      </rPr>
      <t xml:space="preserve"> </t>
    </r>
    <r>
      <rPr>
        <sz val="14"/>
        <color theme="1"/>
        <rFont val="Arial"/>
        <family val="2"/>
        <charset val="204"/>
      </rPr>
      <t>NPV проекта с нерегулярными денежными потоками:</t>
    </r>
  </si>
  <si>
    <t xml:space="preserve">Решение. </t>
  </si>
  <si>
    <r>
      <rPr>
        <sz val="12"/>
        <color theme="1"/>
        <rFont val="Arial"/>
        <family val="2"/>
        <charset val="204"/>
      </rPr>
      <t>Задача 4.</t>
    </r>
    <r>
      <rPr>
        <sz val="12"/>
        <color theme="1"/>
        <rFont val="Calibri"/>
        <family val="2"/>
        <charset val="204"/>
        <scheme val="minor"/>
      </rPr>
      <t xml:space="preserve"> Найти NPV проекта из задачи 1, если ставка дисконтирования (стоимость денег для инвестора) уменьшается со временем по следующему графику: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</si>
  <si>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charset val="204"/>
        <scheme val="minor"/>
      </rPr>
      <t>аналогично задаче 1, только в расчете дисконтирующих множителей будут учитываться разные значения ставок:</t>
    </r>
  </si>
  <si>
    <r>
      <t xml:space="preserve">если нам нужно посчитать </t>
    </r>
    <r>
      <rPr>
        <b/>
        <sz val="12"/>
        <color theme="1"/>
        <rFont val="Calibri"/>
        <family val="2"/>
        <charset val="204"/>
        <scheme val="minor"/>
      </rPr>
      <t>NPV проекта с регулярными денежными потоками</t>
    </r>
    <r>
      <rPr>
        <sz val="12"/>
        <color theme="1"/>
        <rFont val="Calibri"/>
        <family val="2"/>
        <charset val="204"/>
        <scheme val="minor"/>
      </rPr>
      <t xml:space="preserve"> и с постоянной ставкой дисконтирования, пользуемся </t>
    </r>
    <r>
      <rPr>
        <b/>
        <sz val="12"/>
        <color theme="1"/>
        <rFont val="Calibri"/>
        <family val="2"/>
        <charset val="204"/>
        <scheme val="minor"/>
      </rPr>
      <t>функцией ЧПС</t>
    </r>
  </si>
  <si>
    <r>
      <t xml:space="preserve">если же </t>
    </r>
    <r>
      <rPr>
        <b/>
        <sz val="12"/>
        <color theme="1"/>
        <rFont val="Calibri"/>
        <family val="2"/>
        <charset val="204"/>
        <scheme val="minor"/>
      </rPr>
      <t>потоки нерегулярны</t>
    </r>
    <r>
      <rPr>
        <sz val="12"/>
        <color theme="1"/>
        <rFont val="Calibri"/>
        <family val="2"/>
        <charset val="204"/>
        <scheme val="minor"/>
      </rPr>
      <t xml:space="preserve">, либо если ставка дисконтирования меняется от периода к периоду, рассчитывать </t>
    </r>
    <r>
      <rPr>
        <b/>
        <sz val="12"/>
        <color theme="1"/>
        <rFont val="Calibri"/>
        <family val="2"/>
        <charset val="204"/>
        <scheme val="minor"/>
      </rPr>
      <t>NPV вручную</t>
    </r>
  </si>
  <si>
    <t>ВНУТРЕННЯЯ НОРМА ДОХОДНОСТИ</t>
  </si>
  <si>
    <t xml:space="preserve">все инвестиционные проекты, у которых IRR больше требуемой доходности для инвестора, следует принимать, </t>
  </si>
  <si>
    <t>а проекты с меньшей доходностью - отвергать</t>
  </si>
  <si>
    <r>
      <rPr>
        <sz val="12"/>
        <color theme="1"/>
        <rFont val="Arial"/>
        <family val="2"/>
        <charset val="204"/>
      </rPr>
      <t>Задача 5.</t>
    </r>
    <r>
      <rPr>
        <sz val="12"/>
        <color theme="1"/>
        <rFont val="Calibri"/>
        <family val="2"/>
        <charset val="204"/>
        <scheme val="minor"/>
      </rPr>
      <t xml:space="preserve"> Для проекта из задачи 1 рассчитать внутреннюю норму доходности.</t>
    </r>
  </si>
  <si>
    <t xml:space="preserve">1) подобрать ставку дисконтирования, при которой NPV обращается в 0, «вручную» либо 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</si>
  <si>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Можно найти показатель IRR двумя способами: </t>
    </r>
  </si>
  <si>
    <t>IRR подбором</t>
  </si>
  <si>
    <t>IRR с помощью функции ВСД ()</t>
  </si>
  <si>
    <t>ПРОЧИЕ МЕРЫ ОЦЕНКИ ЭФФЕКТИВНОСТИ</t>
  </si>
  <si>
    <t>положительными денежными потоками от проекта.</t>
  </si>
  <si>
    <t>к первоначальным инвестициям, то есть математически:</t>
  </si>
  <si>
    <t>PI = 1 + NPV/инвестиции</t>
  </si>
  <si>
    <r>
      <t xml:space="preserve">проект </t>
    </r>
    <r>
      <rPr>
        <b/>
        <sz val="12"/>
        <color theme="1"/>
        <rFont val="Calibri"/>
        <family val="2"/>
        <charset val="204"/>
        <scheme val="minor"/>
      </rPr>
      <t>принимаем, если PI &gt; 1</t>
    </r>
    <r>
      <rPr>
        <sz val="12"/>
        <color theme="1"/>
        <rFont val="Calibri"/>
        <family val="2"/>
        <charset val="204"/>
        <scheme val="minor"/>
      </rPr>
      <t xml:space="preserve"> (что эквивалентно NPV &gt; 0), и о</t>
    </r>
    <r>
      <rPr>
        <b/>
        <sz val="12"/>
        <color theme="1"/>
        <rFont val="Calibri"/>
        <family val="2"/>
        <charset val="204"/>
        <scheme val="minor"/>
      </rPr>
      <t>твергаем, если PI &lt; 1</t>
    </r>
  </si>
  <si>
    <t xml:space="preserve">который отдельно учитывает ставку реинвестирования доходов (под какой процент нам удастся инвестировать притоки в течение проекта) </t>
  </si>
  <si>
    <t>и ставку финансирования инвестиций (под какой процент нам удастся взять кредит в течение проекта):</t>
  </si>
  <si>
    <r>
      <rPr>
        <sz val="12"/>
        <color theme="1"/>
        <rFont val="Arial"/>
        <family val="2"/>
        <charset val="204"/>
      </rPr>
      <t xml:space="preserve">3. Модифицированная внутренняя норма доходности (Modified Internal Rate of Return или </t>
    </r>
    <r>
      <rPr>
        <b/>
        <sz val="12"/>
        <color theme="1"/>
        <rFont val="Arial"/>
        <family val="2"/>
        <charset val="204"/>
      </rPr>
      <t>MIRR</t>
    </r>
    <r>
      <rPr>
        <sz val="12"/>
        <color theme="1"/>
        <rFont val="Arial"/>
        <family val="2"/>
        <charset val="204"/>
      </rPr>
      <t xml:space="preserve">) </t>
    </r>
    <r>
      <rPr>
        <sz val="12"/>
        <color theme="1"/>
        <rFont val="Calibri"/>
        <family val="2"/>
        <charset val="204"/>
        <scheme val="minor"/>
      </rPr>
      <t xml:space="preserve">– аналог IRR, </t>
    </r>
  </si>
  <si>
    <r>
      <rPr>
        <sz val="12"/>
        <color theme="1"/>
        <rFont val="Arial"/>
        <family val="2"/>
        <charset val="204"/>
      </rPr>
      <t xml:space="preserve">Задача 6. </t>
    </r>
    <r>
      <rPr>
        <sz val="12"/>
        <color theme="1"/>
        <rFont val="Calibri"/>
        <family val="2"/>
        <charset val="204"/>
        <scheme val="minor"/>
      </rPr>
      <t xml:space="preserve">Для проекта из задачи 1 найти срок окупаемости (обыкновенный и дисконтированный), индекс доходности </t>
    </r>
  </si>
  <si>
    <t xml:space="preserve">и модифицированную внутреннюю норму доходности для ставки рефинансирования 10% и ставки финансирования 12% годовых. </t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</si>
  <si>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charset val="204"/>
        <scheme val="minor"/>
      </rPr>
      <t xml:space="preserve">Для расчета сроков окупаемости у нас уже есть денежные потоки из задачи 1, поэтому мы их суммируем, пока не получим величину больше 0. </t>
    </r>
  </si>
  <si>
    <t xml:space="preserve">Для обыкновенного срока окупаемости получаем 5 лет, для дисконтированного – 6 лет. </t>
  </si>
  <si>
    <t xml:space="preserve">Зная NPV = 29.2 и инвестиции в размере 100 ед, можно посчитать PI = 1 + 29.2/100 = 1.292. </t>
  </si>
  <si>
    <t>Денежные потоки*Дисконтирующий множитель</t>
  </si>
  <si>
    <t>Денежные потоки/(1+Ставка)^год</t>
  </si>
  <si>
    <t>предид. Дисконтирующий множитель/(1+Ставка)</t>
  </si>
  <si>
    <t>Денежные потоки+ЧПС(ставка;Денежные потоки  остальные)</t>
  </si>
  <si>
    <t>СУММ(Дисконтированные денежные потоки ВСЕ)</t>
  </si>
  <si>
    <t>Денежные потоки/(1+ $Ставка)^год</t>
  </si>
  <si>
    <t>подбор параметров</t>
  </si>
  <si>
    <t>ВСД(Денежные потоки ВСЕ)</t>
  </si>
  <si>
    <t>MIRR с помощью функции  МВСД ()</t>
  </si>
  <si>
    <t>МВСД(Денежные потоки ВСЕ;кредит%;ставка инвестирования%)</t>
  </si>
  <si>
    <t xml:space="preserve"> PI (срок окупаемости) = 1+NPV/(-Денежные потоки)</t>
  </si>
  <si>
    <t xml:space="preserve">MIRR найдем с помощью встроенной функции Excel, которая называется МВСД(). В результате получим значение 13,4%. </t>
  </si>
  <si>
    <r>
      <t xml:space="preserve">3. Лекция  </t>
    </r>
    <r>
      <rPr>
        <b/>
        <sz val="14"/>
        <color theme="1"/>
        <rFont val="Arial"/>
        <family val="2"/>
        <charset val="204"/>
      </rPr>
      <t>ОЦЕНКА ЭФФЕКТИВНОСТИ ИНВЕСТИЦИЙ</t>
    </r>
  </si>
  <si>
    <t>ЛЕКЦИЯ 4. ПРИМЕНЕНИЕ СТАТИСТИКИ В ЭКОНОМИКЕ И ФИНАНСАХ</t>
  </si>
  <si>
    <t xml:space="preserve"> (где 0 означает абсолютную невозможность и 1 означает достоверность).</t>
  </si>
  <si>
    <t>прогнозирования случайных событий</t>
  </si>
  <si>
    <t>и доли имущества в компании при ликвидации.</t>
  </si>
  <si>
    <t>которые входят в рассматриваемый период.</t>
  </si>
  <si>
    <t>обычно измеряемая волатильностью (то есть, среднеквадратическим отклонением доходности актива).</t>
  </si>
  <si>
    <t>и риска отдельных активов между собой.</t>
  </si>
  <si>
    <t>E(X) = X1*P(X1) + X2*P(X2) +…</t>
  </si>
  <si>
    <t>где Е(Х) – ожидаемое значение величины Х;</t>
  </si>
  <si>
    <t>Х1, Х2, … - значения величины Х в различных исходах;</t>
  </si>
  <si>
    <t>Р(Х1), Р(Х2), … - соответствующие вероятности этих исходов.</t>
  </si>
  <si>
    <t>на основе информации о некоторых условиях В, которые связаны с наступлением события:</t>
  </si>
  <si>
    <r>
      <rPr>
        <sz val="12"/>
        <color theme="1"/>
        <rFont val="Arial"/>
        <family val="2"/>
        <charset val="204"/>
      </rPr>
      <t xml:space="preserve">Теория вероятностей </t>
    </r>
    <r>
      <rPr>
        <sz val="12"/>
        <color theme="1"/>
        <rFont val="Calibri"/>
        <family val="2"/>
        <charset val="204"/>
        <scheme val="minor"/>
      </rPr>
      <t>– раздел математики, изучающий случайные события, случайные величины и их свойства.</t>
    </r>
  </si>
  <si>
    <r>
      <rPr>
        <sz val="12"/>
        <color theme="1"/>
        <rFont val="Arial"/>
        <family val="2"/>
        <charset val="204"/>
      </rPr>
      <t>Случайное событие</t>
    </r>
    <r>
      <rPr>
        <sz val="12"/>
        <color theme="1"/>
        <rFont val="Calibri"/>
        <family val="2"/>
        <charset val="204"/>
        <scheme val="minor"/>
      </rPr>
      <t xml:space="preserve"> – событие, у которого нет заранее известного исхода и набор вероятных исходов у такого события всегда больше одного.</t>
    </r>
  </si>
  <si>
    <r>
      <rPr>
        <sz val="12"/>
        <color theme="1"/>
        <rFont val="Arial"/>
        <family val="2"/>
        <charset val="204"/>
      </rPr>
      <t xml:space="preserve">Случайная величина </t>
    </r>
    <r>
      <rPr>
        <sz val="12"/>
        <color theme="1"/>
        <rFont val="Calibri"/>
        <family val="2"/>
        <charset val="204"/>
        <scheme val="minor"/>
      </rPr>
      <t>– величина, чье значение меняется в зависимости от случая (т.е. неопределенности).</t>
    </r>
  </si>
  <si>
    <r>
      <rPr>
        <sz val="12"/>
        <color theme="1"/>
        <rFont val="Arial"/>
        <family val="2"/>
        <charset val="204"/>
      </rPr>
      <t xml:space="preserve">Вероятность </t>
    </r>
    <r>
      <rPr>
        <sz val="12"/>
        <color theme="1"/>
        <rFont val="Calibri"/>
        <family val="2"/>
        <charset val="204"/>
        <scheme val="minor"/>
      </rPr>
      <t>– мера возможности наступления некоторого события, которая определяется как число в интервале от 0 до 1</t>
    </r>
  </si>
  <si>
    <r>
      <rPr>
        <sz val="12"/>
        <color theme="1"/>
        <rFont val="Arial"/>
        <family val="2"/>
        <charset val="204"/>
      </rPr>
      <t>Условная вероятность</t>
    </r>
    <r>
      <rPr>
        <sz val="12"/>
        <color theme="1"/>
        <rFont val="Calibri"/>
        <family val="2"/>
        <charset val="204"/>
        <scheme val="minor"/>
      </rPr>
      <t xml:space="preserve"> – вероятность некоторого события А при условии наступления некоторого события B.</t>
    </r>
  </si>
  <si>
    <r>
      <rPr>
        <sz val="12"/>
        <color theme="1"/>
        <rFont val="Arial"/>
        <family val="2"/>
        <charset val="204"/>
      </rPr>
      <t>Математическая статистика</t>
    </r>
    <r>
      <rPr>
        <sz val="12"/>
        <color theme="1"/>
        <rFont val="Calibri"/>
        <family val="2"/>
        <charset val="204"/>
        <scheme val="minor"/>
      </rPr>
      <t xml:space="preserve"> - раздел математики, изучающий методы описания и анализа данных наблюдений и экспериментов с целью </t>
    </r>
  </si>
  <si>
    <r>
      <rPr>
        <sz val="12"/>
        <color theme="1"/>
        <rFont val="Arial"/>
        <family val="2"/>
        <charset val="204"/>
      </rPr>
      <t>Генеральная совокупность</t>
    </r>
    <r>
      <rPr>
        <sz val="12"/>
        <color theme="1"/>
        <rFont val="Calibri"/>
        <family val="2"/>
        <charset val="204"/>
        <scheme val="minor"/>
      </rPr>
      <t xml:space="preserve"> - это набор всех возможных значений, которые случайная величина принимала за все время наблюдения.</t>
    </r>
  </si>
  <si>
    <r>
      <rPr>
        <sz val="12"/>
        <color theme="1"/>
        <rFont val="Arial"/>
        <family val="2"/>
        <charset val="204"/>
      </rPr>
      <t xml:space="preserve">Выборка </t>
    </r>
    <r>
      <rPr>
        <sz val="12"/>
        <color theme="1"/>
        <rFont val="Calibri"/>
        <family val="2"/>
        <charset val="204"/>
        <scheme val="minor"/>
      </rPr>
      <t>- некоторое подмножество исторических значений случайной величины (то есть часть генеральной совокупности).</t>
    </r>
  </si>
  <si>
    <r>
      <rPr>
        <sz val="12"/>
        <color theme="1"/>
        <rFont val="Arial"/>
        <family val="2"/>
        <charset val="204"/>
      </rPr>
      <t>Функция вероятности p(x)</t>
    </r>
    <r>
      <rPr>
        <sz val="12"/>
        <color theme="1"/>
        <rFont val="Calibri"/>
        <family val="2"/>
        <charset val="204"/>
        <scheme val="minor"/>
      </rPr>
      <t xml:space="preserve"> - зависимость вероятности появления определенного значения “x” случайной величины X от этого значения.</t>
    </r>
  </si>
  <si>
    <r>
      <rPr>
        <sz val="12"/>
        <color theme="1"/>
        <rFont val="Arial"/>
        <family val="2"/>
        <charset val="204"/>
      </rPr>
      <t xml:space="preserve">Медиана </t>
    </r>
    <r>
      <rPr>
        <sz val="12"/>
        <color theme="1"/>
        <rFont val="Calibri"/>
        <family val="2"/>
        <charset val="204"/>
        <scheme val="minor"/>
      </rPr>
      <t xml:space="preserve">- средняя величина в упорядоченном ряду исторических значений. </t>
    </r>
  </si>
  <si>
    <r>
      <rPr>
        <sz val="12"/>
        <color theme="1"/>
        <rFont val="Algerian"/>
        <family val="5"/>
      </rPr>
      <t>Мода</t>
    </r>
    <r>
      <rPr>
        <sz val="12"/>
        <color theme="1"/>
        <rFont val="Calibri"/>
        <family val="2"/>
        <charset val="204"/>
        <scheme val="minor"/>
      </rPr>
      <t xml:space="preserve"> - то значение случайной величины, которое чаще всего встречается в историческом наборе данных.</t>
    </r>
  </si>
  <si>
    <r>
      <rPr>
        <sz val="12"/>
        <color theme="1"/>
        <rFont val="Arial"/>
        <family val="2"/>
        <charset val="204"/>
      </rPr>
      <t>Дисперсия</t>
    </r>
    <r>
      <rPr>
        <sz val="12"/>
        <color theme="1"/>
        <rFont val="Calibri"/>
        <family val="2"/>
        <charset val="204"/>
        <scheme val="minor"/>
      </rPr>
      <t xml:space="preserve"> - мера разброса значений случайной величины относительно её математического ожидания.</t>
    </r>
  </si>
  <si>
    <r>
      <rPr>
        <sz val="12"/>
        <color theme="1"/>
        <rFont val="Arial"/>
        <family val="2"/>
        <charset val="204"/>
      </rPr>
      <t xml:space="preserve">Среднеквадратичное отклонение (СКО) </t>
    </r>
    <r>
      <rPr>
        <sz val="12"/>
        <color theme="1"/>
        <rFont val="Calibri"/>
        <family val="2"/>
        <charset val="204"/>
        <scheme val="minor"/>
      </rPr>
      <t>- это квадратный корень из дисперсии.</t>
    </r>
  </si>
  <si>
    <r>
      <rPr>
        <sz val="12"/>
        <color theme="1"/>
        <rFont val="Arial"/>
        <family val="2"/>
        <charset val="204"/>
      </rPr>
      <t>Доходность актива</t>
    </r>
    <r>
      <rPr>
        <sz val="12"/>
        <color theme="1"/>
        <rFont val="Calibri"/>
        <family val="2"/>
        <charset val="204"/>
        <scheme val="minor"/>
      </rPr>
      <t xml:space="preserve"> - процент от стоимости актива, который инвестор заработал в результате инвестиции.</t>
    </r>
  </si>
  <si>
    <r>
      <rPr>
        <sz val="12"/>
        <color theme="1"/>
        <rFont val="Arial"/>
        <family val="2"/>
        <charset val="204"/>
      </rPr>
      <t>Акция</t>
    </r>
    <r>
      <rPr>
        <sz val="12"/>
        <color theme="1"/>
        <rFont val="Calibri"/>
        <family val="2"/>
        <charset val="204"/>
        <scheme val="minor"/>
      </rPr>
      <t xml:space="preserve"> - ценная бумага, подтверждающая владение частью компании (бизнеса) и право на получение дивидендов </t>
    </r>
  </si>
  <si>
    <r>
      <rPr>
        <sz val="12"/>
        <color theme="1"/>
        <rFont val="Arial"/>
        <family val="2"/>
        <charset val="204"/>
      </rPr>
      <t>Риск</t>
    </r>
    <r>
      <rPr>
        <sz val="12"/>
        <color theme="1"/>
        <rFont val="Calibri"/>
        <family val="2"/>
        <charset val="204"/>
        <scheme val="minor"/>
      </rPr>
      <t xml:space="preserve"> - это количественная оценка потенциальных потерь и их вероятности в силу наличия неопределенности относительно будущих событий, </t>
    </r>
  </si>
  <si>
    <r>
      <rPr>
        <sz val="12"/>
        <color theme="1"/>
        <rFont val="Arial"/>
        <family val="2"/>
        <charset val="204"/>
      </rPr>
      <t>Инвестиционный портфель</t>
    </r>
    <r>
      <rPr>
        <sz val="12"/>
        <color theme="1"/>
        <rFont val="Calibri"/>
        <family val="2"/>
        <charset val="204"/>
        <scheme val="minor"/>
      </rPr>
      <t xml:space="preserve"> - набор финансовых активов, который управляется как единое целое, с учетом зависимостей доходности </t>
    </r>
  </si>
  <si>
    <r>
      <rPr>
        <sz val="12"/>
        <color theme="1"/>
        <rFont val="Arial"/>
        <family val="2"/>
        <charset val="204"/>
      </rPr>
      <t xml:space="preserve">Диверсификация </t>
    </r>
    <r>
      <rPr>
        <sz val="12"/>
        <color theme="1"/>
        <rFont val="Calibri"/>
        <family val="2"/>
        <charset val="204"/>
        <scheme val="minor"/>
      </rPr>
      <t>- снижение риска инвестиционного портфеля в результате добавления в него новых активов.</t>
    </r>
  </si>
  <si>
    <t xml:space="preserve">Однако известно, что в сумерках человек правильно идентифицирует цвет в 80% случаев. Вопрос: </t>
  </si>
  <si>
    <t>какова вероятность того, что автомобиль-нарушитель был действительно синий?</t>
  </si>
  <si>
    <r>
      <rPr>
        <sz val="12"/>
        <color theme="1"/>
        <rFont val="Arial"/>
        <family val="2"/>
        <charset val="204"/>
      </rPr>
      <t xml:space="preserve">Задача 1. </t>
    </r>
    <r>
      <rPr>
        <sz val="12"/>
        <color theme="1"/>
        <rFont val="Calibri"/>
        <family val="2"/>
        <charset val="204"/>
        <scheme val="minor"/>
      </rPr>
      <t xml:space="preserve">В городе 85% автомобилей зеленые и 15% синие. Свидетель ДТП ночью идентифицировал автомобиль как синий. </t>
    </r>
  </si>
  <si>
    <t xml:space="preserve">какие события мы в этой формуле рассматриваем применительно к нашей конкретной задаче. 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</si>
  <si>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Наша цель – правильно применить формулу Байеса, а для этого надо точно расписать, </t>
    </r>
  </si>
  <si>
    <t xml:space="preserve"> что акция выросла, какова вероятность, что состояние экономики позитивное?</t>
  </si>
  <si>
    <r>
      <rPr>
        <sz val="12"/>
        <color theme="1"/>
        <rFont val="Arial"/>
        <family val="2"/>
        <charset val="204"/>
      </rPr>
      <t xml:space="preserve">Задача 2. </t>
    </r>
    <r>
      <rPr>
        <sz val="12"/>
        <color theme="1"/>
        <rFont val="Calibri"/>
        <family val="2"/>
        <charset val="204"/>
        <scheme val="minor"/>
      </rPr>
      <t>Если известны условные вероятности поведения акции в разных состояниях экономики, и известно,</t>
    </r>
  </si>
  <si>
    <t xml:space="preserve"> = 30%*60% + 50%*30% + 20%*10% = B42</t>
  </si>
  <si>
    <t xml:space="preserve"> а нас интересует только  ситуация, когда акция выросла при позитивной экономике </t>
  </si>
  <si>
    <t xml:space="preserve"> = 30%*60% = 18%. Тогда ответ = 18%/35% = 51%.</t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</si>
  <si>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charset val="204"/>
        <scheme val="minor"/>
      </rPr>
      <t xml:space="preserve"> Общая вероятность, что акция выросла – это ожидаемое значение вероятности роста акции </t>
    </r>
  </si>
  <si>
    <t xml:space="preserve">Каждое утро он покупает газеты по цене $0,7 за штуку и продает их в течение дня по $1,0. </t>
  </si>
  <si>
    <t>Пусть известно, что вероятности продать определенное количество газет следующие:</t>
  </si>
  <si>
    <r>
      <rPr>
        <sz val="12"/>
        <color theme="1"/>
        <rFont val="Arial"/>
        <family val="2"/>
        <charset val="204"/>
      </rPr>
      <t>Задача 3.</t>
    </r>
    <r>
      <rPr>
        <sz val="12"/>
        <color theme="1"/>
        <rFont val="Calibri"/>
        <family val="2"/>
        <charset val="204"/>
        <scheme val="minor"/>
      </rPr>
      <t xml:space="preserve"> Теперь решим задачу в Excel. Киоск занимается продажей газет. </t>
    </r>
  </si>
  <si>
    <t>Определить оптимальный размер закупки газет утром.</t>
  </si>
  <si>
    <t>Если закупим слишком много, но не продадим – понесем прямые убытки (газеты придется в конце дня утилизировать).</t>
  </si>
  <si>
    <t xml:space="preserve"> Если закупим слишком мало, то недополучим потенциальную прибыль. </t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</si>
  <si>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charset val="204"/>
        <scheme val="minor"/>
      </rPr>
      <t xml:space="preserve">Суть задачи заключается в том, что нам надо найти оптимальное значение, сколько газет закупать. </t>
    </r>
  </si>
  <si>
    <t xml:space="preserve">Теперь графически можно определить оптимум с максимальной прибылью = 10 газет. </t>
  </si>
  <si>
    <t>а математическая статистика – на реальных исторических данных;</t>
  </si>
  <si>
    <t xml:space="preserve">•  теоретический (теорвер) vs эмпирический (матстат) характер, т.е. теория вероятностей основана на теоретических зависимостях, </t>
  </si>
  <si>
    <t xml:space="preserve">•  разовый эксперимент (теорвер) vs множество повторений (матстат), т.е. в теории вероятностей рассматривается один эксперимент, </t>
  </si>
  <si>
    <t xml:space="preserve">например, 1 бросок кубика или 1 бросок монеты, а в математической статистике – множество повторений, </t>
  </si>
  <si>
    <t>например, 100 бросков кубика или 1000 бросков монеты;</t>
  </si>
  <si>
    <t xml:space="preserve">•  экономическая интерпретация результатов (теорвер говорит о интерпретации, например, прибыли от инвестиции, </t>
  </si>
  <si>
    <t xml:space="preserve">в терминах одного исхода, если мы сделаем одну инвестицию, а матстат – о интерпретации в виде среднего результата после  множества повторений, </t>
  </si>
  <si>
    <t>если мы сделаем много инвестиций)</t>
  </si>
  <si>
    <r>
      <rPr>
        <sz val="12"/>
        <color theme="1"/>
        <rFont val="Arial"/>
        <family val="2"/>
        <charset val="204"/>
      </rPr>
      <t>Среднее значение случайной величины (или математическое ожидание)</t>
    </r>
    <r>
      <rPr>
        <sz val="12"/>
        <color theme="1"/>
        <rFont val="Calibri"/>
        <family val="2"/>
        <charset val="204"/>
        <scheme val="minor"/>
      </rPr>
      <t xml:space="preserve"> - среднее арифметическое всех значений, </t>
    </r>
  </si>
  <si>
    <t>p(x) = P(X=x)</t>
  </si>
  <si>
    <t xml:space="preserve">Функция вероятности всегда ограничена 0 и 1: </t>
  </si>
  <si>
    <t>0 ≤ p(x) ≤ 1</t>
  </si>
  <si>
    <t xml:space="preserve">Поскольку случайная величина гарантированно примет одно из набора ее значений, то сумма вероятностей для всех значений всегда равна 1:	</t>
  </si>
  <si>
    <t>Σp(x) = 1</t>
  </si>
  <si>
    <t>Геометрическое среднее - рассчитывается по формуле:</t>
  </si>
  <si>
    <t>Гармоническое среднее - рассчитывается по формуле:</t>
  </si>
  <si>
    <t>Геометрическое среднее обычно используется, например, для расчета средней доходности от инвестиций за период</t>
  </si>
  <si>
    <t xml:space="preserve">Гармоническое среднее используется, например, для расчета среднего значения т.н. мультипликаторов </t>
  </si>
  <si>
    <t xml:space="preserve">(эта тема выходит за пределы нашего курса, желающие могут обратиться к литературе по финансовому анализу компаний). </t>
  </si>
  <si>
    <t>РИСК И ДОХОДНОСТЬ</t>
  </si>
  <si>
    <t>R(i) = ln (P(i)/P(i-1))</t>
  </si>
  <si>
    <t>Rгод = Rдн * 252 (число торговых дней)</t>
  </si>
  <si>
    <t>Формула применяется только для малых периодов (минута, час, день).</t>
  </si>
  <si>
    <t xml:space="preserve">Если нам нужно определить доходность за длительный период (месяц, год), то мы должны пересчитать из среднедневной доходности: </t>
  </si>
  <si>
    <r>
      <rPr>
        <sz val="12"/>
        <color theme="1"/>
        <rFont val="Arial"/>
        <family val="2"/>
        <charset val="204"/>
      </rPr>
      <t xml:space="preserve">Задача 3. </t>
    </r>
    <r>
      <rPr>
        <sz val="12"/>
        <color theme="1"/>
        <rFont val="Calibri"/>
        <family val="2"/>
        <charset val="204"/>
        <scheme val="minor"/>
      </rPr>
      <t xml:space="preserve">У финансистов основным инструментом всегда является Excel, поэтому именно в нем разберем расчеты статистических параметров. </t>
    </r>
  </si>
  <si>
    <t>Решение.</t>
  </si>
  <si>
    <t>•  СРЗНАЧ() – для поиска среднего значения (матожидания доходности акции);</t>
  </si>
  <si>
    <t>•  МОДА() – для поиска моды распределения;</t>
  </si>
  <si>
    <t>•  МЕДИАНА() – для поиска медианы распределения;</t>
  </si>
  <si>
    <t>•  СТАНДОТКЛОН.В() – для поиска СКО (риска или волатильности доходности акции) по выборке.</t>
  </si>
  <si>
    <t>ОСНОВЫ ПОРТФЕЛЬНОГО АНАЛИЗА</t>
  </si>
  <si>
    <t>Согласно теории Марковица доходность и риск портфеля из двух активов А и В рассчитывается по формулам:</t>
  </si>
  <si>
    <t>рассчитав доходность и риск для портфеля из двух активов (акций General Electric и Vertex).</t>
  </si>
  <si>
    <r>
      <rPr>
        <sz val="12"/>
        <color theme="1"/>
        <rFont val="Arial"/>
        <family val="2"/>
        <charset val="204"/>
      </rPr>
      <t xml:space="preserve">Задача 4. </t>
    </r>
    <r>
      <rPr>
        <sz val="12"/>
        <color theme="1"/>
        <rFont val="Calibri"/>
        <family val="2"/>
        <charset val="204"/>
        <scheme val="minor"/>
      </rPr>
      <t xml:space="preserve">Этот эффект диверсификации можно продемонстрировать с помощью Excel, </t>
    </r>
  </si>
  <si>
    <t xml:space="preserve">Видим, что доходность портфеля выше доходности одной из акции, </t>
  </si>
  <si>
    <t xml:space="preserve">а вот риск портфеля ниже рисков каждой из двух составляющих. </t>
  </si>
  <si>
    <t>Эффект диверсификации продемонстрирован.</t>
  </si>
  <si>
    <t xml:space="preserve">Шарп предположил, что рынок не должен вознаграждать за тот риск, </t>
  </si>
  <si>
    <t xml:space="preserve">который может быть диверсифицирован, </t>
  </si>
  <si>
    <t>и инвестор получает премию только за рыночный риск:</t>
  </si>
  <si>
    <t>Модель Шарпа позволяет найти равновесную (справедливую) доходность любого актива</t>
  </si>
  <si>
    <t xml:space="preserve"> как функцию от чувствительности к рыночному риску (коэффициента бета):</t>
  </si>
  <si>
    <t xml:space="preserve">где Rf – безрисковая ставка (см.первую лекцию), </t>
  </si>
  <si>
    <t>E(Rmkt) – ожидаемая доходность рынка (например, для российского рынка – это индекс ММВБ-РТС),</t>
  </si>
  <si>
    <t xml:space="preserve"> β – коэффициент бета данного актива. </t>
  </si>
  <si>
    <t xml:space="preserve">Диверсификация основана на несовершенной корреляции между доходностями активов. </t>
  </si>
  <si>
    <r>
      <rPr>
        <sz val="12"/>
        <color theme="1"/>
        <rFont val="Arial"/>
        <family val="2"/>
        <charset val="204"/>
      </rPr>
      <t xml:space="preserve">Корреляция </t>
    </r>
    <r>
      <rPr>
        <sz val="12"/>
        <color theme="1"/>
        <rFont val="Calibri"/>
        <family val="2"/>
        <charset val="204"/>
        <scheme val="minor"/>
      </rPr>
      <t xml:space="preserve">– это некая мера связи между двумя случайными величинами: чем больше величины связаны между собой, тем больше их корреляция. </t>
    </r>
  </si>
  <si>
    <t>Блок 1. Чистая приведенная стоимость (NPV) и внутренняя норма доходности (IRR)</t>
  </si>
  <si>
    <t>Определить чистую приведенную стоимость (NPV) этого проекта без применения встроенных функций Excel</t>
  </si>
  <si>
    <t xml:space="preserve"> (то есть непосредственно по формуле NPV), если стоимость денег для инвестора равна 12%.</t>
  </si>
  <si>
    <t>на основе дисконтирующих множителей (т.е. предварительного расчета коэффициентов вида 1/(1+r)^i).</t>
  </si>
  <si>
    <t>диск множитель</t>
  </si>
  <si>
    <t>1/1.12=0,89</t>
  </si>
  <si>
    <t>диск поток</t>
  </si>
  <si>
    <t>NPV будет равен сумме этих дисконтированных потоков: NPV = 117.1</t>
  </si>
  <si>
    <t xml:space="preserve">начиная с самого первого. А нам не нужно дисконтировать начальные инвестиции (-100) в нулевом периоде, </t>
  </si>
  <si>
    <t xml:space="preserve">«Подбор параметра» (вкладка «Данные» -&gt; Анализ «что если» -&gt; Подбор параметра), </t>
  </si>
  <si>
    <t xml:space="preserve">который позволяет указать ячейку с расчетом NPV для установки в нем нулевого значения путем изменения ячейки </t>
  </si>
  <si>
    <t>с величиной ставки дисконтирования =&gt; путем подбора получаем 45,5%</t>
  </si>
  <si>
    <t>Найти NPV этого проекта, если ставка дисконтирования равна 15%.</t>
  </si>
  <si>
    <t>NPV = -100 + 25/1.15^3 + 25/1.15^4 + 50/1.15^5 + 50/1.15^6 + 200/1.15^8 = 42,6;</t>
  </si>
  <si>
    <t>а последующие 4 года становится 10%.</t>
  </si>
  <si>
    <t>NPV = -100 + 25/(1.15^3) + 25/(1.15^4) + 50/(1.15^4)/(1,10^1) + 50//(1.15^4)/(1,10^2) + 200/(1.15^4)/(1,10^4) = 58,4;</t>
  </si>
  <si>
    <t>NPV равен сумме дисконтированных потоков = 58,4 =1/(1+C12)*B13</t>
  </si>
  <si>
    <t xml:space="preserve">Проект Б имеет следующие денежные потоки: </t>
  </si>
  <si>
    <t>Если стоимость денег для инвестора равна 10% годовых, то какой проект следует выбрать и почему?</t>
  </si>
  <si>
    <t>квартал</t>
  </si>
  <si>
    <t>NPV = -100 + 10/1.03^1 + 10/1.03^2 + 15/1.03^3 + 15/1.03^4 + 25/1.03^5 + 25/1.03^6 + 50/1.03^7 + 50/1.03^8 = 68.8</t>
  </si>
  <si>
    <t xml:space="preserve"> (т.е. предварительного расчета коэффициентов вида 1/(1+r)^i).</t>
  </si>
  <si>
    <t xml:space="preserve">Необходимо принять решение, инвестируем в проект или нет, если ставка дисконтирования 15% годовых. </t>
  </si>
  <si>
    <t>проект не является инвестиционно привлекательным, инвестировать в него не следует.</t>
  </si>
  <si>
    <t xml:space="preserve">Необходимо принять решение, инвестируем </t>
  </si>
  <si>
    <t>проект является инвестиционно привлекательным, в него следует инвестировать.</t>
  </si>
  <si>
    <t xml:space="preserve"> инвестиция в размере 50 млн руб. приносит затем ежеквартальную финансовую ренту в размере 3 млн руб/квартал в течение 5 лет.</t>
  </si>
  <si>
    <t xml:space="preserve"> Если стоимость денег для инвестора оценивается в 9% годовых, то следует ли ему принять этот инвестиционный проект?</t>
  </si>
  <si>
    <t>проект инвестиционно не привлекателен, принимать его не следует.</t>
  </si>
  <si>
    <t xml:space="preserve">стоимость займа или инвестиции на основе постоянной процентной ставки. </t>
  </si>
  <si>
    <t xml:space="preserve">Функцию ПС можно применять как для периодических постоянных выплат (например, </t>
  </si>
  <si>
    <t>по ипотеке или другим займам), так и для будущей стоимости, являющейся целью инвестиции.</t>
  </si>
  <si>
    <t xml:space="preserve">ПС — одна из финансовых функций, возвращающая приведенную (к текущему моменту) </t>
  </si>
  <si>
    <t xml:space="preserve">  Ставка    — обязательный аргумент. Процентная ставка за период. </t>
  </si>
  <si>
    <t xml:space="preserve">Например, если получен кредит на автомобиль под 10 процентов годовых и выплаты производятся ежемесячно, </t>
  </si>
  <si>
    <t>процентная ставка за месяц составит 10%/12 (0,83%). В качестве значения аргумента "ставка" нужно ввести в формулу 10%/12, 0,83% или 0,0083.</t>
  </si>
  <si>
    <t xml:space="preserve">  Кпер    — обязательный аргумент. Общее число периодов платежей для ежегодного платежа. </t>
  </si>
  <si>
    <t xml:space="preserve">Например, если получен кредит на 4 года на покупку автомобиля и платежи производятся ежемесячно, </t>
  </si>
  <si>
    <t>то кредит имеет 4*12 (или 48) периодов. В качестве значения аргумента "кпер" в формулу нужно ввести число 48.</t>
  </si>
  <si>
    <t xml:space="preserve">  Плт    Обязательный. Выплата, производимая в каждый период и не меняющаяся на протяжении всего периода ежегодного платежа. </t>
  </si>
  <si>
    <t>Обычно аргумент "плт" состоит из выплат в счет основной суммы и платежей по процентам, но не включает в себя другие сборы или налоги.</t>
  </si>
  <si>
    <t xml:space="preserve"> Например, ежемесячная выплата по кредиту в размере 10 000 ₽ под 12 процентов годовых на 4 года составит 263,33 ₽. </t>
  </si>
  <si>
    <t>В качестве значения аргумента "плт" нужно ввести в формулу число -263,33. Если он опущен, аргумент "бс" является обязательным.</t>
  </si>
  <si>
    <t xml:space="preserve">  Fv    Необязательный. Будущая стоимость или баланс, который вы хотите достичь после последнего платежа. </t>
  </si>
  <si>
    <t xml:space="preserve">Если значение "ок" опущено, предполагается значение 0 (например, будущая стоимость займа — 0). </t>
  </si>
  <si>
    <t xml:space="preserve">Например, если за 18 лет вы хотите сохранить 50 000 рублей для оплаты специального проекта, будущая стоимость — 50 000 рублей. </t>
  </si>
  <si>
    <t>Затем можно было бы точно определить процентную ставку и определить, сколько необходимо ежемесячно сохранять.</t>
  </si>
  <si>
    <t xml:space="preserve"> Если аргумент "пс" опущен, необходимо включить аргумент "pmt".</t>
  </si>
  <si>
    <t>  Тип    Необязательный. Число 0 или 1, обозначающее, когда должна производиться выплата.</t>
  </si>
  <si>
    <t>Если нужно выбрать только один проект, то какой является наиболее предпочтительным с точки зрения роста благосостояния инвестора?</t>
  </si>
  <si>
    <t>Инвестиции, млн руб.</t>
  </si>
  <si>
    <t>Срок, лет</t>
  </si>
  <si>
    <t>NPV, млн руб.</t>
  </si>
  <si>
    <t>IRR, %</t>
  </si>
  <si>
    <t>Проект А</t>
  </si>
  <si>
    <t>Проект Б</t>
  </si>
  <si>
    <t>Проект В</t>
  </si>
  <si>
    <t xml:space="preserve">насколько богаче станет инвестор после реализации проекта с учетом стоимости денег. </t>
  </si>
  <si>
    <t>Соответственно, выбираем проект В, у которого NPV максимален!</t>
  </si>
  <si>
    <t>Какой является следует принять инвестору, у которого стоимость денег равна 10% годовых?</t>
  </si>
  <si>
    <t xml:space="preserve"> А для второго инвестора, если она у него равна 18% годовых?</t>
  </si>
  <si>
    <t>Таким образом, для первого инвестора более привлекателен проект Б, а для второго инвестора – проект А (по критерию, где больше NPV).</t>
  </si>
  <si>
    <t xml:space="preserve"> общие инвестиции в 0 году составят 500 млн руб., и еще 250 млн руб. в 1 году. График производства продукции следующий:</t>
  </si>
  <si>
    <t>Объем производства, ед</t>
  </si>
  <si>
    <t>Цена единицы продукции в бизнес-плане принята за 5 млн руб.</t>
  </si>
  <si>
    <t>Затраты на производство единицы продукции (себестоимость) составляют 2,7 млн руб/ед. К</t>
  </si>
  <si>
    <t xml:space="preserve">Кроме того, каждый год после запуска производства тратится еще 70 млн руб. на содержание завода и офиса управляющей компании. </t>
  </si>
  <si>
    <t>Инвестор построил денежные потоки по проекту и оказалось, что для него NPV = 0. Какова стоимость денег у инвестора?</t>
  </si>
  <si>
    <t>Налог в размере 20% годовых платится каждый год с прибыли завода, если она положительна (прибыль = выручка от продажи продукции</t>
  </si>
  <si>
    <t xml:space="preserve"> минус себестоимость минус постоянные расходы на содержание завода и офиса). </t>
  </si>
  <si>
    <t>В конце срока (в конце 9 года) предполагается продать завод по остаточной стоимости оборудования за 90 млн руб.</t>
  </si>
  <si>
    <t>Стоимость денег для инвестора – это внутренняя норма доходности проекта (поскольку NPV = 0) =&gt; определяем IRR с помощью функции ВСД() и получаем 13,0%.</t>
  </si>
  <si>
    <t xml:space="preserve">Цена </t>
  </si>
  <si>
    <t>млн руб/ед</t>
  </si>
  <si>
    <t>Себестоимость</t>
  </si>
  <si>
    <t>Объем</t>
  </si>
  <si>
    <t>ед</t>
  </si>
  <si>
    <t>Выручка</t>
  </si>
  <si>
    <t>Постоянные расходы</t>
  </si>
  <si>
    <t>Прибыль</t>
  </si>
  <si>
    <t>Налог на прибыль</t>
  </si>
  <si>
    <t>Денежный поток от завода</t>
  </si>
  <si>
    <t>Инвестиции</t>
  </si>
  <si>
    <t>Продажа оборудования</t>
  </si>
  <si>
    <t>Итого денежный поток</t>
  </si>
  <si>
    <t xml:space="preserve"> насколько изменится NPV при изменении параметра) к: </t>
  </si>
  <si>
    <t xml:space="preserve">1)	изменению ставки дисконтирования с 13% до 12%; </t>
  </si>
  <si>
    <t>2) изменение цены продукции увеличивает NPV до 205 млн руб.;</t>
  </si>
  <si>
    <t>3) изменение целевого объема производства увеличивает NPV до 45 млн руб.</t>
  </si>
  <si>
    <t>2) изменению цены единицы продукции с 5 млн руб. до 5,5 млн руб.;</t>
  </si>
  <si>
    <t>3) изменению целевого объема производства с 200 до 215 ед/год</t>
  </si>
  <si>
    <t>1) изменение ставки увеличивает NPV до 41 млн руб</t>
  </si>
  <si>
    <t>Блок 2. Прочие меры оценки эффективности проектов (PP, PI, MIRR)</t>
  </si>
  <si>
    <t>кумулятивно:</t>
  </si>
  <si>
    <t>Видно, что окупаемость наступает на 3 году проекта. Если посчитать точнее, то:</t>
  </si>
  <si>
    <t xml:space="preserve">•  для обыкновенных потоков за третий год проект зарабатывает 90, а окупить нужно -30, </t>
  </si>
  <si>
    <t>оставшиеся на конец 2 года, т.е. проект окупит за 30/90 = 1/3 года, то есть 4 месяца. Следовательно, PP (обыкн) = 2 года 4 месяца.</t>
  </si>
  <si>
    <t xml:space="preserve">•  для дисконтированных потоков за третий год проект зарабатывает 64, а окупить нужно -42, </t>
  </si>
  <si>
    <t>оставшиеся на конец 2 года, т.е. проект окупит за 42/64 = 2/3 года, то есть 8 месяцев. Следовательно, PP (диск) = 2 года 8 месяцев.</t>
  </si>
  <si>
    <t xml:space="preserve"> А нам не нужно дисконтировать начальные инвестиции (-100) в нулевом периоде, поэтому нужно будет правильно написать формулу: </t>
  </si>
  <si>
    <t xml:space="preserve">NPV = -100 + ЧПС(12%;20;50;90;150) = 117,1. </t>
  </si>
  <si>
    <t>То есть, на каждый вложенный рубль инвестор зарабатывает 2,17 руб.</t>
  </si>
  <si>
    <t xml:space="preserve">если ставка финансирования проекта составляет 15%, а ставка реинвестирования 8%. </t>
  </si>
  <si>
    <t xml:space="preserve">Стоимость денег для инвестора равна 12% годовых. Определить обыкновенный срок окупаемости (с точностью до месяца). </t>
  </si>
  <si>
    <t>Очевидно, что срок окупаемости равен в точности 6 кварталам.</t>
  </si>
  <si>
    <t>Окупаемость наступает в 7 квартале, если более точно, то за 6 кварталов + (11,3/40,7) = 6,3 квартала, т.е. 6 кварталов и примерно 1 месяц.</t>
  </si>
  <si>
    <t>Инвестор хочет выбрать один из проектов по критерию ликвидности. Какой он должен выбрать?</t>
  </si>
  <si>
    <t>Очевидно, что проект А окупается только на 5 году, а проект Б – на 4. Следовательно, надо выбрать именно проект Б.</t>
  </si>
  <si>
    <t xml:space="preserve">Если стоимость денег равна 10%, и инвестор хочет получить максимальную доходность на вложенный рубль инвестиций, </t>
  </si>
  <si>
    <t>то какой проект он должен выбрать.</t>
  </si>
  <si>
    <t xml:space="preserve"> Второй проект дает намного больший возврат на рубль инвестиций, поэтому следует принять его.</t>
  </si>
  <si>
    <t xml:space="preserve"> если ставка реинвестирования равна 4%, а ставка финансирования равна 10%.</t>
  </si>
  <si>
    <t>без использования встроенной функции Excel (то есть непосредственно по формуле из лекций),</t>
  </si>
  <si>
    <t>PV(отриц. денежных потоков) = 100 (инвестиции только в 0 момент времени)</t>
  </si>
  <si>
    <r>
      <rPr>
        <sz val="12"/>
        <color theme="1"/>
        <rFont val="Arial"/>
        <family val="2"/>
        <charset val="204"/>
      </rPr>
      <t>Задача 1.</t>
    </r>
    <r>
      <rPr>
        <sz val="12"/>
        <color theme="1"/>
        <rFont val="Calibri"/>
        <family val="2"/>
        <scheme val="minor"/>
      </rPr>
      <t xml:space="preserve"> Есть инвестиционный проект со следующими денежными потоками по годам: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</si>
  <si>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scheme val="minor"/>
      </rPr>
      <t xml:space="preserve"> Для инвестиционного проекта из задачи 1 определить NPV в Excel с применением расчета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</si>
  <si>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В Excel рассчитаем дисконтирующие множители и дисконтированные денежные потоки:</t>
    </r>
  </si>
  <si>
    <r>
      <rPr>
        <sz val="12"/>
        <color theme="1"/>
        <rFont val="Arial"/>
        <family val="2"/>
        <charset val="204"/>
      </rPr>
      <t xml:space="preserve">Задача 3. </t>
    </r>
    <r>
      <rPr>
        <sz val="12"/>
        <color theme="1"/>
        <rFont val="Calibri"/>
        <family val="2"/>
        <scheme val="minor"/>
      </rPr>
      <t>Определить NPV потоков инвестиционного проекта из задачи 1 с использованием встроенной функции Excel.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</si>
  <si>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Вспоминаем, что функция ЧПС() обладает следующей особенностью: она дисконтирует все денежные потоки, </t>
    </r>
  </si>
  <si>
    <r>
      <rPr>
        <sz val="12"/>
        <color theme="1"/>
        <rFont val="Arial"/>
        <family val="2"/>
        <charset val="204"/>
      </rPr>
      <t>Задача 4.</t>
    </r>
    <r>
      <rPr>
        <sz val="12"/>
        <color theme="1"/>
        <rFont val="Calibri"/>
        <family val="2"/>
        <scheme val="minor"/>
      </rPr>
      <t xml:space="preserve"> Определить внутреннюю норму доходности проекта из задачи 1 путем подбора ставки дисконтирования в Excel.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</si>
  <si>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Как известно, в Excel есть инструмент, который называется </t>
    </r>
  </si>
  <si>
    <r>
      <rPr>
        <sz val="12"/>
        <color theme="1"/>
        <rFont val="Arial"/>
        <family val="2"/>
        <charset val="204"/>
      </rPr>
      <t>Задача 5.</t>
    </r>
    <r>
      <rPr>
        <sz val="12"/>
        <color theme="1"/>
        <rFont val="Calibri"/>
        <family val="2"/>
        <scheme val="minor"/>
      </rPr>
      <t xml:space="preserve"> Определить внутреннюю норму доходности проекта </t>
    </r>
  </si>
  <si>
    <r>
      <rPr>
        <sz val="12"/>
        <color theme="1"/>
        <rFont val="Arial"/>
        <family val="2"/>
        <charset val="204"/>
      </rPr>
      <t>Задача 6.</t>
    </r>
    <r>
      <rPr>
        <sz val="12"/>
        <color theme="1"/>
        <rFont val="Calibri"/>
        <family val="2"/>
        <scheme val="minor"/>
      </rPr>
      <t xml:space="preserve"> Есть инвестиционный проект со следующими денежными потоками по годам: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</si>
  <si>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Есть два варианта решения этой задачи. </t>
    </r>
  </si>
  <si>
    <r>
      <rPr>
        <sz val="12"/>
        <color theme="1"/>
        <rFont val="Arial"/>
        <family val="2"/>
        <charset val="204"/>
      </rPr>
      <t>Задача 7.</t>
    </r>
    <r>
      <rPr>
        <sz val="12"/>
        <color theme="1"/>
        <rFont val="Calibri"/>
        <family val="2"/>
        <scheme val="minor"/>
      </rPr>
      <t xml:space="preserve"> Для инвестиционного проекта из задачи 6 определить NPV, если первые 4 года ставка дисконтирования равна 15%,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</si>
  <si>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Есть два варианта решения этой задачи. Формулой ЧПС() пользоваться нельзя!! </t>
    </r>
  </si>
  <si>
    <r>
      <rPr>
        <sz val="12"/>
        <color theme="1"/>
        <rFont val="Arial"/>
        <family val="2"/>
        <charset val="204"/>
      </rPr>
      <t>Задача 8.</t>
    </r>
    <r>
      <rPr>
        <sz val="12"/>
        <color theme="1"/>
        <rFont val="Calibri"/>
        <family val="2"/>
        <scheme val="minor"/>
      </rPr>
      <t xml:space="preserve"> Инвестору предлагают два проекта на выбор. Аналитик определил, что проект А имеет NPV=115 млн.руб. и IRR = 25%.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</si>
  <si>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Когда идет сравнение двух проектов, то главный критерий – NPV. Поэтому рассчитаем NPV второго проекта: -</t>
    </r>
  </si>
  <si>
    <r>
      <rPr>
        <sz val="12"/>
        <color theme="1"/>
        <rFont val="Arial"/>
        <family val="2"/>
        <charset val="204"/>
      </rPr>
      <t>Задача 9.</t>
    </r>
    <r>
      <rPr>
        <sz val="12"/>
        <color theme="1"/>
        <rFont val="Calibri"/>
        <family val="2"/>
        <scheme val="minor"/>
      </rPr>
      <t xml:space="preserve"> Есть инвестиционный проект со следующими денежными потоками по кварталам:</t>
    </r>
  </si>
  <si>
    <r>
      <rPr>
        <sz val="12"/>
        <color theme="1"/>
        <rFont val="Arial"/>
        <family val="2"/>
        <charset val="204"/>
      </rPr>
      <t xml:space="preserve">Задача 10. </t>
    </r>
    <r>
      <rPr>
        <sz val="12"/>
        <color theme="1"/>
        <rFont val="Calibri"/>
        <family val="2"/>
        <scheme val="minor"/>
      </rPr>
      <t>Для инвестиционного проекта из задачи 9 определить NPV в Excel с применением расчета на основе дисконтирующих множителей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</si>
  <si>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В Excel рассчитаем дисконтирующие множители и дисконтированные денежные потоки:</t>
    </r>
  </si>
  <si>
    <r>
      <rPr>
        <sz val="12"/>
        <color theme="1"/>
        <rFont val="Arial"/>
        <family val="2"/>
        <charset val="204"/>
      </rPr>
      <t>Задача 11.</t>
    </r>
    <r>
      <rPr>
        <sz val="12"/>
        <color theme="1"/>
        <rFont val="Calibri"/>
        <family val="2"/>
        <scheme val="minor"/>
      </rPr>
      <t xml:space="preserve"> Определить NPV потоков инвестиционного проекта из задачи 9 с использованием встроенной функции Excel.</t>
    </r>
  </si>
  <si>
    <r>
      <rPr>
        <sz val="12"/>
        <color theme="1"/>
        <rFont val="Arial"/>
        <family val="2"/>
        <charset val="204"/>
      </rPr>
      <t>Задача 12.</t>
    </r>
    <r>
      <rPr>
        <sz val="12"/>
        <color theme="1"/>
        <rFont val="Calibri"/>
        <family val="2"/>
        <scheme val="minor"/>
      </rPr>
      <t xml:space="preserve"> Определить внутреннюю норму доходности проекта из задачи 9 путем использования встроенной функции Excel.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</si>
  <si>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Для определения IRR используем функцию ВСД(): ВСД(денежного потока) = 13,4%. </t>
    </r>
  </si>
  <si>
    <r>
      <rPr>
        <sz val="12"/>
        <color theme="1"/>
        <rFont val="Arial"/>
        <family val="2"/>
        <charset val="204"/>
      </rPr>
      <t>Задача 13.</t>
    </r>
    <r>
      <rPr>
        <sz val="12"/>
        <color theme="1"/>
        <rFont val="Calibri"/>
        <family val="2"/>
        <scheme val="minor"/>
      </rPr>
      <t xml:space="preserve"> Для задачи 9 найти IRR путем подбора ставки в Excel без использования встроенной функции ВСД().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</si>
  <si>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Выполняем аналогично задаче 4. Ответ будет как в задаче 13: 40,4%. </t>
    </r>
  </si>
  <si>
    <r>
      <rPr>
        <sz val="12"/>
        <color theme="1"/>
        <rFont val="Arial"/>
        <family val="2"/>
        <charset val="204"/>
      </rPr>
      <t xml:space="preserve">Задача 14. </t>
    </r>
    <r>
      <rPr>
        <sz val="12"/>
        <color theme="1"/>
        <rFont val="Calibri"/>
        <family val="2"/>
        <scheme val="minor"/>
      </rPr>
      <t>Есть инвестиционный проект с денежными потоками по годам:</t>
    </r>
  </si>
  <si>
    <r>
      <rPr>
        <sz val="12"/>
        <color theme="1"/>
        <rFont val="Arial"/>
        <family val="2"/>
        <charset val="204"/>
      </rPr>
      <t>Задача 15</t>
    </r>
    <r>
      <rPr>
        <sz val="12"/>
        <color theme="1"/>
        <rFont val="Calibri"/>
        <family val="2"/>
        <scheme val="minor"/>
      </rPr>
      <t>. Есть инвестиционный проект с денежными потоками по кварталам:</t>
    </r>
  </si>
  <si>
    <r>
      <rPr>
        <sz val="12"/>
        <color theme="1"/>
        <rFont val="Arial"/>
        <family val="2"/>
        <charset val="204"/>
      </rPr>
      <t>Задача 16</t>
    </r>
    <r>
      <rPr>
        <sz val="12"/>
        <color theme="1"/>
        <rFont val="Calibri"/>
        <family val="2"/>
        <scheme val="minor"/>
      </rPr>
      <t>. Инвестор рассматривает инвестиционный проект со следующими параметрами:</t>
    </r>
  </si>
  <si>
    <r>
      <rPr>
        <sz val="12"/>
        <color theme="1"/>
        <rFont val="Arial"/>
        <family val="2"/>
        <charset val="204"/>
      </rPr>
      <t xml:space="preserve">Задача 17. </t>
    </r>
    <r>
      <rPr>
        <sz val="12"/>
        <color theme="1"/>
        <rFont val="Calibri"/>
        <family val="2"/>
        <scheme val="minor"/>
      </rPr>
      <t>Есть три инвестиционных проекта со следующими параметрами: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</si>
  <si>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Главным критерием является показатель NPV, поскольку он показывает, </t>
    </r>
  </si>
  <si>
    <r>
      <rPr>
        <sz val="12"/>
        <color theme="1"/>
        <rFont val="Arial"/>
        <family val="2"/>
        <charset val="204"/>
      </rPr>
      <t>Задача 18.</t>
    </r>
    <r>
      <rPr>
        <sz val="12"/>
        <color theme="1"/>
        <rFont val="Calibri"/>
        <family val="2"/>
        <scheme val="minor"/>
      </rPr>
      <t xml:space="preserve"> Есть два инвестиционных проекта со следующими денежными потоками:</t>
    </r>
  </si>
  <si>
    <r>
      <rPr>
        <sz val="12"/>
        <color theme="1"/>
        <rFont val="Arial"/>
        <family val="2"/>
        <charset val="204"/>
      </rPr>
      <t>Задача 19</t>
    </r>
    <r>
      <rPr>
        <sz val="12"/>
        <color theme="1"/>
        <rFont val="Calibri"/>
        <family val="2"/>
        <scheme val="minor"/>
      </rPr>
      <t xml:space="preserve"> (повышенной сложности). Согласно бизнес-плану строительства завода по производству тракторов</t>
    </r>
  </si>
  <si>
    <r>
      <rPr>
        <sz val="12"/>
        <color theme="1"/>
        <rFont val="Arial"/>
        <family val="2"/>
        <charset val="204"/>
      </rPr>
      <t>Решение</t>
    </r>
    <r>
      <rPr>
        <sz val="12"/>
        <color theme="1"/>
        <rFont val="Calibri"/>
        <family val="2"/>
        <scheme val="minor"/>
      </rPr>
      <t>. Рассчитаем денежные потоки:</t>
    </r>
  </si>
  <si>
    <r>
      <rPr>
        <sz val="12"/>
        <color theme="1"/>
        <rFont val="Arial"/>
        <family val="2"/>
        <charset val="204"/>
      </rPr>
      <t xml:space="preserve">Задача 20 </t>
    </r>
    <r>
      <rPr>
        <sz val="12"/>
        <color theme="1"/>
        <rFont val="Calibri"/>
        <family val="2"/>
        <scheme val="minor"/>
      </rPr>
      <t>(повышенной сложности). В условиях задачи 19 определить чувствительность NPV проекта (то есть, определить,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</si>
  <si>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В предыдущей таблице меняем по одному параметру (только один за раз, затем возвращаем исходное значение!) и получаем результаты:</t>
    </r>
  </si>
  <si>
    <r>
      <rPr>
        <sz val="12"/>
        <color theme="1"/>
        <rFont val="Arial"/>
        <family val="2"/>
        <charset val="204"/>
      </rPr>
      <t xml:space="preserve">Задача 1. </t>
    </r>
    <r>
      <rPr>
        <sz val="12"/>
        <color theme="1"/>
        <rFont val="Calibri"/>
        <family val="2"/>
        <scheme val="minor"/>
      </rPr>
      <t>Для инвестиционного проекта из задачи 1 определить срок окупаемости обыкновенный и дисконтированный, с точностью до 1 месяца.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</si>
  <si>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Определим накопленную величину обыкновенных и дисконтированных потоков по годам: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</si>
  <si>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scheme val="minor"/>
      </rPr>
      <t xml:space="preserve"> Для инвестиционного проекта из задачи 1 определить индекс доходности.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</si>
  <si>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Вспоминаем, что функция ЧПС() обладает следующей особенностью: она дисконтирует все денежные потоки, начиная с самого первого.</t>
    </r>
  </si>
  <si>
    <r>
      <rPr>
        <sz val="12"/>
        <color theme="1"/>
        <rFont val="Arial"/>
        <family val="2"/>
        <charset val="204"/>
      </rPr>
      <t xml:space="preserve">Задача 3. </t>
    </r>
    <r>
      <rPr>
        <sz val="12"/>
        <color theme="1"/>
        <rFont val="Calibri"/>
        <family val="2"/>
        <scheme val="minor"/>
      </rPr>
      <t xml:space="preserve">Для инвестиционного проекта из задачи 1 определить модифицированную норму доходности, </t>
    </r>
  </si>
  <si>
    <r>
      <rPr>
        <sz val="12"/>
        <color theme="1"/>
        <rFont val="Arial"/>
        <family val="2"/>
        <charset val="204"/>
      </rPr>
      <t>Задача 4.</t>
    </r>
    <r>
      <rPr>
        <sz val="12"/>
        <color theme="1"/>
        <rFont val="Calibri"/>
        <family val="2"/>
        <scheme val="minor"/>
      </rPr>
      <t xml:space="preserve"> Есть инвестиционный проект со следующими денежными потоками по кварталам: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</si>
  <si>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Используем функцию Excel МВСД(&lt;денежный поток&gt;;15%;8%) = 35%.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</si>
  <si>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Определим накопленную величину потоков по годам:</t>
    </r>
  </si>
  <si>
    <r>
      <rPr>
        <sz val="12"/>
        <color theme="1"/>
        <rFont val="Arial"/>
        <family val="2"/>
        <charset val="204"/>
      </rPr>
      <t>Задача 5.</t>
    </r>
    <r>
      <rPr>
        <sz val="12"/>
        <color theme="1"/>
        <rFont val="Calibri"/>
        <family val="2"/>
        <scheme val="minor"/>
      </rPr>
      <t xml:space="preserve"> Для инвестиционного проекта из задачи 4 определить дисконтированный срок окупаемости (с точностью до месяца).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</si>
  <si>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Определим накопленную величину дисконтированных потоков по годам:</t>
    </r>
  </si>
  <si>
    <r>
      <rPr>
        <sz val="12"/>
        <color theme="1"/>
        <rFont val="Arial"/>
        <family val="2"/>
        <charset val="204"/>
      </rPr>
      <t xml:space="preserve">Задача 6. </t>
    </r>
    <r>
      <rPr>
        <sz val="12"/>
        <color theme="1"/>
        <rFont val="Calibri"/>
        <family val="2"/>
        <scheme val="minor"/>
      </rPr>
      <t>Для инвестиционного проекта из задачи 4 определить индекс доходности.</t>
    </r>
  </si>
  <si>
    <r>
      <rPr>
        <sz val="12"/>
        <color theme="1"/>
        <rFont val="Arial"/>
        <family val="2"/>
        <charset val="204"/>
      </rPr>
      <t>Задача 7.</t>
    </r>
    <r>
      <rPr>
        <sz val="12"/>
        <color theme="1"/>
        <rFont val="Calibri"/>
        <family val="2"/>
        <scheme val="minor"/>
      </rPr>
      <t xml:space="preserve"> Есть два инвестиционных проекта со следующими денежными потоками: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</si>
  <si>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Ликвидность характеризуется сроком окупаемости. Определим, у какого проекта окупаемости наступит быстрее:</t>
    </r>
  </si>
  <si>
    <r>
      <rPr>
        <sz val="12"/>
        <color theme="1"/>
        <rFont val="Arial"/>
        <family val="2"/>
        <charset val="204"/>
      </rPr>
      <t xml:space="preserve">Задача 8. </t>
    </r>
    <r>
      <rPr>
        <sz val="12"/>
        <color theme="1"/>
        <rFont val="Calibri"/>
        <family val="2"/>
        <scheme val="minor"/>
      </rPr>
      <t>Есть два инвестиционных проекта со следующими денежными потоками: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</si>
  <si>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Рассчитаем NPV двух проектов, они оказываются приблизительно одинаковы и равны 65. </t>
    </r>
  </si>
  <si>
    <r>
      <rPr>
        <sz val="12"/>
        <color theme="1"/>
        <rFont val="Arial"/>
        <family val="2"/>
        <charset val="204"/>
      </rPr>
      <t>Задача 9.</t>
    </r>
    <r>
      <rPr>
        <sz val="12"/>
        <color theme="1"/>
        <rFont val="Calibri"/>
        <family val="2"/>
        <scheme val="minor"/>
      </rPr>
      <t xml:space="preserve"> Определите модифицированную внутреннюю норму доходности проекта из задачи 4 с использованием встроенной функции Excel,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</si>
  <si>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Используем функцию Excel МВСД(&lt;денежный поток&gt;;10%/4;4%/4) * 4 квартала = 37%.</t>
    </r>
  </si>
  <si>
    <r>
      <rPr>
        <sz val="12"/>
        <color theme="1"/>
        <rFont val="Arial"/>
        <family val="2"/>
        <charset val="204"/>
      </rPr>
      <t>Задача 10</t>
    </r>
    <r>
      <rPr>
        <sz val="12"/>
        <color theme="1"/>
        <rFont val="Calibri"/>
        <family val="2"/>
        <scheme val="minor"/>
      </rPr>
      <t xml:space="preserve"> (повышенной сложности). Определите модифицированную внутреннюю норму доходности проекта из задачи 4 </t>
    </r>
  </si>
  <si>
    <t>Урок 2. Оценка эффективности инвестиций</t>
  </si>
  <si>
    <t>денежный поток -1200 100 200 300 400 500</t>
  </si>
  <si>
    <t>Необходимо принять решение, инвестируем в проект или нет, если ставка дисконтирования 15% годовых.</t>
  </si>
  <si>
    <t>Год 0 1 2 3 4 5 6</t>
  </si>
  <si>
    <t>денежный поток -1500 100 200 300 400 500 600</t>
  </si>
  <si>
    <t>найти NPV, если первые два года ставка дисконтирования равна 20%, следующие два года она равна 15%, и затем становится 10%.</t>
  </si>
  <si>
    <t>Год 0 1 2 3 4 5</t>
  </si>
  <si>
    <t>Проект А -1000 100 250 450 500 550</t>
  </si>
  <si>
    <t>Проект Б -1000 200 300 400 450 500</t>
  </si>
  <si>
    <t>то какой проект он должен выбрать?</t>
  </si>
  <si>
    <t xml:space="preserve">Инвестор хочет выбрать один из проектов по критерию ликвидности с учетом временной стоимости денег в размере 10% годовых. </t>
  </si>
  <si>
    <t>Какой он должен выбрать?</t>
  </si>
  <si>
    <t xml:space="preserve">  </t>
  </si>
  <si>
    <t>Денежные потоки/(1+ $Ставка/4)^квартал</t>
  </si>
  <si>
    <t>Квартал 0 1 2 3 4 5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</si>
  <si>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NPV проекта равен = 112 &gt;0 =&gt; следовательно, </t>
    </r>
    <r>
      <rPr>
        <sz val="12"/>
        <color theme="1"/>
        <rFont val="Calibri"/>
        <family val="2"/>
        <charset val="204"/>
        <scheme val="minor"/>
      </rPr>
      <t>проект является инвестиционно привлекательным, в него следует инвестировать.</t>
    </r>
  </si>
  <si>
    <r>
      <rPr>
        <sz val="12"/>
        <color theme="1"/>
        <rFont val="Arial"/>
        <family val="2"/>
        <charset val="204"/>
      </rPr>
      <t>Задача 1.</t>
    </r>
    <r>
      <rPr>
        <sz val="12"/>
        <color theme="1"/>
        <rFont val="Calibri"/>
        <family val="2"/>
        <charset val="204"/>
        <scheme val="minor"/>
      </rPr>
      <t xml:space="preserve"> Есть инвестиционный проект с денежными потоками по кварталам:   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</si>
  <si>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charset val="204"/>
        <scheme val="minor"/>
      </rPr>
      <t xml:space="preserve"> Для инвестиционного проекта с денежными потоками:</t>
    </r>
  </si>
  <si>
    <r>
      <rPr>
        <sz val="12"/>
        <color theme="1"/>
        <rFont val="Arial"/>
        <family val="2"/>
        <charset val="204"/>
      </rPr>
      <t xml:space="preserve">Задача 3. </t>
    </r>
    <r>
      <rPr>
        <sz val="12"/>
        <color theme="1"/>
        <rFont val="Calibri"/>
        <family val="2"/>
        <charset val="204"/>
        <scheme val="minor"/>
      </rPr>
      <t>Для проекта из задачи 2 найти внутреннюю норму доходности.</t>
    </r>
  </si>
  <si>
    <r>
      <rPr>
        <sz val="12"/>
        <color theme="1"/>
        <rFont val="Arial"/>
        <family val="2"/>
        <charset val="204"/>
      </rPr>
      <t>Задача 4.</t>
    </r>
    <r>
      <rPr>
        <sz val="12"/>
        <color theme="1"/>
        <rFont val="Calibri"/>
        <family val="2"/>
        <charset val="204"/>
        <scheme val="minor"/>
      </rPr>
      <t xml:space="preserve"> Есть два инвестиционных проекта со следующими денежными потоками:</t>
    </r>
  </si>
  <si>
    <r>
      <rPr>
        <sz val="12"/>
        <color theme="1"/>
        <rFont val="Arial"/>
        <family val="2"/>
        <charset val="204"/>
      </rPr>
      <t>Задача 5.</t>
    </r>
    <r>
      <rPr>
        <sz val="12"/>
        <color theme="1"/>
        <rFont val="Calibri"/>
        <family val="2"/>
        <charset val="204"/>
        <scheme val="minor"/>
      </rPr>
      <t xml:space="preserve"> Есть два инвестиционных проекта со следующими денежными потоками:</t>
    </r>
  </si>
  <si>
    <t>1. Можно либо использовать формулу/дисконтирующие множители:</t>
  </si>
  <si>
    <t>1. Можно либо использовать формулу «в лоб»:</t>
  </si>
  <si>
    <t xml:space="preserve">2. либо использовать дисконтирующие множители: </t>
  </si>
  <si>
    <r>
      <t xml:space="preserve">2. либо в Excel добавить недостающие года и использовать функцию: </t>
    </r>
    <r>
      <rPr>
        <sz val="10"/>
        <color theme="1"/>
        <rFont val="Calibri"/>
        <family val="2"/>
        <charset val="204"/>
        <scheme val="minor"/>
      </rPr>
      <t>NPV = -100 + ЧПС(15%;0;0;25;25;50;50;0;200) = 42.6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</si>
  <si>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Для определения IRR используем функцию ВСД():</t>
    </r>
    <r>
      <rPr>
        <sz val="10"/>
        <color theme="1"/>
        <rFont val="Calibri"/>
        <family val="2"/>
        <charset val="204"/>
        <scheme val="minor"/>
      </rPr>
      <t xml:space="preserve"> ВСД(&lt;-100;20;50;90;150&gt;) = 45,5%     =ВСД(B2:F2)</t>
    </r>
  </si>
  <si>
    <r>
      <t>поэтому нужно будет правильно написать формулу:</t>
    </r>
    <r>
      <rPr>
        <sz val="10"/>
        <color theme="1"/>
        <rFont val="Calibri"/>
        <family val="2"/>
        <charset val="204"/>
        <scheme val="minor"/>
      </rPr>
      <t xml:space="preserve"> NPV = -100 + ЧПС(12%;20;50;90;150) = 117,1.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</si>
  <si>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Согласно классической формуле </t>
    </r>
    <r>
      <rPr>
        <sz val="10"/>
        <color theme="1"/>
        <rFont val="Calibri"/>
        <family val="2"/>
        <charset val="204"/>
        <scheme val="minor"/>
      </rPr>
      <t>NPV = -100 + 20/1.12^1 + 50/1.12^2 + 90/1.12^3 + 150 /1.12^4 = 117.1</t>
    </r>
  </si>
  <si>
    <r>
      <rPr>
        <sz val="10"/>
        <color theme="1"/>
        <rFont val="Calibri"/>
        <family val="2"/>
        <charset val="204"/>
        <scheme val="minor"/>
      </rPr>
      <t xml:space="preserve">150+ЧПС(10%;50;125;150) = 111,5 </t>
    </r>
    <r>
      <rPr>
        <sz val="12"/>
        <color theme="1"/>
        <rFont val="Calibri"/>
        <family val="2"/>
        <scheme val="minor"/>
      </rPr>
      <t>=&gt; нужно выбирать первый проект, поскольку он обеспечит больший прирост благосостояния инвестора.</t>
    </r>
  </si>
  <si>
    <r>
      <rPr>
        <sz val="12"/>
        <color theme="1"/>
        <rFont val="Arial"/>
        <family val="2"/>
        <charset val="204"/>
      </rPr>
      <t>Решение</t>
    </r>
    <r>
      <rPr>
        <sz val="12"/>
        <color theme="1"/>
        <rFont val="Calibri"/>
        <family val="2"/>
        <scheme val="minor"/>
      </rPr>
      <t xml:space="preserve">. Поскольку поток поквартальный, то ставку в расчетах будем использовать </t>
    </r>
    <r>
      <rPr>
        <sz val="10"/>
        <color theme="1"/>
        <rFont val="Calibri"/>
        <family val="2"/>
        <charset val="204"/>
        <scheme val="minor"/>
      </rPr>
      <t xml:space="preserve">12%/4 = 3% </t>
    </r>
    <r>
      <rPr>
        <sz val="12"/>
        <color theme="1"/>
        <rFont val="Calibri"/>
        <family val="2"/>
        <scheme val="minor"/>
      </rPr>
      <t xml:space="preserve">в квартал: </t>
    </r>
  </si>
  <si>
    <r>
      <t xml:space="preserve">NPV будет равен сумме этих дисконтированных потоков: </t>
    </r>
    <r>
      <rPr>
        <sz val="10"/>
        <color theme="1"/>
        <rFont val="Calibri"/>
        <family val="2"/>
        <charset val="204"/>
        <scheme val="minor"/>
      </rPr>
      <t>NPV = 68,8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</si>
  <si>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0"/>
        <color theme="1"/>
        <rFont val="Calibri"/>
        <family val="2"/>
        <charset val="204"/>
        <scheme val="minor"/>
      </rPr>
      <t>NPV = -100 + ЧПС(12%/4;10;10;15;15;25;25;50;50) = 68,8</t>
    </r>
  </si>
  <si>
    <r>
      <t>Однако поток был поквартальным, значит, ставка рассчитана тоже квартальная =&gt; надо домножить на 4:</t>
    </r>
    <r>
      <rPr>
        <sz val="10"/>
        <color theme="1"/>
        <rFont val="Calibri"/>
        <family val="2"/>
        <charset val="204"/>
        <scheme val="minor"/>
      </rPr>
      <t xml:space="preserve"> IRR = 13.4*4 = 53.6%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</si>
  <si>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NPV проекта равен </t>
    </r>
    <r>
      <rPr>
        <sz val="10"/>
        <color theme="1"/>
        <rFont val="Calibri"/>
        <family val="2"/>
        <charset val="204"/>
        <scheme val="minor"/>
      </rPr>
      <t>-1200+ЧПС(15%;0;300;500;150;750) = -186</t>
    </r>
    <r>
      <rPr>
        <sz val="12"/>
        <color theme="1"/>
        <rFont val="Calibri"/>
        <family val="2"/>
        <scheme val="minor"/>
      </rPr>
      <t xml:space="preserve"> &lt;0 =&gt; следовательно,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</si>
  <si>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NPV проекта равен </t>
    </r>
    <r>
      <rPr>
        <sz val="9"/>
        <color theme="1"/>
        <rFont val="Calibri"/>
        <family val="2"/>
        <charset val="204"/>
        <scheme val="minor"/>
      </rPr>
      <t>-1200 + ЧПС(15%/4;0;300;500;150;750) = 280</t>
    </r>
    <r>
      <rPr>
        <sz val="12"/>
        <color theme="1"/>
        <rFont val="Calibri"/>
        <family val="2"/>
        <scheme val="minor"/>
      </rPr>
      <t xml:space="preserve"> &gt;0 =&gt; следовательно,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</si>
  <si>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Финансовая рента – это аннуитет, поэтому NPV проекта </t>
    </r>
    <r>
      <rPr>
        <sz val="10"/>
        <color theme="1"/>
        <rFont val="Calibri"/>
        <family val="2"/>
        <charset val="204"/>
        <scheme val="minor"/>
      </rPr>
      <t>= -50 + ПС(9%/4;5*4;-3) = -2</t>
    </r>
    <r>
      <rPr>
        <sz val="12"/>
        <color theme="1"/>
        <rFont val="Calibri"/>
        <family val="2"/>
        <scheme val="minor"/>
      </rPr>
      <t xml:space="preserve"> млн руб. &lt;0, следовательно,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</si>
  <si>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Для проекта А: </t>
    </r>
    <r>
      <rPr>
        <sz val="10"/>
        <color theme="1"/>
        <rFont val="Calibri"/>
        <family val="2"/>
        <charset val="204"/>
        <scheme val="minor"/>
      </rPr>
      <t>NPV(10%) = ЧПС(10%/4;30;40;50;40;30;20;10)-125 = 77.2 и NPV(18%) = ЧПС(18%/4;30;40;50;40;30;20;10)-125 =84.7.</t>
    </r>
  </si>
  <si>
    <r>
      <t xml:space="preserve">Для проекта Б: </t>
    </r>
    <r>
      <rPr>
        <sz val="10"/>
        <color theme="1"/>
        <rFont val="Calibri"/>
        <family val="2"/>
        <charset val="204"/>
        <scheme val="minor"/>
      </rPr>
      <t>NPV(10%) = ЧПС(10%/4;0;10;20;300;50;120)-150 =64,5 и NPV(18%) = ЧПС(18%/4;0;10;20;300;50;120)-150 = 60,5.</t>
    </r>
  </si>
  <si>
    <r>
      <t xml:space="preserve">В задаче 1 мы нашли, что NPV проекта = 117.1, при инвестициях в размере 100, следовательно, </t>
    </r>
    <r>
      <rPr>
        <sz val="10"/>
        <color theme="1"/>
        <rFont val="Calibri"/>
        <family val="2"/>
        <charset val="204"/>
        <scheme val="minor"/>
      </rPr>
      <t xml:space="preserve">PI = 1+117,1/100 = 2,17. </t>
    </r>
  </si>
  <si>
    <r>
      <t>Однако инвестора интересует индекс доходности, который оказывается разный:</t>
    </r>
    <r>
      <rPr>
        <sz val="10"/>
        <color theme="1"/>
        <rFont val="Calibri"/>
        <family val="2"/>
        <charset val="204"/>
        <scheme val="minor"/>
      </rPr>
      <t xml:space="preserve"> PI(А) = 1+65/1000 = 1,065 и PI(Б) = 1 + 65/100 = 1,65.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</si>
  <si>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FV(полож. денежных потоков) = </t>
    </r>
    <r>
      <rPr>
        <sz val="10"/>
        <color theme="1"/>
        <rFont val="Calibri"/>
        <family val="2"/>
        <charset val="204"/>
        <scheme val="minor"/>
      </rPr>
      <t>10*(1+4%/4)^7 + 10*(1+4%/4)^6 + 15*(1+4%/4)^5 + 15*(1+4%/4)^4 + 25*(1+4%/4)^3 +25*(1+4%/4)^2 + 50*(1+4%/4)^1 + 50 = 204,5</t>
    </r>
  </si>
  <si>
    <r>
      <rPr>
        <sz val="10"/>
        <color theme="1"/>
        <rFont val="Calibri"/>
        <family val="2"/>
        <charset val="204"/>
        <scheme val="minor"/>
      </rPr>
      <t>MIRR = ((FV/PV) ^ (1/8) – 1) * 4</t>
    </r>
    <r>
      <rPr>
        <sz val="12"/>
        <color theme="1"/>
        <rFont val="Calibri"/>
        <family val="2"/>
        <scheme val="minor"/>
      </rPr>
      <t xml:space="preserve"> квартала </t>
    </r>
    <r>
      <rPr>
        <sz val="10"/>
        <color theme="1"/>
        <rFont val="Calibri"/>
        <family val="2"/>
        <charset val="204"/>
        <scheme val="minor"/>
      </rPr>
      <t>= ((204,5/100)^(1/8)-1)*4 = 37%</t>
    </r>
  </si>
  <si>
    <t xml:space="preserve">PI  = 1 + 68.8/100 = 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</si>
  <si>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NPV проекта при 12% годовых равен</t>
    </r>
    <r>
      <rPr>
        <sz val="12"/>
        <color rgb="FFFF0000"/>
        <rFont val="Calibri"/>
        <family val="2"/>
        <charset val="204"/>
        <scheme val="minor"/>
      </rPr>
      <t xml:space="preserve"> </t>
    </r>
    <r>
      <rPr>
        <b/>
        <sz val="10"/>
        <color theme="4" tint="-0.249977111117893"/>
        <rFont val="Calibri"/>
        <family val="2"/>
        <charset val="204"/>
        <scheme val="minor"/>
      </rPr>
      <t>68,8</t>
    </r>
    <r>
      <rPr>
        <sz val="10"/>
        <color theme="1"/>
        <rFont val="Calibri"/>
        <family val="2"/>
        <charset val="204"/>
        <scheme val="minor"/>
      </rPr>
      <t xml:space="preserve"> =&gt; </t>
    </r>
  </si>
  <si>
    <t xml:space="preserve"> PI(А)</t>
  </si>
  <si>
    <t xml:space="preserve"> PV</t>
  </si>
  <si>
    <t>MIRR</t>
  </si>
  <si>
    <r>
      <rPr>
        <sz val="12"/>
        <color theme="1"/>
        <rFont val="Arial"/>
        <family val="2"/>
        <charset val="204"/>
      </rPr>
      <t xml:space="preserve">1. </t>
    </r>
    <r>
      <rPr>
        <b/>
        <sz val="12"/>
        <color theme="1"/>
        <rFont val="Arial"/>
        <family val="2"/>
        <charset val="204"/>
      </rPr>
      <t>Срок окупаемости</t>
    </r>
    <r>
      <rPr>
        <sz val="12"/>
        <color theme="1"/>
        <rFont val="Arial"/>
        <family val="2"/>
        <charset val="204"/>
      </rPr>
      <t xml:space="preserve"> (Payback Period или </t>
    </r>
    <r>
      <rPr>
        <b/>
        <sz val="12"/>
        <color theme="1"/>
        <rFont val="Arial"/>
        <family val="2"/>
        <charset val="204"/>
      </rPr>
      <t>PP)</t>
    </r>
    <r>
      <rPr>
        <sz val="12"/>
        <color theme="1"/>
        <rFont val="Arial"/>
        <family val="2"/>
        <charset val="204"/>
      </rPr>
      <t xml:space="preserve"> </t>
    </r>
    <r>
      <rPr>
        <sz val="12"/>
        <color theme="1"/>
        <rFont val="Calibri"/>
        <family val="2"/>
        <charset val="204"/>
        <scheme val="minor"/>
      </rPr>
      <t xml:space="preserve">- число лет, которые уйдут на то, чтобы окупить первоначальные инвестиции в проект </t>
    </r>
  </si>
  <si>
    <r>
      <t xml:space="preserve">2. </t>
    </r>
    <r>
      <rPr>
        <b/>
        <sz val="12"/>
        <color theme="1"/>
        <rFont val="Arial"/>
        <family val="2"/>
        <charset val="204"/>
      </rPr>
      <t xml:space="preserve">Индекс доходности </t>
    </r>
    <r>
      <rPr>
        <sz val="12"/>
        <color theme="1"/>
        <rFont val="Arial"/>
        <family val="2"/>
        <charset val="204"/>
      </rPr>
      <t xml:space="preserve">(Profitability Index или </t>
    </r>
    <r>
      <rPr>
        <b/>
        <sz val="12"/>
        <color theme="1"/>
        <rFont val="Arial"/>
        <family val="2"/>
        <charset val="204"/>
      </rPr>
      <t>P</t>
    </r>
    <r>
      <rPr>
        <sz val="12"/>
        <color theme="1"/>
        <rFont val="Arial"/>
        <family val="2"/>
        <charset val="204"/>
      </rPr>
      <t>I)</t>
    </r>
    <r>
      <rPr>
        <sz val="12"/>
        <color theme="1"/>
        <rFont val="Calibri"/>
        <family val="2"/>
        <charset val="204"/>
        <scheme val="minor"/>
      </rPr>
      <t xml:space="preserve"> - отношение суммы всех дисконтированных будущих положительных притоков по проекту </t>
    </r>
  </si>
  <si>
    <r>
      <t xml:space="preserve">2) воспользоваться встроенной в Excel функцией </t>
    </r>
    <r>
      <rPr>
        <b/>
        <sz val="12"/>
        <color theme="1"/>
        <rFont val="Calibri"/>
        <family val="2"/>
        <charset val="204"/>
        <scheme val="minor"/>
      </rPr>
      <t>ВСД</t>
    </r>
    <r>
      <rPr>
        <sz val="12"/>
        <color theme="1"/>
        <rFont val="Calibri"/>
        <family val="2"/>
        <charset val="204"/>
        <scheme val="minor"/>
      </rPr>
      <t>(), название которой является аббревиатурой от «Внутренняя Ставка Доходности».</t>
    </r>
  </si>
  <si>
    <r>
      <rPr>
        <b/>
        <sz val="12"/>
        <color theme="1"/>
        <rFont val="Arial"/>
        <family val="2"/>
        <charset val="204"/>
      </rPr>
      <t>Чистая приведенная стоимость</t>
    </r>
    <r>
      <rPr>
        <sz val="12"/>
        <color theme="1"/>
        <rFont val="Arial"/>
        <family val="2"/>
        <charset val="204"/>
      </rPr>
      <t xml:space="preserve"> (</t>
    </r>
    <r>
      <rPr>
        <sz val="12"/>
        <color theme="1"/>
        <rFont val="Calibri"/>
        <family val="2"/>
        <charset val="204"/>
        <scheme val="minor"/>
      </rPr>
      <t>Net Present Value,</t>
    </r>
    <r>
      <rPr>
        <sz val="12"/>
        <color theme="1"/>
        <rFont val="Arial"/>
        <family val="2"/>
        <charset val="204"/>
      </rPr>
      <t xml:space="preserve"> </t>
    </r>
    <r>
      <rPr>
        <b/>
        <sz val="12"/>
        <color theme="1"/>
        <rFont val="Arial"/>
        <family val="2"/>
        <charset val="204"/>
      </rPr>
      <t>NPV</t>
    </r>
    <r>
      <rPr>
        <sz val="12"/>
        <color theme="1"/>
        <rFont val="Arial"/>
        <family val="2"/>
        <charset val="204"/>
      </rPr>
      <t>)</t>
    </r>
    <r>
      <rPr>
        <sz val="12"/>
        <color theme="1"/>
        <rFont val="Calibri"/>
        <family val="2"/>
        <charset val="204"/>
        <scheme val="minor"/>
      </rPr>
      <t xml:space="preserve"> - сумма всех дисконтированных денежных потоков по проекту, </t>
    </r>
  </si>
  <si>
    <r>
      <rPr>
        <b/>
        <sz val="12"/>
        <color theme="1"/>
        <rFont val="Arial"/>
        <family val="2"/>
        <charset val="204"/>
      </rPr>
      <t>Внутренняя норма доходност</t>
    </r>
    <r>
      <rPr>
        <sz val="12"/>
        <color theme="1"/>
        <rFont val="Arial"/>
        <family val="2"/>
        <charset val="204"/>
      </rPr>
      <t>и</t>
    </r>
    <r>
      <rPr>
        <sz val="12"/>
        <color theme="1"/>
        <rFont val="Calibri"/>
        <family val="2"/>
        <charset val="204"/>
        <scheme val="minor"/>
      </rPr>
      <t xml:space="preserve"> или внутренняя ставка доходности (Internal Rate of Return,</t>
    </r>
    <r>
      <rPr>
        <b/>
        <sz val="12"/>
        <color theme="1"/>
        <rFont val="Arial"/>
        <family val="2"/>
        <charset val="204"/>
      </rPr>
      <t xml:space="preserve"> IRR</t>
    </r>
    <r>
      <rPr>
        <sz val="12"/>
        <color theme="1"/>
        <rFont val="Arial"/>
        <family val="2"/>
        <charset val="204"/>
      </rPr>
      <t xml:space="preserve">) </t>
    </r>
    <r>
      <rPr>
        <sz val="12"/>
        <color theme="1"/>
        <rFont val="Calibri"/>
        <family val="2"/>
        <charset val="204"/>
        <scheme val="minor"/>
      </rPr>
      <t xml:space="preserve">- </t>
    </r>
  </si>
  <si>
    <r>
      <rPr>
        <b/>
        <sz val="12"/>
        <color theme="1"/>
        <rFont val="Arial"/>
        <family val="2"/>
        <charset val="204"/>
      </rPr>
      <t xml:space="preserve">Срок окупаемости </t>
    </r>
    <r>
      <rPr>
        <sz val="12"/>
        <color theme="1"/>
        <rFont val="Arial"/>
        <family val="2"/>
        <charset val="204"/>
      </rPr>
      <t>(</t>
    </r>
    <r>
      <rPr>
        <sz val="12"/>
        <color theme="1"/>
        <rFont val="Calibri"/>
        <family val="2"/>
        <charset val="204"/>
        <scheme val="minor"/>
      </rPr>
      <t>Payback Period</t>
    </r>
    <r>
      <rPr>
        <sz val="12"/>
        <color theme="1"/>
        <rFont val="Arial"/>
        <family val="2"/>
        <charset val="204"/>
      </rPr>
      <t xml:space="preserve">, </t>
    </r>
    <r>
      <rPr>
        <b/>
        <sz val="12"/>
        <color theme="1"/>
        <rFont val="Arial"/>
        <family val="2"/>
        <charset val="204"/>
      </rPr>
      <t>PP</t>
    </r>
    <r>
      <rPr>
        <sz val="12"/>
        <color theme="1"/>
        <rFont val="Arial"/>
        <family val="2"/>
        <charset val="204"/>
      </rPr>
      <t>)</t>
    </r>
    <r>
      <rPr>
        <sz val="12"/>
        <color theme="1"/>
        <rFont val="Calibri"/>
        <family val="2"/>
        <charset val="204"/>
        <scheme val="minor"/>
      </rPr>
      <t xml:space="preserve"> - число лет, которые уйдут на то, чтобы окупить первоначальные инвестиции в проект </t>
    </r>
  </si>
  <si>
    <r>
      <rPr>
        <b/>
        <sz val="12"/>
        <color theme="1"/>
        <rFont val="Arial"/>
        <family val="2"/>
        <charset val="204"/>
      </rPr>
      <t xml:space="preserve">Индекс доходности </t>
    </r>
    <r>
      <rPr>
        <sz val="12"/>
        <color theme="1"/>
        <rFont val="Calibri"/>
        <family val="2"/>
        <charset val="204"/>
        <scheme val="minor"/>
      </rPr>
      <t>(Profitability Index,</t>
    </r>
    <r>
      <rPr>
        <sz val="12"/>
        <color theme="1"/>
        <rFont val="Arial"/>
        <family val="2"/>
        <charset val="204"/>
      </rPr>
      <t xml:space="preserve"> </t>
    </r>
    <r>
      <rPr>
        <b/>
        <sz val="12"/>
        <color theme="1"/>
        <rFont val="Arial"/>
        <family val="2"/>
        <charset val="204"/>
      </rPr>
      <t>PI)</t>
    </r>
    <r>
      <rPr>
        <sz val="12"/>
        <color theme="1"/>
        <rFont val="Arial"/>
        <family val="2"/>
        <charset val="204"/>
      </rPr>
      <t xml:space="preserve"> </t>
    </r>
    <r>
      <rPr>
        <sz val="12"/>
        <color theme="1"/>
        <rFont val="Calibri"/>
        <family val="2"/>
        <charset val="204"/>
        <scheme val="minor"/>
      </rPr>
      <t>- отношение суммы всех дисконтированных будущих положительных притоков</t>
    </r>
  </si>
  <si>
    <r>
      <rPr>
        <b/>
        <sz val="12"/>
        <color theme="1"/>
        <rFont val="Arial"/>
        <family val="2"/>
        <charset val="204"/>
      </rPr>
      <t>Модифицированная внутренняя норма доходности</t>
    </r>
    <r>
      <rPr>
        <sz val="12"/>
        <color theme="1"/>
        <rFont val="Arial"/>
        <family val="2"/>
        <charset val="204"/>
      </rPr>
      <t xml:space="preserve"> </t>
    </r>
    <r>
      <rPr>
        <sz val="12"/>
        <color theme="1"/>
        <rFont val="Calibri"/>
        <family val="2"/>
        <charset val="204"/>
        <scheme val="minor"/>
      </rPr>
      <t>(Modified Internal Rate of Return,</t>
    </r>
    <r>
      <rPr>
        <sz val="12"/>
        <color theme="1"/>
        <rFont val="Arial"/>
        <family val="2"/>
        <charset val="204"/>
      </rPr>
      <t xml:space="preserve"> </t>
    </r>
    <r>
      <rPr>
        <b/>
        <sz val="12"/>
        <color theme="1"/>
        <rFont val="Arial"/>
        <family val="2"/>
        <charset val="204"/>
      </rPr>
      <t>MIRR</t>
    </r>
    <r>
      <rPr>
        <sz val="12"/>
        <color theme="1"/>
        <rFont val="Arial"/>
        <family val="2"/>
        <charset val="204"/>
      </rPr>
      <t xml:space="preserve">) </t>
    </r>
    <r>
      <rPr>
        <sz val="12"/>
        <color theme="1"/>
        <rFont val="Calibri"/>
        <family val="2"/>
        <charset val="204"/>
        <scheme val="minor"/>
      </rPr>
      <t xml:space="preserve">– ставка дисконтирования, </t>
    </r>
  </si>
  <si>
    <t>ЧПС</t>
  </si>
  <si>
    <t>Доходность</t>
  </si>
  <si>
    <t>Усредн. Ден. Поток</t>
  </si>
  <si>
    <t>NPV1</t>
  </si>
  <si>
    <t>NPV2</t>
  </si>
  <si>
    <t>проект А</t>
  </si>
  <si>
    <t>проект Б</t>
  </si>
  <si>
    <t>цена</t>
  </si>
  <si>
    <t>Себестоимость итог</t>
  </si>
  <si>
    <t xml:space="preserve"> IRR</t>
  </si>
  <si>
    <t>комулятивно</t>
  </si>
  <si>
    <t>ЧПС(А)</t>
  </si>
  <si>
    <t>ЧПС(Б)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</si>
  <si>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второй проект дает больший возврат на рубль инвестиций  следовательно, </t>
    </r>
    <r>
      <rPr>
        <sz val="12"/>
        <color theme="1"/>
        <rFont val="Calibri"/>
        <family val="2"/>
        <charset val="204"/>
        <scheme val="minor"/>
      </rPr>
      <t>выбираем проект В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</si>
  <si>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проект Б окупится на 4 год  следовательно, </t>
    </r>
    <r>
      <rPr>
        <sz val="12"/>
        <color theme="1"/>
        <rFont val="Calibri"/>
        <family val="2"/>
        <charset val="204"/>
        <scheme val="minor"/>
      </rPr>
      <t>выбираем проект В.</t>
    </r>
  </si>
  <si>
    <t>РР(А)</t>
  </si>
  <si>
    <t>РР(Б)</t>
  </si>
  <si>
    <t xml:space="preserve"> -  дискретными – принимают одно из определённого набора</t>
  </si>
  <si>
    <t xml:space="preserve"> - непрерывными – принимают любое значение внутри некоторого интервала.</t>
  </si>
  <si>
    <t xml:space="preserve">где М – число исходов (только 1 из 2 возможных результатов – это решка), когда событие А произошло, </t>
  </si>
  <si>
    <t>а N – полное число возможных исходов (2 возможных исхода – решка и орел).</t>
  </si>
  <si>
    <r>
      <t xml:space="preserve">1. </t>
    </r>
    <r>
      <rPr>
        <b/>
        <sz val="12"/>
        <color theme="1"/>
        <rFont val="Calibri"/>
        <family val="2"/>
        <charset val="204"/>
        <scheme val="minor"/>
      </rPr>
      <t>Вероятность события А</t>
    </r>
    <r>
      <rPr>
        <sz val="12"/>
        <color theme="1"/>
        <rFont val="Calibri"/>
        <family val="2"/>
        <charset val="204"/>
        <scheme val="minor"/>
      </rPr>
      <t xml:space="preserve"> (например, выпадение решки при броске монеты) равна </t>
    </r>
    <r>
      <rPr>
        <b/>
        <sz val="12"/>
        <color theme="1"/>
        <rFont val="Calibri"/>
        <family val="2"/>
        <charset val="204"/>
        <scheme val="minor"/>
      </rPr>
      <t>Р(A) = M / N</t>
    </r>
    <r>
      <rPr>
        <sz val="12"/>
        <color theme="1"/>
        <rFont val="Calibri"/>
        <family val="2"/>
        <charset val="204"/>
        <scheme val="minor"/>
      </rPr>
      <t xml:space="preserve">, </t>
    </r>
  </si>
  <si>
    <r>
      <t xml:space="preserve">2. </t>
    </r>
    <r>
      <rPr>
        <b/>
        <sz val="12"/>
        <color theme="1"/>
        <rFont val="Calibri"/>
        <family val="2"/>
        <charset val="204"/>
        <scheme val="minor"/>
      </rPr>
      <t>Вероятность противоположного события</t>
    </r>
    <r>
      <rPr>
        <sz val="12"/>
        <color theme="1"/>
        <rFont val="Calibri"/>
        <family val="2"/>
        <charset val="204"/>
        <scheme val="minor"/>
      </rPr>
      <t xml:space="preserve"> (например, выпадения не решки при броске монеты): </t>
    </r>
    <r>
      <rPr>
        <b/>
        <sz val="12"/>
        <color theme="1"/>
        <rFont val="Calibri"/>
        <family val="2"/>
        <charset val="204"/>
        <scheme val="minor"/>
      </rPr>
      <t>P(не A) = 1 – P(A)</t>
    </r>
  </si>
  <si>
    <r>
      <t xml:space="preserve">3. </t>
    </r>
    <r>
      <rPr>
        <b/>
        <sz val="12"/>
        <color theme="1"/>
        <rFont val="Calibri"/>
        <family val="2"/>
        <charset val="204"/>
        <scheme val="minor"/>
      </rPr>
      <t xml:space="preserve">Независимые события </t>
    </r>
    <r>
      <rPr>
        <sz val="12"/>
        <color theme="1"/>
        <rFont val="Calibri"/>
        <family val="2"/>
        <charset val="204"/>
        <scheme val="minor"/>
      </rPr>
      <t>– события, реализация одного из них никак не влияет на вероятность реализации второго (например, выпадение</t>
    </r>
  </si>
  <si>
    <t xml:space="preserve"> решки при первом броске монеты и выпадение решки при втором броске монеты): </t>
  </si>
  <si>
    <t>где P(A and B) – вероятность того, что произойдут одновременно события А и В.</t>
  </si>
  <si>
    <r>
      <t xml:space="preserve">4. </t>
    </r>
    <r>
      <rPr>
        <b/>
        <sz val="12"/>
        <color theme="1"/>
        <rFont val="Calibri"/>
        <family val="2"/>
        <charset val="204"/>
        <scheme val="minor"/>
      </rPr>
      <t>Несовместные события</t>
    </r>
    <r>
      <rPr>
        <sz val="12"/>
        <color theme="1"/>
        <rFont val="Calibri"/>
        <family val="2"/>
        <charset val="204"/>
        <scheme val="minor"/>
      </rPr>
      <t xml:space="preserve"> – события, которые не могут произойти одновременно (например, выпадение орла и решки на подброшенной</t>
    </r>
  </si>
  <si>
    <t xml:space="preserve"> монете): где Р(А or В) – вероятность того, что произойдет либо событие А, либо событие В.</t>
  </si>
  <si>
    <t xml:space="preserve">5. Общая формула сложения вероятностей: </t>
  </si>
  <si>
    <r>
      <rPr>
        <sz val="12"/>
        <color theme="1"/>
        <rFont val="Arial"/>
        <family val="2"/>
        <charset val="204"/>
      </rPr>
      <t xml:space="preserve">Теорема Байеса </t>
    </r>
    <r>
      <rPr>
        <sz val="12"/>
        <color theme="1"/>
        <rFont val="Calibri"/>
        <family val="2"/>
        <charset val="204"/>
        <scheme val="minor"/>
      </rPr>
      <t xml:space="preserve">представляет собой формулу для расчета условной вероятности, и описывает вероятность события А, </t>
    </r>
  </si>
  <si>
    <r>
      <t xml:space="preserve">Событие B|A – «автомобиль идентифицирован как синий, при условии, что он на самом деле синий», </t>
    </r>
    <r>
      <rPr>
        <b/>
        <sz val="12"/>
        <color theme="1"/>
        <rFont val="Calibri"/>
        <family val="2"/>
        <charset val="204"/>
        <scheme val="minor"/>
      </rPr>
      <t>P(B|A) = 80%;</t>
    </r>
  </si>
  <si>
    <r>
      <t>Событие В – «автомобиль идентифицирован как синий»,</t>
    </r>
    <r>
      <rPr>
        <b/>
        <sz val="12"/>
        <color theme="1"/>
        <rFont val="Calibri"/>
        <family val="2"/>
        <charset val="204"/>
        <scheme val="minor"/>
      </rPr>
      <t xml:space="preserve"> P(B) = 80% * 15% + 20% * 85% = 29%</t>
    </r>
  </si>
  <si>
    <r>
      <t xml:space="preserve">Ответ: </t>
    </r>
    <r>
      <rPr>
        <b/>
        <sz val="12"/>
        <color theme="1"/>
        <rFont val="Calibri"/>
        <family val="2"/>
        <charset val="204"/>
        <scheme val="minor"/>
      </rPr>
      <t xml:space="preserve"> P(A|B) = 15% * 80% / 29% = 41% </t>
    </r>
  </si>
  <si>
    <r>
      <t>Событие A – «автомобиль синий»</t>
    </r>
    <r>
      <rPr>
        <b/>
        <sz val="12"/>
        <color theme="1"/>
        <rFont val="Calibri"/>
        <family val="2"/>
        <charset val="204"/>
        <scheme val="minor"/>
      </rPr>
      <t>, P(A) = 15%;</t>
    </r>
  </si>
  <si>
    <t>Кол-во газет</t>
  </si>
  <si>
    <t>Вероятность</t>
  </si>
  <si>
    <t>прибыль</t>
  </si>
  <si>
    <t>матожидание</t>
  </si>
  <si>
    <t xml:space="preserve">себестоимость </t>
  </si>
  <si>
    <t>закупка, газет</t>
  </si>
  <si>
    <t>дата</t>
  </si>
  <si>
    <t>доходность</t>
  </si>
  <si>
    <t>Актив</t>
  </si>
  <si>
    <t>Матожидание доходности</t>
  </si>
  <si>
    <t>Мода распределения</t>
  </si>
  <si>
    <t>Медиана распределения</t>
  </si>
  <si>
    <t>Волшатильность</t>
  </si>
  <si>
    <t>Walmart</t>
  </si>
  <si>
    <t>СРЗНАЧ(D159:D183)*26(кол-во днгей)</t>
  </si>
  <si>
    <t>годовая</t>
  </si>
  <si>
    <t>ежедневная</t>
  </si>
  <si>
    <t>МОДА(D159:D183)</t>
  </si>
  <si>
    <t>Среднее значение</t>
  </si>
  <si>
    <t>других математических методов и моделей.</t>
  </si>
  <si>
    <t>другой случайной величины.</t>
  </si>
  <si>
    <t>между случайными величинами.</t>
  </si>
  <si>
    <t xml:space="preserve"> коэффициенты которого подбираются по некоторому критерию, позволяющему наилучшим образом объяснить изменение зависимой величины.</t>
  </si>
  <si>
    <t>от нескольких независимых случайных величин.</t>
  </si>
  <si>
    <t>которую удалось объяснить с помощью регрессии.</t>
  </si>
  <si>
    <t>прогнозирования временного ряда (значений случайной величины во времени).</t>
  </si>
  <si>
    <t>ЛЕКЦИЯ 5. ВВЕДЕНИЕ В ЭКОНОМЕТРИКУ</t>
  </si>
  <si>
    <t>r = +1 - это совершенная положительная корреляция</t>
  </si>
  <si>
    <t>0 &lt; r &lt; +1 - несовершенная положительная корреляция</t>
  </si>
  <si>
    <t>r = -1 - это совершенная отрицательная корреляция</t>
  </si>
  <si>
    <t xml:space="preserve"> -1 &lt; C &lt; 0 - это несовершенная отрицательная корреляция</t>
  </si>
  <si>
    <t>r = 0, то это значит, что линейная зависимость отсутствует</t>
  </si>
  <si>
    <t>Формула линейной регрессии имеет вид:</t>
  </si>
  <si>
    <t xml:space="preserve">где Х - независимая величина (переменная), например, цена золота; </t>
  </si>
  <si>
    <t xml:space="preserve">Y - зависимая величина, например, цена акции золотодобывающей компании, </t>
  </si>
  <si>
    <t>а ε – случайная ошибка.</t>
  </si>
  <si>
    <r>
      <rPr>
        <sz val="12"/>
        <color theme="1"/>
        <rFont val="Arial"/>
        <family val="2"/>
        <charset val="204"/>
      </rPr>
      <t xml:space="preserve">Регрессия </t>
    </r>
    <r>
      <rPr>
        <sz val="12"/>
        <color theme="1"/>
        <rFont val="Calibri"/>
        <family val="2"/>
        <scheme val="minor"/>
      </rPr>
      <t>- поиск уравнения зависимости одной случайной величины (называемой зависимой) от другой (называемой независимой),</t>
    </r>
  </si>
  <si>
    <r>
      <rPr>
        <sz val="12"/>
        <color theme="1"/>
        <rFont val="Arial"/>
        <family val="2"/>
        <charset val="204"/>
      </rPr>
      <t xml:space="preserve">Линейная корреляция </t>
    </r>
    <r>
      <rPr>
        <sz val="12"/>
        <color theme="1"/>
        <rFont val="Calibri"/>
        <family val="2"/>
        <scheme val="minor"/>
      </rPr>
      <t>- мера линейной связи между двумя случайными величинами.</t>
    </r>
  </si>
  <si>
    <r>
      <rPr>
        <sz val="12"/>
        <color theme="1"/>
        <rFont val="Arial"/>
        <family val="2"/>
        <charset val="204"/>
      </rPr>
      <t xml:space="preserve">Корреляционный анализ </t>
    </r>
    <r>
      <rPr>
        <sz val="12"/>
        <color theme="1"/>
        <rFont val="Calibri"/>
        <family val="2"/>
        <scheme val="minor"/>
      </rPr>
      <t xml:space="preserve">— метод обработки статистических данных, с помощью которого измеряется теснота связи </t>
    </r>
  </si>
  <si>
    <r>
      <rPr>
        <sz val="12"/>
        <color theme="1"/>
        <rFont val="Arial"/>
        <family val="2"/>
        <charset val="204"/>
      </rPr>
      <t>Эконометрика –</t>
    </r>
    <r>
      <rPr>
        <sz val="12"/>
        <color theme="1"/>
        <rFont val="Calibri"/>
        <family val="2"/>
        <scheme val="minor"/>
      </rPr>
      <t xml:space="preserve"> наука, изучающая количественные и качественные экономические взаимосвязи с помощью статистических и </t>
    </r>
  </si>
  <si>
    <r>
      <rPr>
        <sz val="12"/>
        <color theme="1"/>
        <rFont val="Arial"/>
        <family val="2"/>
        <charset val="204"/>
      </rPr>
      <t xml:space="preserve">Статистическая зависимость </t>
    </r>
    <r>
      <rPr>
        <sz val="12"/>
        <color theme="1"/>
        <rFont val="Calibri"/>
        <family val="2"/>
        <scheme val="minor"/>
      </rPr>
      <t xml:space="preserve">– означает, что распределение вероятностей одной случайной величины зависит от значения </t>
    </r>
  </si>
  <si>
    <r>
      <rPr>
        <sz val="12"/>
        <color theme="1"/>
        <rFont val="Arial"/>
        <family val="2"/>
        <charset val="204"/>
      </rPr>
      <t>Множественная регрессия</t>
    </r>
    <r>
      <rPr>
        <sz val="12"/>
        <color theme="1"/>
        <rFont val="Calibri"/>
        <family val="2"/>
        <scheme val="minor"/>
      </rPr>
      <t xml:space="preserve"> - поиск коэффициентов линейной зависимости одной, зависимой случайной величины </t>
    </r>
  </si>
  <si>
    <r>
      <rPr>
        <sz val="12"/>
        <color theme="1"/>
        <rFont val="Arial"/>
        <family val="2"/>
        <charset val="204"/>
      </rPr>
      <t xml:space="preserve">Коэффициент детерминации </t>
    </r>
    <r>
      <rPr>
        <sz val="12"/>
        <color theme="1"/>
        <rFont val="Calibri"/>
        <family val="2"/>
        <scheme val="minor"/>
      </rPr>
      <t xml:space="preserve">– показатель качества регрессии, который равен доле вариации зависимой случайной величины, </t>
    </r>
  </si>
  <si>
    <r>
      <rPr>
        <sz val="12"/>
        <color theme="1"/>
        <rFont val="Arial"/>
        <family val="2"/>
        <charset val="204"/>
      </rPr>
      <t>Условная гетероскедастичность -</t>
    </r>
    <r>
      <rPr>
        <sz val="12"/>
        <color theme="1"/>
        <rFont val="Calibri"/>
        <family val="2"/>
        <scheme val="minor"/>
      </rPr>
      <t xml:space="preserve"> зависимость ошибки регрессии от величины независимой величины.</t>
    </r>
  </si>
  <si>
    <r>
      <rPr>
        <sz val="12"/>
        <color theme="1"/>
        <rFont val="Arial"/>
        <family val="2"/>
        <charset val="204"/>
      </rPr>
      <t>Автокорреляция -</t>
    </r>
    <r>
      <rPr>
        <sz val="12"/>
        <color theme="1"/>
        <rFont val="Calibri"/>
        <family val="2"/>
        <scheme val="minor"/>
      </rPr>
      <t xml:space="preserve"> когда ошибка регрессии зависит от предыдущих значений ошибки.</t>
    </r>
  </si>
  <si>
    <r>
      <rPr>
        <sz val="12"/>
        <color theme="1"/>
        <rFont val="Arial"/>
        <family val="2"/>
        <charset val="204"/>
      </rPr>
      <t>Мультиколлинеарность -</t>
    </r>
    <r>
      <rPr>
        <sz val="12"/>
        <color theme="1"/>
        <rFont val="Calibri"/>
        <family val="2"/>
        <scheme val="minor"/>
      </rPr>
      <t xml:space="preserve"> когда две или более независимых величин оказываются связаны (коррелированы) между собой.</t>
    </r>
  </si>
  <si>
    <r>
      <rPr>
        <sz val="12"/>
        <color theme="1"/>
        <rFont val="Arial"/>
        <family val="2"/>
        <charset val="204"/>
      </rPr>
      <t xml:space="preserve">Анализ временных рядов </t>
    </r>
    <r>
      <rPr>
        <sz val="12"/>
        <color theme="1"/>
        <rFont val="Calibri"/>
        <family val="2"/>
        <scheme val="minor"/>
      </rPr>
      <t xml:space="preserve">— совокупность математических методов анализа, предназначенных для </t>
    </r>
  </si>
  <si>
    <r>
      <t>Если предполагаемое уравнение зависимости величин имеет линейный вид, то такая регрессия будет называться л</t>
    </r>
    <r>
      <rPr>
        <b/>
        <sz val="12"/>
        <color theme="1"/>
        <rFont val="Calibri"/>
        <family val="2"/>
        <charset val="204"/>
        <scheme val="minor"/>
      </rPr>
      <t>инейной</t>
    </r>
    <r>
      <rPr>
        <sz val="12"/>
        <color theme="1"/>
        <rFont val="Calibri"/>
        <family val="2"/>
        <scheme val="minor"/>
      </rPr>
      <t xml:space="preserve">. </t>
    </r>
  </si>
  <si>
    <t>от ее прогнозного значения согласно уравнению регрессии для всех значений величины X была минимальной.</t>
  </si>
  <si>
    <r>
      <rPr>
        <b/>
        <sz val="12"/>
        <color theme="1"/>
        <rFont val="Calibri"/>
        <family val="2"/>
        <charset val="204"/>
        <scheme val="minor"/>
      </rPr>
      <t>метод наименьших квадратов:</t>
    </r>
    <r>
      <rPr>
        <sz val="12"/>
        <color theme="1"/>
        <rFont val="Calibri"/>
        <family val="2"/>
        <scheme val="minor"/>
      </rPr>
      <t xml:space="preserve"> подбираются такие коэффициенты, чтобы сумма квадратов отклонений реального значения величины Y  </t>
    </r>
  </si>
  <si>
    <t xml:space="preserve">Множественная регрессия - поиск коэффициентов линейной зависимости одной случайной величины Y от нескольких случайных величин Xi, </t>
  </si>
  <si>
    <t>например, зависимость цены продукции предприятия от цен на различные ресурсы, которые используются в производстве.</t>
  </si>
  <si>
    <t xml:space="preserve">Задача. Есть исторические данные о величине условно-постоянных затрат промышленного предприятия, </t>
  </si>
  <si>
    <t>объемах производства и инфляции. Банк-кредитор в рамках анализа финансовой модели компании попросил сделать расчет, н</t>
  </si>
  <si>
    <t xml:space="preserve">асколько эти затраты зависят от уровня производства. И если зависят, то какое уравнение описывает эту зависимость </t>
  </si>
  <si>
    <t>(чтобы ее можно было интегрировать в финансовую модель).</t>
  </si>
  <si>
    <t>Производство</t>
  </si>
  <si>
    <t>ед.</t>
  </si>
  <si>
    <t>Постоянные издержки</t>
  </si>
  <si>
    <t>Инфляция</t>
  </si>
  <si>
    <t xml:space="preserve">Решение. Найдем коэффициент корреляции с помощью функции КОРРЕЛ(): 98,8%. Это очень высокая величина, которая говорит о том, </t>
  </si>
  <si>
    <t>что линейная зависимость есть и ей можно пользоваться для расчетов.</t>
  </si>
  <si>
    <t>Индекс нфляции</t>
  </si>
  <si>
    <t>корреляция</t>
  </si>
  <si>
    <t>коррел с корректировкой</t>
  </si>
  <si>
    <t>коэффицент регрессии</t>
  </si>
  <si>
    <t>с корректировкой</t>
  </si>
  <si>
    <t>издержки с корректир</t>
  </si>
  <si>
    <t>Выделить 2 ячейки, в строке формул нажать Ctrl+Shift+Enter</t>
  </si>
  <si>
    <t xml:space="preserve"> b1</t>
  </si>
  <si>
    <t>b0</t>
  </si>
  <si>
    <t xml:space="preserve"> зависимость процентной ставки от времени):</t>
  </si>
  <si>
    <t>где  t – порядковый номер периода времени,</t>
  </si>
  <si>
    <t xml:space="preserve"> а  b0 и b1 – искомые коэффициенты трендовой модели.</t>
  </si>
  <si>
    <r>
      <rPr>
        <b/>
        <sz val="12"/>
        <color theme="1"/>
        <rFont val="Calibri"/>
        <family val="2"/>
        <charset val="204"/>
        <scheme val="minor"/>
      </rPr>
      <t xml:space="preserve">Авторегрессионные модели </t>
    </r>
    <r>
      <rPr>
        <sz val="12"/>
        <color theme="1"/>
        <rFont val="Calibri"/>
        <family val="2"/>
        <scheme val="minor"/>
      </rPr>
      <t>- изучают зависимость случайной величины от ее предыдущих значений</t>
    </r>
  </si>
  <si>
    <r>
      <rPr>
        <b/>
        <sz val="12"/>
        <color theme="1"/>
        <rFont val="Calibri"/>
        <family val="2"/>
        <charset val="204"/>
        <scheme val="minor"/>
      </rPr>
      <t>Трендовые модели</t>
    </r>
    <r>
      <rPr>
        <sz val="12"/>
        <color theme="1"/>
        <rFont val="Calibri"/>
        <family val="2"/>
        <charset val="204"/>
        <scheme val="minor"/>
      </rPr>
      <t xml:space="preserve"> - изучают зависимость некоторой случайной величины от времени (например,</t>
    </r>
  </si>
  <si>
    <t xml:space="preserve">где xt – текущее значение случайной величины, </t>
  </si>
  <si>
    <t>а xt-1, xt-2, … - это ее прошлые значения.</t>
  </si>
  <si>
    <t xml:space="preserve"> государственного регулирования экономики, политической обстановки,  развития или стагнации рынка/отрасли и т.д.;</t>
  </si>
  <si>
    <t>• нестационарность - изменение свойств финансового временного ряда во времени, например, в связи с изменением</t>
  </si>
  <si>
    <t>• сезонность - изменения параметров финансового временного ряда в связи с объективными экономическими циклами;</t>
  </si>
  <si>
    <t>• условная гетероскедастичность - изменение волатильности случайной величины во времени (была рассмотрена выше).</t>
  </si>
  <si>
    <t xml:space="preserve"> позволило за месяц заработать 15% в 1 случае из 36 проанализированных месяцев, 10% - в 2 случаях, 5% - в 3 случаях, </t>
  </si>
  <si>
    <t>0% в 23 случаях, потерять 5% в 6 случаях, и потерять 10% в оставшихся случаях. Определить ожидаемое значение доходности инвестиции.</t>
  </si>
  <si>
    <t xml:space="preserve"> прошедших 7 лет (в смысле геометрической доходности), и вложить $100 тыс. в этот фонд, то какой ожидаемый результат будет через 5 лет?</t>
  </si>
  <si>
    <t xml:space="preserve"> +5%; -2%; +12%; +7%; -4%; +11%; +9%. Если предположить, что в среднем фонд будет зарабатывать такую же доходность, как и по итогам</t>
  </si>
  <si>
    <t>Он рассчитывается как отношение средней доходности к риску (волатильности). Рассчитайте этот коэффициент для условий задачи 2.</t>
  </si>
  <si>
    <t>а для водителя категории 3 – 10%. Клиент компании застраховал автомобиль и попал в ДТП. Какова вероятность того, что он относится к категории 1?</t>
  </si>
  <si>
    <t xml:space="preserve">категория 1 (стаж вождения более 10 лет), категория 2 (стаж более 2 лет, но меньше 10), категория 3 (стаж менее 2 лет). </t>
  </si>
  <si>
    <t xml:space="preserve">Для данной компании среди 100% застрахованных 30% принадлежат категории 1, 50% – категории 2, 20% – категории 3. </t>
  </si>
  <si>
    <t xml:space="preserve">Вероятность того, что в течение года водитель категории 1 попадет хотя бы в одно ДТП равна 1%; для водителя категории 2 - 3%, </t>
  </si>
  <si>
    <t>который эта компания перерабатывает:</t>
  </si>
  <si>
    <t>Месяц</t>
  </si>
  <si>
    <t>Цена акции, $</t>
  </si>
  <si>
    <t>Цена ресурса, $</t>
  </si>
  <si>
    <t xml:space="preserve">И предположил, что цена акции зависит от цены ресурса с задержкой на 1 месяц. </t>
  </si>
  <si>
    <t>Определить уравнение регрессии для этого предположения  и сделать на его основе прогноз цены акции на 13 месяц.</t>
  </si>
  <si>
    <r>
      <rPr>
        <sz val="12"/>
        <color theme="1"/>
        <rFont val="Arial"/>
        <family val="2"/>
        <charset val="204"/>
      </rPr>
      <t>Задача 1.</t>
    </r>
    <r>
      <rPr>
        <sz val="12"/>
        <color theme="1"/>
        <rFont val="Calibri"/>
        <family val="2"/>
        <charset val="204"/>
        <scheme val="minor"/>
      </rPr>
      <t>  Аналитик собрал статистику за 36 прошедших месяцев, согласно которой вложение в акцию компании АВС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</si>
  <si>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charset val="204"/>
        <scheme val="minor"/>
      </rPr>
      <t xml:space="preserve"> Инвестиционный фонд за 7 предыдущих лет заработал следующие годовые доходности: </t>
    </r>
  </si>
  <si>
    <r>
      <rPr>
        <sz val="12"/>
        <color theme="1"/>
        <rFont val="Arial"/>
        <family val="2"/>
        <charset val="204"/>
      </rPr>
      <t xml:space="preserve">Задача 3. </t>
    </r>
    <r>
      <rPr>
        <sz val="12"/>
        <color theme="1"/>
        <rFont val="Calibri"/>
        <family val="2"/>
        <charset val="204"/>
        <scheme val="minor"/>
      </rPr>
      <t xml:space="preserve">В инвестиционном анализе есть т.н. показатель Шарпа, который характеризует эффективность инвестиции в фонд. </t>
    </r>
  </si>
  <si>
    <r>
      <rPr>
        <sz val="12"/>
        <color theme="1"/>
        <rFont val="Arial"/>
        <family val="2"/>
        <charset val="204"/>
      </rPr>
      <t>Задача 4.</t>
    </r>
    <r>
      <rPr>
        <sz val="12"/>
        <color theme="1"/>
        <rFont val="Calibri"/>
        <family val="2"/>
        <charset val="204"/>
        <scheme val="minor"/>
      </rPr>
      <t xml:space="preserve"> Компания по страхованию автомобилей разделяет водителей по трем категориям в зависимости от опыта: </t>
    </r>
  </si>
  <si>
    <r>
      <rPr>
        <sz val="12"/>
        <color theme="1"/>
        <rFont val="Arial"/>
        <family val="2"/>
        <charset val="204"/>
      </rPr>
      <t>Задача 5.</t>
    </r>
    <r>
      <rPr>
        <sz val="12"/>
        <color theme="1"/>
        <rFont val="Calibri"/>
        <family val="2"/>
        <charset val="204"/>
        <scheme val="minor"/>
      </rPr>
      <t xml:space="preserve"> Аналитик собрал статистические данные между ценой акции перерабатывающей компании и ценой ресурса, </t>
    </r>
  </si>
  <si>
    <t>Блок 1. Введение в теорию вероятностей</t>
  </si>
  <si>
    <t xml:space="preserve"> Какова вероятность, что вытащат за одну попытку именно это имя?</t>
  </si>
  <si>
    <t>Нас интересует 3 исхода с конкретным именем. По определению вероятность вытащить это имя равна 3/100 = 0,03 = 3%</t>
  </si>
  <si>
    <t xml:space="preserve"> $2/акцию при среднем спросе и не заплатить ничего при низком. Если историческая вероятность высокого спроса 20%, </t>
  </si>
  <si>
    <t>а среднего 50%, какие дивиденды нам следует ожидать по итогам года?</t>
  </si>
  <si>
    <t xml:space="preserve">поэтому вероятность низкого спроса = 100%-20%-50% = 30%. Нам нужно в задаче найти ожидаемое значение суммы дивидендов: 
</t>
  </si>
  <si>
    <t>20% * $5 + 50% * $2 + 30% * $0 = $2.</t>
  </si>
  <si>
    <t>всего выпущено 200 000 билетов, из них 500 билетов с выигрышем $100 и 10000 билетов с выигрышем $5.</t>
  </si>
  <si>
    <t xml:space="preserve"> У второй лотереи цена билета $4,5, и известно, что с вероятностью 15% вы можете выиграть $25.</t>
  </si>
  <si>
    <t xml:space="preserve"> Какую лотерею следует выбрать рациональному игроку? Где ожидаемое значение выигрыша больше?</t>
  </si>
  <si>
    <t xml:space="preserve">чтобы определить потенциальный результат от покупки. </t>
  </si>
  <si>
    <t>Ожидаемое значение выигрыша в 1 лотерее = (500/200000) * $100 + (10000/200000) * $5 = $0,25 + $0,25 = $0,5</t>
  </si>
  <si>
    <t>Ожидаемое значение выигрыша во 2 лотерее = 15% * $25 = $3,75, то есть матожидание выигрыша во 2 лотерее существенно больше!</t>
  </si>
  <si>
    <t xml:space="preserve">а билет 2 лотереи ожидаемо принесет = $3,75 - $4,5 = -$0,75 (убыток 75 центов). </t>
  </si>
  <si>
    <t>Следовательно, рациональному игроку нужно выбрать лотерею 1, там ожидаемый убыток меньше!</t>
  </si>
  <si>
    <t xml:space="preserve">Однако посчитаем ожидаемый результат для покупателя билета: билет 1 лотереи ожидаемо принесет = $0,5 - $1 = -$0,5 (убыток 50 центов), </t>
  </si>
  <si>
    <t>а для водителя категории 3 – 10%. Клиент компании застраховал автомобиль и попал в ДТП. Какова вероятность того, что он относится к категории 3?</t>
  </si>
  <si>
    <t xml:space="preserve">Искомая вероятность P(A|B) – вероятность того, что попавший в ДТП водитель является клиентом категории 3, </t>
  </si>
  <si>
    <t>по формуле Байеса  P(A|B) = Р(А) * P(В|A) / P(В) = 20% * 10% / 3,8% = 52,6%.</t>
  </si>
  <si>
    <t xml:space="preserve">из числа зарегистрированных в ней. Если всего к этой налоговой приписано 40000 крупных налогоплательщиков, какова вероятность, </t>
  </si>
  <si>
    <t>что будет выбран конкретный из них?</t>
  </si>
  <si>
    <t xml:space="preserve"> в 1 случае из 100 проанализированных месяцев, 2% - в 5 случаях, 1% - в 10 случаях, 0% (то есть ничего не заработать) в 20 случаях, </t>
  </si>
  <si>
    <t>потерять 1% в 60 случаях, и потерять 2% в 4 случаях. Определить ожидаемое значение доходности инвестиции.</t>
  </si>
  <si>
    <t>то есть на 100, и рассчитать ожидаемое значение:</t>
  </si>
  <si>
    <t xml:space="preserve">ожидаемая доходность = (1/100)*5% + (5/100)*2% + (10/100)*1% + (20/100)*0% + (60/100)*(-1%) + (4/100)*(-2%) = -0,43%. </t>
  </si>
  <si>
    <t xml:space="preserve">При таких условиях вкладывать не следует. </t>
  </si>
  <si>
    <t xml:space="preserve">Какова вероятность того, что состояние экономики будет нейтральным и одновременно акция будет расти? </t>
  </si>
  <si>
    <t>равна произведению вероятностей: 50% (экономика нейтральная) * 30% (акция растет при нейтральной экономике) = 0,15 = 15%.</t>
  </si>
  <si>
    <t>Вероятность произведения двух независимых событий равна произведению вероятностей этих событий: P(AB) = P(A) ∙ P(B).</t>
  </si>
  <si>
    <t xml:space="preserve"> Какова общая вероятность того, что акция будет падать?</t>
  </si>
  <si>
    <t xml:space="preserve">акция падает (10%) И экономика позитивная (30%), акция падает (30%) И экономика нейтральная (50%), </t>
  </si>
  <si>
    <t>акция падает (30%) И экономика негативная (20%), т.е. 10%*30% + 30%*50% + 30%*20% = 0,24 = 24%</t>
  </si>
  <si>
    <t>Если известно, что акция упала, какова вероятность, что состояние экономики при этом было негативным?</t>
  </si>
  <si>
    <t xml:space="preserve">что акция будет падать равна 24%. При этом возможно три сценария (см. решение задачи 8). </t>
  </si>
  <si>
    <t xml:space="preserve">А нас интересует только тот сценарий, когда акция падает, а экономика при этом в негативном состоянии, </t>
  </si>
  <si>
    <t xml:space="preserve">т.е. 20% (экономика негативная) * 30% (акция падает при негативной экономике) = 0,06 = 6%. </t>
  </si>
  <si>
    <t>Следовательно, вероятность, что если акция упала, состояние экономики при этом было негативным = 6%/24% = 25%</t>
  </si>
  <si>
    <t xml:space="preserve">Условная вероятность – вероятность некоторого события А (например, рост акции) </t>
  </si>
  <si>
    <t>при условии наступления некоторого события B (например, общего роста экономики):</t>
  </si>
  <si>
    <t xml:space="preserve"> Используемый для диагностики анализ позволяет правильно определить наличие болезни у 99 человек из 100 больных. </t>
  </si>
  <si>
    <t xml:space="preserve">Найдите вероятность того, что человек, на котором тест дал положительный результат, действительно болен. </t>
  </si>
  <si>
    <t xml:space="preserve">Однако, к сожалению, он также дает положительный результат у здоровых людей в 3 случаях из 100. </t>
  </si>
  <si>
    <t xml:space="preserve"> Обратите внимание, что из-за очень большой редкости болезни даже положительный тест не заявляет однозначно о ее наличии! </t>
  </si>
  <si>
    <t>Именно поэтому для редких заболеваний врачи рекомендуют сделать повторные 2-3 теста, за этой рекомендацией стоит математика!</t>
  </si>
  <si>
    <t>Тест может быть положительным в двух случаях: если человек болен (таких 0,01%) и тест правильный (вероятность 99%),</t>
  </si>
  <si>
    <t>12%, 25%, 34%, 15%, 19%, 44%, 54%, 33%, 22%, 28%, 17%, 24%.</t>
  </si>
  <si>
    <t xml:space="preserve"> Аналитик считает, что для расчета следует взять только выборку из последних 5 лет, поскольку более старые данные уже неактуальны.</t>
  </si>
  <si>
    <t xml:space="preserve"> Определить среднюю арифметическую доходность фонда по выборке и по генеральной совокупности. </t>
  </si>
  <si>
    <t>Средняя доходность по генеральной совокупности = СРЗНАЧ (12%;25%;34%;15%;19%;44%;54%;33%;22%; 28%;17%;24%) = 27,3%</t>
  </si>
  <si>
    <t>Блок 2. Введение в математическую статистику</t>
  </si>
  <si>
    <t>Аналитик считает, что для расчета следует взять только выборку из последних 5 лет,</t>
  </si>
  <si>
    <t xml:space="preserve"> поскольку более старые данные уже неактуальны. </t>
  </si>
  <si>
    <t xml:space="preserve">Определить среднюю арифметическую доходность фонда по выборке и по генеральной совокупности. </t>
  </si>
  <si>
    <t>если в исходном наборе данных была ошибка в последнем числе, и вместо 24% ошибочно записали -24%?</t>
  </si>
  <si>
    <t>Отсюда следует вывод, что среднее арифметическое очень чувствительно к изменению даже одного значения в выборке.</t>
  </si>
  <si>
    <t xml:space="preserve">Как изменится медианная доходность, если в исходном наборе данных была ошибка в последнем числе, </t>
  </si>
  <si>
    <t>и вместо 24% ошибочно записали -24%?</t>
  </si>
  <si>
    <t xml:space="preserve">Доходность по набору данных с ошибкой: МЕДИАНА(12%;25%; 34%;15%;19%;44%;54%; 33%;22%; 28%;17%;-24%) = 23,5%. </t>
  </si>
  <si>
    <t>Обращаем внимание, что ошибка мало повлияла на значение медианы. Это и есть главное преимущество медианы – устойчивость к «выбросам».</t>
  </si>
  <si>
    <t>доходность = ((1+33%)*(1+22%)*(1+28%)*(1+17%)*(1+24%)) ^ (1/5) - 1 = 24.7%</t>
  </si>
  <si>
    <t>Экономический смысл следующий: геометрическая доходность показывает условную доходность,</t>
  </si>
  <si>
    <t xml:space="preserve"> которая по правилам сложных процентов обеспечивает тот же результат инвестирования за весь период. </t>
  </si>
  <si>
    <t xml:space="preserve">Т.е. пусть у нас был $1 пять лет назад. Мы его сложили в этот фонд, за 1 год он превратился бы в $1*(1+33%), </t>
  </si>
  <si>
    <t xml:space="preserve">после второго года эта сумма превратится в [$1*(1+33%)] * (1+22%), после третьего – в [$1*(1+33%)*(1+22%)] * (1+28%) и т.д. </t>
  </si>
  <si>
    <t xml:space="preserve">В итоге через 5 лет будет $1*(1+33%)*(1+22%)*(1+28%)*(1+17%)*(1+24%) = $3,01. </t>
  </si>
  <si>
    <t xml:space="preserve">И средняя геометрическая доходность позволяет прийти именно к этой же величине: $1 * (1+0,247)^5 = $3,01. </t>
  </si>
  <si>
    <t>Обратите внимание, что средняя арифметическая этого свойства не обеспечивает (в задаче 1 средняя арифметическая доходность была больше,</t>
  </si>
  <si>
    <t xml:space="preserve"> 24,8%, т.е. не позволяет получить верный результат)! Для всех инвестиционных расчетов всегда считают геометрическую доходность,</t>
  </si>
  <si>
    <t xml:space="preserve"> поскольку она позволяет рассчитать итоговый фактический результат инвестирования.</t>
  </si>
  <si>
    <t>для генеральной совокупности СТАНДОТКЛОН.Г(12%;25%;34%;15%;19%;44%;54%;33%;22%; 28%;17%;24%) = 11,8%.</t>
  </si>
  <si>
    <t xml:space="preserve"> $2,51; $2,57; $2,60; $2,61; $2,59; $2,61; $2,64; $2,60; $2,62; $2,63; $2,65; $2,61; $2,65. </t>
  </si>
  <si>
    <t xml:space="preserve">Рассчитать доходности (как делали на лекциях, с использованием натурального логарифма) и определить среднюю арифметическую доходность за период. </t>
  </si>
  <si>
    <t>в R(i) – доходность за период i. Получаем:</t>
  </si>
  <si>
    <t>Период</t>
  </si>
  <si>
    <t>Цена, $</t>
  </si>
  <si>
    <t>Доходность, %</t>
  </si>
  <si>
    <t>-</t>
  </si>
  <si>
    <t>Применяем функцию СРЗНАЧ() ко всем рассчитанным значениям доходности, получаем среднюю арифметическую доходность 0.45%.</t>
  </si>
  <si>
    <t xml:space="preserve">В этой конкретной задаче геометрическая совпала с арифметической (поскольку все значения достаточно однородны, </t>
  </si>
  <si>
    <t>нет никаких сильных отличий, которые влияют на среднее арифметическое).</t>
  </si>
  <si>
    <t xml:space="preserve">((1+2.4%)*(1+1.2%)*(1+0.4%)*(1-0.8%)*(1+0.8%)*(1+1.1%)*(1-1.5%)*(1+0.8%)*(1+0.4%)*(1+0.8%)*(1-1,5%)*(1+1.5%)) ^ (1/12) - 1 = 0.45%. </t>
  </si>
  <si>
    <t xml:space="preserve">СТАНДОТКЛОН.В(2,4%;1,2%;0,4%;-0,8%;0,8%;1,1%;-1,5%;0,8%;0,4%;0,8%;-1,5%;1,5%) =1,18% за 12 дней. </t>
  </si>
  <si>
    <t xml:space="preserve">Обычно считается, что в году 252 торговых дня. Для доходности имеем: 0,45% * 252 = 114% годовых. </t>
  </si>
  <si>
    <t>Для волатильности нам нужно умножить на корень из числа торговых дней: 1,18% * КОРЕНЬ(252) = 18,8%.</t>
  </si>
  <si>
    <t>Блок 3. Корреляционный анализ</t>
  </si>
  <si>
    <t>Определить коэффициент линейной корреляции между ценой акции и ценой ресурса. Сделать вывод о наличии взаимосвязи.</t>
  </si>
  <si>
    <t xml:space="preserve"> вторым – массив цен ресурса. Получаем ответ 0,85. Делаем вывод, что коэффициент достаточно высокий, </t>
  </si>
  <si>
    <t>и существует значительная линейная зависимость между этими двумя случайными величинами.</t>
  </si>
  <si>
    <t xml:space="preserve"> что рыночная цена ресурсов влияет на цену акций с опозданием на 1 месяц, поскольку закупка ресурсов для переработки </t>
  </si>
  <si>
    <t xml:space="preserve">производится по контрактам с оплатой за 30 дней. Т.е. если сегодня цена ресурса повысилась, </t>
  </si>
  <si>
    <t xml:space="preserve">это не повлияет на себестоимость в этом месяце, поскольку ресурс был уже оплачен ранее, </t>
  </si>
  <si>
    <t xml:space="preserve">а повлияет только на себестоимость и финансовые показатели в следующем месяце. </t>
  </si>
  <si>
    <t>Как можно проверить эту гипотезу с помощью коэффициента корреляции?</t>
  </si>
  <si>
    <t>друг относительно друга (при этом, естественно, число точек данных в расчете уменьшится на 1):</t>
  </si>
  <si>
    <t xml:space="preserve">С помощью функции КОРРЕЛ() находим коэффициент корреляции  0,93, что больше 0,85. </t>
  </si>
  <si>
    <t>Значит, гипотеза аналитика подтверждается: цена ресурса больше влияет на цену акции в следующем месяце, чем в текущем.</t>
  </si>
  <si>
    <t>Блок 4. Регрессионный анализ</t>
  </si>
  <si>
    <t>Затраты на маркетинг, тыс.$</t>
  </si>
  <si>
    <t>Объем продаж продукции, тыс.ед.</t>
  </si>
  <si>
    <t xml:space="preserve">В предположении, что между этими величинами есть линейная взаимосвязь, </t>
  </si>
  <si>
    <t>определить коэффициент линейной зависимости (пропорциональности).</t>
  </si>
  <si>
    <t xml:space="preserve"> это и есть коэффициент пропорциональности.</t>
  </si>
  <si>
    <t xml:space="preserve"> Определите уравнение регрессии, описывающие зависимость объема продаж от затрат на маркетинг, </t>
  </si>
  <si>
    <t>с учетом инфляции (то есть в ценах последнего года).</t>
  </si>
  <si>
    <t>Затраты на маркетинг с корректировкой на инфляцию, тыс.$</t>
  </si>
  <si>
    <t xml:space="preserve">Теперь применим функцию ЛИНЕЙН(), аналогично задаче 1. </t>
  </si>
  <si>
    <t xml:space="preserve">Обратите внимание, чтобы функция выдала 2 значения (коэффициенты k и b уравнения y=kx+b), </t>
  </si>
  <si>
    <t>необходимо записать эту формулу (она выдаст только коэффициент k), затем выделить эту ячейку и смежную с ней справа,</t>
  </si>
  <si>
    <t xml:space="preserve"> щелкнуть на строку формул и нажать Ctrl+Shift+Enter. Тогда формула будет в фигурных скобочках (формула массива) </t>
  </si>
  <si>
    <t xml:space="preserve">и результат будет записан в 2 ячейки. Если все сделано правильно, то формула выдаст 0,36 и -20,3, </t>
  </si>
  <si>
    <t xml:space="preserve">т.е. уравнение зависимости выглядит следующим образом: объем продаж в тыс.ед. = 0,36*затраты на маркетинг в тыс.$ - 20,3. </t>
  </si>
  <si>
    <t xml:space="preserve"> который эта компания перерабатывает:</t>
  </si>
  <si>
    <t xml:space="preserve">Определить уравнение регрессии и сделать на его основе прогноз цены акции на 13 месяц, </t>
  </si>
  <si>
    <t>если прогнозная цена ресурса на 13 месяц равна $165,0.</t>
  </si>
  <si>
    <t>С помощью формулы массива (Ctrl+Shift+Enter) получаем коэффициенты уравнения регрессии 0,055 и 7,821,</t>
  </si>
  <si>
    <t xml:space="preserve"> т.е. уравнение регрессии имеет вид: цена акции = 0,055*цена ресурса + 7,821. Для 13 месяца: </t>
  </si>
  <si>
    <t>цена акции = 0,055*165 + 7,821 = $16,964 ≈ $17,0</t>
  </si>
  <si>
    <r>
      <rPr>
        <sz val="12"/>
        <color theme="1"/>
        <rFont val="Arial"/>
        <family val="2"/>
        <charset val="204"/>
      </rPr>
      <t xml:space="preserve">Задача 1. </t>
    </r>
    <r>
      <rPr>
        <sz val="12"/>
        <color theme="1"/>
        <rFont val="Calibri"/>
        <family val="2"/>
        <scheme val="minor"/>
      </rPr>
      <t>В рамках лотереи 100 бумажек с разными именами помещаются в коробку, из них 3 имени одинаковы.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</si>
  <si>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Общее количество возможных исходов равно 100 (каждая из бумажек с именем может быть вытащена на этой итерации). </t>
    </r>
  </si>
  <si>
    <r>
      <rPr>
        <sz val="12"/>
        <color theme="1"/>
        <rFont val="Arial"/>
        <family val="2"/>
        <charset val="204"/>
      </rPr>
      <t xml:space="preserve">Задача 2. </t>
    </r>
    <r>
      <rPr>
        <sz val="12"/>
        <color theme="1"/>
        <rFont val="Calibri"/>
        <family val="2"/>
        <scheme val="minor"/>
      </rPr>
      <t>Известно, что компания планирует заплатить дивиденд $5/акцию при высоком спросе на продукцию компании в течение года,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</si>
  <si>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Во-первых, мы знаем, что сумма вероятностей всех исходов равна 100%, п</t>
    </r>
  </si>
  <si>
    <r>
      <rPr>
        <sz val="12"/>
        <color theme="1"/>
        <rFont val="Arial"/>
        <family val="2"/>
        <charset val="204"/>
      </rPr>
      <t>Задача 3.</t>
    </r>
    <r>
      <rPr>
        <sz val="12"/>
        <color theme="1"/>
        <rFont val="Calibri"/>
        <family val="2"/>
        <scheme val="minor"/>
      </rPr>
      <t xml:space="preserve"> Вам предлагается сыграть в одну из двух лотерей. В первой лотерее билет стоит $1,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</si>
  <si>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Для принятия решения нам нужно рассчитать ожидание выигрыша и сравнить с ценой билета, </t>
    </r>
  </si>
  <si>
    <r>
      <rPr>
        <sz val="12"/>
        <color theme="1"/>
        <rFont val="Arial"/>
        <family val="2"/>
        <charset val="204"/>
      </rPr>
      <t>Задача 4.</t>
    </r>
    <r>
      <rPr>
        <sz val="12"/>
        <color theme="1"/>
        <rFont val="Calibri"/>
        <family val="2"/>
        <scheme val="minor"/>
      </rPr>
      <t xml:space="preserve"> Компания по страхованию автомобилей разделяет водителей по трем категориям в зависимости от опыта: </t>
    </r>
  </si>
  <si>
    <r>
      <rPr>
        <sz val="12"/>
        <color theme="1"/>
        <rFont val="Arial"/>
        <family val="2"/>
        <charset val="204"/>
      </rPr>
      <t>Задача 5.</t>
    </r>
    <r>
      <rPr>
        <sz val="12"/>
        <color theme="1"/>
        <rFont val="Calibri"/>
        <family val="2"/>
        <scheme val="minor"/>
      </rPr>
      <t xml:space="preserve"> Налоговая планирует осуществить выездную проверку в этом квартале 500 крупных налогоплательщиков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</si>
  <si>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По определению вероятность равна отношению интересующих нас исходов к общему числу, то есть 500/40000 = 0,0125 = 1,25%</t>
    </r>
  </si>
  <si>
    <r>
      <rPr>
        <sz val="12"/>
        <color theme="1"/>
        <rFont val="Arial"/>
        <family val="2"/>
        <charset val="204"/>
      </rPr>
      <t xml:space="preserve">Задача 6. </t>
    </r>
    <r>
      <rPr>
        <sz val="12"/>
        <color theme="1"/>
        <rFont val="Calibri"/>
        <family val="2"/>
        <scheme val="minor"/>
      </rPr>
      <t>Аналитик собрал статистику за 100 прошедших месяцев, согласно которой вложение в индекс акций позволило за месяц заработать 5%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</si>
  <si>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Нам нужно определить вероятности каждого из этих исходов путем деления числа случаев с данном исходе на общее число случаев, </t>
    </r>
  </si>
  <si>
    <r>
      <rPr>
        <sz val="12"/>
        <color theme="1"/>
        <rFont val="Arial"/>
        <family val="2"/>
        <charset val="204"/>
      </rPr>
      <t xml:space="preserve">Задача 7. </t>
    </r>
    <r>
      <rPr>
        <sz val="12"/>
        <color theme="1"/>
        <rFont val="Calibri"/>
        <family val="2"/>
        <scheme val="minor"/>
      </rPr>
      <t xml:space="preserve">Известны условные вероятности поведения акции в различных состояниях экономики: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</si>
  <si>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Подобная задача разбиралась в лекции. Вероятность того, что экономика нейтральная и акция растет </t>
    </r>
  </si>
  <si>
    <r>
      <rPr>
        <sz val="12"/>
        <color theme="1"/>
        <rFont val="Arial"/>
        <family val="2"/>
        <charset val="204"/>
      </rPr>
      <t xml:space="preserve">Задача 8. </t>
    </r>
    <r>
      <rPr>
        <sz val="12"/>
        <color theme="1"/>
        <rFont val="Calibri"/>
        <family val="2"/>
        <scheme val="minor"/>
      </rPr>
      <t>Известны условные вероятности поведения акции в различных состояниях экономики (см.задачу 7).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</si>
  <si>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Подобная задача разбиралась в лекции. Искомая ситуация (акция падает) – совокупность трех возможных вариантов: </t>
    </r>
  </si>
  <si>
    <r>
      <rPr>
        <sz val="12"/>
        <color theme="1"/>
        <rFont val="Arial"/>
        <family val="2"/>
        <charset val="204"/>
      </rPr>
      <t xml:space="preserve">Задача 9. </t>
    </r>
    <r>
      <rPr>
        <sz val="12"/>
        <color theme="1"/>
        <rFont val="Calibri"/>
        <family val="2"/>
        <scheme val="minor"/>
      </rPr>
      <t xml:space="preserve">Известны условные вероятности поведения акции в различных состояниях экономики (см.задачу 7).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</si>
  <si>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Подобная задача разбиралась в лекции. В задаче 8 мы рассчитали, что общая вероятность того, </t>
    </r>
  </si>
  <si>
    <r>
      <rPr>
        <sz val="12"/>
        <color theme="1"/>
        <rFont val="Arial"/>
        <family val="2"/>
        <charset val="204"/>
      </rPr>
      <t xml:space="preserve">Задача 10 </t>
    </r>
    <r>
      <rPr>
        <sz val="12"/>
        <color theme="1"/>
        <rFont val="Calibri"/>
        <family val="2"/>
        <scheme val="minor"/>
      </rPr>
      <t>(повышенной сложности). Есть редкая болезнь, которой в человеческой популяции болеет 1 человек из 10 000.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</si>
  <si>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Пусть событие А – вероятность того, что у произвольно взятого человека есть это заболевание, </t>
    </r>
  </si>
  <si>
    <r>
      <rPr>
        <sz val="12"/>
        <color theme="1"/>
        <rFont val="Arial"/>
        <family val="2"/>
        <charset val="204"/>
      </rPr>
      <t xml:space="preserve">Задача 1. </t>
    </r>
    <r>
      <rPr>
        <sz val="12"/>
        <color theme="1"/>
        <rFont val="Calibri"/>
        <family val="2"/>
        <scheme val="minor"/>
      </rPr>
      <t xml:space="preserve">Известна доходность инвестиционного фонда по годам с момента основания: </t>
    </r>
  </si>
  <si>
    <r>
      <rPr>
        <sz val="12"/>
        <color theme="1"/>
        <rFont val="Arial"/>
        <family val="2"/>
        <charset val="204"/>
      </rPr>
      <t>Решение. С</t>
    </r>
    <r>
      <rPr>
        <sz val="12"/>
        <color theme="1"/>
        <rFont val="Calibri"/>
        <family val="2"/>
        <scheme val="minor"/>
      </rPr>
      <t xml:space="preserve">редняя доходность по выборке = СРЗНАЧ (33%;22%; 28%;17%;24%) = 24,8%. 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</si>
  <si>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scheme val="minor"/>
      </rPr>
      <t xml:space="preserve"> Для значений доходности инвестиционного фонда из задачи 1 определить, как изменится значения расчетных доходностей, </t>
    </r>
  </si>
  <si>
    <r>
      <rPr>
        <sz val="12"/>
        <color theme="1"/>
        <rFont val="Arial"/>
        <family val="2"/>
        <charset val="204"/>
      </rPr>
      <t>Задача 3.</t>
    </r>
    <r>
      <rPr>
        <sz val="12"/>
        <color theme="1"/>
        <rFont val="Calibri"/>
        <family val="2"/>
        <scheme val="minor"/>
      </rPr>
      <t xml:space="preserve"> Для значений доходности инвестиционного фонда из задачи 1 определить медианную доходность.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</si>
  <si>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Доходность по изначальному набору данных = МЕДИАНА(12%;25%;34%;15%;19%;44%;54%; 33%;22%; 28%;17%;24%) = 24,5%. </t>
    </r>
  </si>
  <si>
    <r>
      <rPr>
        <sz val="12"/>
        <color theme="1"/>
        <rFont val="Arial"/>
        <family val="2"/>
        <charset val="204"/>
      </rPr>
      <t xml:space="preserve">Задача 4. </t>
    </r>
    <r>
      <rPr>
        <sz val="12"/>
        <color theme="1"/>
        <rFont val="Calibri"/>
        <family val="2"/>
        <scheme val="minor"/>
      </rPr>
      <t>Для условий задачи 1 какова средняя геометрическая доходность фонда за последние 5 лет и в чем ее экономический смысл?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</si>
  <si>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Средняя геометрическая доходность всегда рассчитывается следующим образом: </t>
    </r>
  </si>
  <si>
    <r>
      <rPr>
        <sz val="12"/>
        <color theme="1"/>
        <rFont val="Arial"/>
        <family val="2"/>
        <charset val="204"/>
      </rPr>
      <t xml:space="preserve">Задача 5. </t>
    </r>
    <r>
      <rPr>
        <sz val="12"/>
        <color theme="1"/>
        <rFont val="Calibri"/>
        <family val="2"/>
        <scheme val="minor"/>
      </rPr>
      <t xml:space="preserve">Для условий задачи 1 определить среднеквадратичное доходности для выборки 5 лет и для всей генеральной совокупности.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</si>
  <si>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Для выборки используем СТАНДОТКЛОН.В (33%;22%; 28%;17%;24%) = 6,1%, </t>
    </r>
  </si>
  <si>
    <r>
      <rPr>
        <sz val="12"/>
        <color theme="1"/>
        <rFont val="Arial"/>
        <family val="2"/>
        <charset val="204"/>
      </rPr>
      <t xml:space="preserve">Задача 6. </t>
    </r>
    <r>
      <rPr>
        <sz val="12"/>
        <color theme="1"/>
        <rFont val="Calibri"/>
        <family val="2"/>
        <scheme val="minor"/>
      </rPr>
      <t>Историческая цена акции по выборке за 13 последних дней была следующей: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</si>
  <si>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Рассчитываем доходности по формуле R(i) = ln(P(i)/P(i-1)), где P(i) и P(i-1) – цены акции в момент i и (i-1) соответственно, </t>
    </r>
  </si>
  <si>
    <r>
      <rPr>
        <sz val="12"/>
        <color theme="1"/>
        <rFont val="Arial"/>
        <family val="2"/>
        <charset val="204"/>
      </rPr>
      <t>Задача 7.</t>
    </r>
    <r>
      <rPr>
        <sz val="12"/>
        <color theme="1"/>
        <rFont val="Calibri"/>
        <family val="2"/>
        <scheme val="minor"/>
      </rPr>
      <t xml:space="preserve"> По условиям задачи 6 рассчитать среднюю геометрическую доходность за период.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</si>
  <si>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На основании полученных в задаче 6 дневных доходностей определяем среднее геометрическое как =</t>
    </r>
  </si>
  <si>
    <r>
      <rPr>
        <sz val="12"/>
        <color theme="1"/>
        <rFont val="Arial"/>
        <family val="2"/>
        <charset val="204"/>
      </rPr>
      <t>Задача 8.</t>
    </r>
    <r>
      <rPr>
        <sz val="12"/>
        <color theme="1"/>
        <rFont val="Calibri"/>
        <family val="2"/>
        <scheme val="minor"/>
      </rPr>
      <t xml:space="preserve"> По условиям задачи 6 рассчитать медиану доходности за период.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</si>
  <si>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На основании полученных в задаче 6 дневных доходностей определяем </t>
    </r>
  </si>
  <si>
    <r>
      <rPr>
        <sz val="12"/>
        <color theme="1"/>
        <rFont val="Arial"/>
        <family val="2"/>
        <charset val="204"/>
      </rPr>
      <t xml:space="preserve">Задача 9. </t>
    </r>
    <r>
      <rPr>
        <sz val="12"/>
        <color theme="1"/>
        <rFont val="Calibri"/>
        <family val="2"/>
        <scheme val="minor"/>
      </rPr>
      <t xml:space="preserve">По условиям задачи 6 рассчитать риск данной акции (т.е. среднеквадратичное значение доходности за период).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</si>
  <si>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На основании полученных в задаче 6 дневных доходностей рассчитываем </t>
    </r>
  </si>
  <si>
    <r>
      <rPr>
        <sz val="12"/>
        <color theme="1"/>
        <rFont val="Arial"/>
        <family val="2"/>
        <charset val="204"/>
      </rPr>
      <t>Задача 10</t>
    </r>
    <r>
      <rPr>
        <sz val="12"/>
        <color theme="1"/>
        <rFont val="Calibri"/>
        <family val="2"/>
        <scheme val="minor"/>
      </rPr>
      <t xml:space="preserve"> (повышенной сложности). Перевести результаты, полученные для доходности и риска данной акции в задачах 6 и 9 в проценты годовых.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</si>
  <si>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Расчет проводился для значений дневной доходности (12 торговых дней). </t>
    </r>
  </si>
  <si>
    <r>
      <rPr>
        <sz val="12"/>
        <color theme="1"/>
        <rFont val="Arial"/>
        <family val="2"/>
        <charset val="204"/>
      </rPr>
      <t xml:space="preserve">Задача 1. </t>
    </r>
    <r>
      <rPr>
        <sz val="12"/>
        <color theme="1"/>
        <rFont val="Calibri"/>
        <family val="2"/>
        <scheme val="minor"/>
      </rPr>
      <t xml:space="preserve">Аналитик собрал статистические данные между ценой акции перерабатывающей компании и ценой ресурса,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</si>
  <si>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Используем функцию КОРРЕЛ() для расчета, куда передаем первым аргументом массив цен акции,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</si>
  <si>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scheme val="minor"/>
      </rPr>
      <t xml:space="preserve"> Для условий задачи 1 аналитик проанализировал процессы на предприятии и предположил,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</si>
  <si>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Найдем коэффициент корреляции между ценой акции и ценой ресурса, сдвинутыми на 1 месяц </t>
    </r>
  </si>
  <si>
    <r>
      <rPr>
        <sz val="12"/>
        <color theme="1"/>
        <rFont val="Arial"/>
        <family val="2"/>
        <charset val="204"/>
      </rPr>
      <t>Задача 1.</t>
    </r>
    <r>
      <rPr>
        <sz val="12"/>
        <color theme="1"/>
        <rFont val="Calibri"/>
        <family val="2"/>
        <scheme val="minor"/>
      </rPr>
      <t xml:space="preserve"> В компании собрали статистику по затратам на маркетинг и по объему продаж: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</si>
  <si>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Используем функцию ЛИНЕЙН(&lt;значения объема продаж по годам&gt;;&lt;значения затрат на маркетинг по годам&gt;) = 0,30 –</t>
    </r>
  </si>
  <si>
    <r>
      <rPr>
        <sz val="12"/>
        <color theme="1"/>
        <rFont val="Arial"/>
        <family val="2"/>
        <charset val="204"/>
      </rPr>
      <t xml:space="preserve">Задача 2. </t>
    </r>
    <r>
      <rPr>
        <sz val="12"/>
        <color theme="1"/>
        <rFont val="Calibri"/>
        <family val="2"/>
        <scheme val="minor"/>
      </rPr>
      <t>В условиях задачи 1 предположим, что все эти годы инфляция составляла 3% в год.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</si>
  <si>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Нужно определить коэффициент накопленной инфляции (как делалось в лекциях), </t>
    </r>
  </si>
  <si>
    <r>
      <rPr>
        <sz val="12"/>
        <color theme="1"/>
        <rFont val="Arial"/>
        <family val="2"/>
        <charset val="204"/>
      </rPr>
      <t xml:space="preserve">Задача 3. </t>
    </r>
    <r>
      <rPr>
        <sz val="12"/>
        <color theme="1"/>
        <rFont val="Calibri"/>
        <family val="2"/>
        <scheme val="minor"/>
      </rPr>
      <t>Аналитик собрал статистические данные между ценой акции перерабатывающей компании и ценой ресурса, который эта компания перерабатывает: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</si>
  <si>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Аналогично задаче 1 используем функцию ЛИНЕЙН(&lt;цена акции&gt;;&lt;цена ресурса&gt;).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</si>
  <si>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Пусть событие А – это принадлежность клиента к категории 3: Р(А) = 20%. Пусть В – событие попадания в ДТП, вероятность P(В) = 30%*1%+50%*3%+20%*10% = 3,8%. </t>
    </r>
  </si>
  <si>
    <t xml:space="preserve">Тогда P(В|A) – вероятность того, что клиент категории 3 попадет в ДТП, P(В|A) = 10%. </t>
  </si>
  <si>
    <t>Сострояние экономики страны</t>
  </si>
  <si>
    <t>Вероятность этого состояния</t>
  </si>
  <si>
    <t>Поведение акции</t>
  </si>
  <si>
    <t>Условная вероятность</t>
  </si>
  <si>
    <t xml:space="preserve">Нейтральное </t>
  </si>
  <si>
    <t>Негативное</t>
  </si>
  <si>
    <t>Позитивное</t>
  </si>
  <si>
    <t>Рост</t>
  </si>
  <si>
    <t xml:space="preserve">Нейтрально </t>
  </si>
  <si>
    <t>Падение</t>
  </si>
  <si>
    <r>
      <rPr>
        <b/>
        <sz val="12"/>
        <color theme="1"/>
        <rFont val="Calibri"/>
        <family val="2"/>
        <charset val="204"/>
        <scheme val="minor"/>
      </rPr>
      <t xml:space="preserve">P(A) = 1/10000 = 0,01%. </t>
    </r>
    <r>
      <rPr>
        <sz val="12"/>
        <color theme="1"/>
        <rFont val="Calibri"/>
        <family val="2"/>
        <scheme val="minor"/>
      </rPr>
      <t xml:space="preserve">Пусть событие В – положительный тест на произвольно выбранном человеке. </t>
    </r>
  </si>
  <si>
    <r>
      <t xml:space="preserve"> или если человек здоров (таких </t>
    </r>
    <r>
      <rPr>
        <b/>
        <sz val="12"/>
        <color theme="1"/>
        <rFont val="Calibri"/>
        <family val="2"/>
        <charset val="204"/>
        <scheme val="minor"/>
      </rPr>
      <t>1-0,01%=99,99%</t>
    </r>
    <r>
      <rPr>
        <sz val="12"/>
        <color theme="1"/>
        <rFont val="Calibri"/>
        <family val="2"/>
        <scheme val="minor"/>
      </rPr>
      <t>), а тест ошибся (3%). Т.е.</t>
    </r>
    <r>
      <rPr>
        <b/>
        <sz val="12"/>
        <color theme="1"/>
        <rFont val="Calibri"/>
        <family val="2"/>
        <charset val="204"/>
        <scheme val="minor"/>
      </rPr>
      <t xml:space="preserve"> Р(В) = (0,01%)*99% + (99,99%)*3% = 3%. </t>
    </r>
  </si>
  <si>
    <r>
      <t xml:space="preserve">Условная вероятность события, когда тест дает положительный результат на больном пациенте, по условиям равна </t>
    </r>
    <r>
      <rPr>
        <b/>
        <sz val="12"/>
        <color theme="1"/>
        <rFont val="Calibri"/>
        <family val="2"/>
        <charset val="204"/>
        <scheme val="minor"/>
      </rPr>
      <t xml:space="preserve">P(В|A) = 99%. </t>
    </r>
  </si>
  <si>
    <r>
      <t xml:space="preserve">Тогда вероятность искомого события по формуле Байеса </t>
    </r>
    <r>
      <rPr>
        <b/>
        <sz val="12"/>
        <color theme="1"/>
        <rFont val="Calibri"/>
        <family val="2"/>
        <charset val="204"/>
        <scheme val="minor"/>
      </rPr>
      <t>P(A|B) = Р(А) * P(В|A) / P(В) =  0,01%*99%/3% = 0.33%!</t>
    </r>
  </si>
  <si>
    <t>99%*1/10000/(99%*1/10000+(1-1/10000)* 3%)</t>
  </si>
  <si>
    <t xml:space="preserve">Средняя доходность по генеральной совокупности = СРЗНАЧ (12%;25%;34%;15%;19%;44%;54%;33%;22%; 28%;17%;-24%) = 23,3%. </t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</si>
  <si>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Средняя доходность по выборке будет   = СРЗНАЧ (33%;22%; 28%;17%;-24%) =   15,2%. </t>
    </r>
  </si>
  <si>
    <t>33%, 22%, 28%, 17%, 24%.</t>
  </si>
  <si>
    <r>
      <rPr>
        <b/>
        <i/>
        <sz val="14"/>
        <color rgb="FF0070C0"/>
        <rFont val="Calibri"/>
        <family val="2"/>
        <charset val="204"/>
      </rPr>
      <t>Ввести произвольные данные в таблицу</t>
    </r>
    <r>
      <rPr>
        <b/>
        <i/>
        <sz val="11"/>
        <color rgb="FF0070C0"/>
        <rFont val="Calibri"/>
        <family val="2"/>
        <charset val="204"/>
      </rPr>
      <t xml:space="preserve">  --------- </t>
    </r>
    <r>
      <rPr>
        <b/>
        <i/>
        <sz val="12"/>
        <color rgb="FF0070C0"/>
        <rFont val="Calibri"/>
        <family val="2"/>
        <charset val="204"/>
      </rPr>
      <t>Данные  -  текст по столбцам  -  с разделителями  -  точка с запятой  -  ввод</t>
    </r>
  </si>
  <si>
    <t>выделить строчку Ctrl+F (Найти и заменить) - заменить ($) - заменить всё</t>
  </si>
  <si>
    <t>СРГЕОМ</t>
  </si>
  <si>
    <t>СРЗНАЧ</t>
  </si>
  <si>
    <t>МЕДИАНА(2,4%;1,2%;0,4%;-0,8%;0,8%;1,1%;-1,5%;0,8%;0,4%;0,8%;-1,5%;1,5%) = 0,72%</t>
  </si>
  <si>
    <t>МЕДИАНА</t>
  </si>
  <si>
    <t>СТАНДОТКЛОН.В</t>
  </si>
  <si>
    <t>ежежневный доход</t>
  </si>
  <si>
    <t>волотильность</t>
  </si>
  <si>
    <t>КОРРЕЛ</t>
  </si>
  <si>
    <t>чтобы привести все затраты на маркетинг к ценам 10-го года, и умножить на него все исторические затраты:</t>
  </si>
  <si>
    <t>мат ожидание</t>
  </si>
  <si>
    <t xml:space="preserve"> средняя геометрическая доходность</t>
  </si>
  <si>
    <t xml:space="preserve"> +9%. </t>
  </si>
  <si>
    <t>сргеом -1</t>
  </si>
  <si>
    <t>сргеом/стандарт отклонение выборочной совокупн</t>
  </si>
  <si>
    <t>коэф Шарма</t>
  </si>
  <si>
    <t>теорема Байеса</t>
  </si>
  <si>
    <t>как последняя 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</si>
</sst>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#,##0\ &quot;₽&quot;;[Red]\-#,##0\ &quot;₽&quot;"/>
    <numFmt numFmtId="8" formatCode="#,##0.00\ &quot;₽&quot;;[Red]\-#,##0.00\ &quot;₽&quot;"/>
    <numFmt numFmtId="43" formatCode="_-* #,##0.00_-;\-* #,##0.00_-;_-* &quot;-&quot;??_-;_-@_-"/>
    <numFmt numFmtId="164" formatCode="0.0000"/>
    <numFmt numFmtId="165" formatCode="0.0%"/>
    <numFmt numFmtId="166" formatCode="#,##0.0"/>
    <numFmt numFmtId="167" formatCode="0.000%"/>
    <numFmt numFmtId="168" formatCode="0.000000"/>
    <numFmt numFmtId="169" formatCode="0.00000"/>
    <numFmt numFmtId="170" formatCode="#,##0.0,,&quot; млн.&quot;"/>
    <numFmt numFmtId="171" formatCode="#,##0.0,&quot; тыс.&quot;"/>
    <numFmt numFmtId="172" formatCode="#,##0.00&quot; руб.&quot;"/>
    <numFmt numFmtId="173" formatCode="#,##0,,&quot; млн.&quot;"/>
    <numFmt numFmtId="174" formatCode="#,##0,&quot; тыс.&quot;"/>
    <numFmt numFmtId="175" formatCode="#,##0\ &quot;₽&quot;"/>
    <numFmt numFmtId="176" formatCode="[$$-409]#,##0"/>
    <numFmt numFmtId="177" formatCode="#,##0.0000"/>
    <numFmt numFmtId="178" formatCode="#,##0.000000"/>
    <numFmt numFmtId="183" formatCode="0.000"/>
    <numFmt numFmtId="184" formatCode="0.0"/>
    <numFmt numFmtId="185" formatCode="#,##0.0\ &quot;₽&quot;;[Red]\-#,##0.0\ &quot;₽&quot;"/>
    <numFmt numFmtId="186" formatCode="_-* #,##0.0_-;\-* #,##0.0_-;_-* &quot;-&quot;??_-;_-@_-"/>
  </numFmts>
  <fonts count="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i/>
      <sz val="14"/>
      <color theme="1"/>
      <name val="Arial"/>
      <family val="2"/>
      <charset val="204"/>
    </font>
    <font>
      <b/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8"/>
      <name val="Calibri"/>
      <family val="2"/>
      <charset val="204"/>
      <scheme val="minor"/>
    </font>
    <font>
      <sz val="12"/>
      <color theme="8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i/>
      <sz val="12"/>
      <color rgb="FF000000"/>
      <name val="Calibri"/>
      <family val="2"/>
      <charset val="204"/>
      <scheme val="minor"/>
    </font>
    <font>
      <i/>
      <sz val="12"/>
      <color rgb="FF000000"/>
      <name val="Calibri"/>
      <family val="2"/>
      <charset val="204"/>
      <scheme val="minor"/>
    </font>
    <font>
      <sz val="12"/>
      <color rgb="FF111111"/>
      <name val="Calibri"/>
      <family val="2"/>
      <charset val="204"/>
      <scheme val="minor"/>
    </font>
    <font>
      <b/>
      <sz val="14"/>
      <color rgb="FF434343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charset val="204"/>
      <scheme val="minor"/>
    </font>
    <font>
      <sz val="12"/>
      <color theme="4" tint="-0.249977111117893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rgb="FF00B0F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2"/>
      <color rgb="FF2C2D30"/>
      <name val="Calibri"/>
      <family val="2"/>
      <charset val="204"/>
      <scheme val="minor"/>
    </font>
    <font>
      <sz val="18"/>
      <color rgb="FF3F5368"/>
      <name val="Arial"/>
      <family val="2"/>
      <charset val="204"/>
    </font>
    <font>
      <b/>
      <sz val="12"/>
      <color rgb="FF2C2D30"/>
      <name val="Arial"/>
      <family val="2"/>
      <charset val="204"/>
    </font>
    <font>
      <sz val="12"/>
      <color rgb="FF2C2D30"/>
      <name val="Arial"/>
      <family val="2"/>
      <charset val="204"/>
    </font>
    <font>
      <sz val="11"/>
      <color rgb="FF2C2D30"/>
      <name val="Calibri"/>
      <family val="2"/>
      <charset val="204"/>
      <scheme val="minor"/>
    </font>
    <font>
      <b/>
      <sz val="11"/>
      <color rgb="FF2C2D30"/>
      <name val="Calibri"/>
      <family val="2"/>
      <charset val="204"/>
      <scheme val="minor"/>
    </font>
    <font>
      <b/>
      <sz val="18"/>
      <color rgb="FF3F5368"/>
      <name val="Arial"/>
      <family val="2"/>
      <charset val="204"/>
    </font>
    <font>
      <sz val="12"/>
      <color theme="1"/>
      <name val="Algerian"/>
      <family val="5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2"/>
      <color theme="1"/>
      <name val="Calibri"/>
      <family val="5"/>
      <charset val="204"/>
      <scheme val="minor"/>
    </font>
    <font>
      <sz val="11"/>
      <color rgb="FF0070C0"/>
      <name val="Calibri"/>
      <family val="2"/>
      <charset val="204"/>
    </font>
    <font>
      <sz val="14"/>
      <color theme="1"/>
      <name val="Calibri"/>
      <family val="2"/>
      <scheme val="minor"/>
    </font>
    <font>
      <sz val="9"/>
      <color rgb="FF2C2D30"/>
      <name val="Arial"/>
      <family val="2"/>
      <charset val="204"/>
    </font>
    <font>
      <b/>
      <sz val="11"/>
      <color theme="8" tint="-0.249977111117893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4" tint="-0.249977111117893"/>
      <name val="Calibri"/>
      <family val="2"/>
      <charset val="204"/>
    </font>
    <font>
      <b/>
      <sz val="10"/>
      <color theme="4" tint="-0.249977111117893"/>
      <name val="Calibri"/>
      <family val="2"/>
      <charset val="204"/>
      <scheme val="minor"/>
    </font>
    <font>
      <sz val="12"/>
      <color theme="4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00B050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i/>
      <sz val="11"/>
      <color rgb="FF0070C0"/>
      <name val="Calibri"/>
      <family val="2"/>
      <charset val="204"/>
    </font>
    <font>
      <b/>
      <i/>
      <sz val="12"/>
      <color rgb="FF0070C0"/>
      <name val="Calibri"/>
      <family val="2"/>
      <charset val="204"/>
    </font>
    <font>
      <b/>
      <i/>
      <sz val="14"/>
      <color rgb="FF0070C0"/>
      <name val="Calibri"/>
      <family val="2"/>
      <charset val="204"/>
    </font>
    <font>
      <b/>
      <i/>
      <sz val="10"/>
      <color rgb="FF0070C0"/>
      <name val="Calibri"/>
      <family val="2"/>
    </font>
    <font>
      <sz val="10"/>
      <color rgb="FF000000"/>
      <name val="Calibri"/>
      <family val="2"/>
    </font>
    <font>
      <b/>
      <sz val="10"/>
      <color rgb="FF00B050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5E3E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03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1" fontId="9" fillId="0" borderId="1" xfId="0" applyNumberFormat="1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5" fillId="0" borderId="0" xfId="0" applyFont="1"/>
    <xf numFmtId="3" fontId="9" fillId="0" borderId="1" xfId="0" applyNumberFormat="1" applyFont="1" applyBorder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1" fillId="0" borderId="0" xfId="0" applyFont="1" applyAlignment="1">
      <alignment vertical="center"/>
    </xf>
    <xf numFmtId="166" fontId="9" fillId="0" borderId="1" xfId="0" applyNumberFormat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1" fillId="0" borderId="0" xfId="0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3" xfId="0" applyFont="1" applyBorder="1" applyAlignment="1">
      <alignment vertical="center" wrapText="1"/>
    </xf>
    <xf numFmtId="0" fontId="27" fillId="0" borderId="4" xfId="0" applyFont="1" applyBorder="1" applyAlignment="1">
      <alignment horizontal="right" vertical="center"/>
    </xf>
    <xf numFmtId="0" fontId="22" fillId="0" borderId="5" xfId="0" applyFont="1" applyBorder="1" applyAlignment="1">
      <alignment vertical="center" wrapText="1"/>
    </xf>
    <xf numFmtId="0" fontId="28" fillId="0" borderId="6" xfId="0" applyFont="1" applyBorder="1" applyAlignment="1">
      <alignment horizontal="right" vertical="center"/>
    </xf>
    <xf numFmtId="0" fontId="27" fillId="0" borderId="6" xfId="0" applyFont="1" applyBorder="1" applyAlignment="1">
      <alignment horizontal="right" vertical="center"/>
    </xf>
    <xf numFmtId="3" fontId="27" fillId="0" borderId="6" xfId="0" applyNumberFormat="1" applyFont="1" applyBorder="1" applyAlignment="1">
      <alignment horizontal="right" vertical="center"/>
    </xf>
    <xf numFmtId="0" fontId="27" fillId="2" borderId="0" xfId="0" applyFont="1" applyFill="1" applyAlignment="1">
      <alignment vertical="center"/>
    </xf>
    <xf numFmtId="0" fontId="27" fillId="2" borderId="0" xfId="0" applyFont="1" applyFill="1" applyAlignment="1">
      <alignment horizontal="right" vertical="center"/>
    </xf>
    <xf numFmtId="0" fontId="27" fillId="0" borderId="0" xfId="0" applyFont="1" applyAlignment="1">
      <alignment vertical="center"/>
    </xf>
    <xf numFmtId="3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5" fillId="0" borderId="0" xfId="0" applyFont="1"/>
    <xf numFmtId="0" fontId="14" fillId="0" borderId="0" xfId="0" applyFont="1" applyAlignment="1">
      <alignment horizontal="left" vertical="center" indent="5"/>
    </xf>
    <xf numFmtId="0" fontId="17" fillId="0" borderId="0" xfId="0" applyFont="1"/>
    <xf numFmtId="8" fontId="14" fillId="0" borderId="0" xfId="0" applyNumberFormat="1" applyFont="1"/>
    <xf numFmtId="2" fontId="14" fillId="0" borderId="0" xfId="0" applyNumberFormat="1" applyFont="1"/>
    <xf numFmtId="1" fontId="14" fillId="0" borderId="0" xfId="0" applyNumberFormat="1" applyFont="1"/>
    <xf numFmtId="3" fontId="14" fillId="0" borderId="0" xfId="0" applyNumberFormat="1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3" fontId="14" fillId="0" borderId="1" xfId="0" applyNumberFormat="1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3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1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4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9" fontId="14" fillId="0" borderId="1" xfId="0" applyNumberFormat="1" applyFont="1" applyBorder="1" applyAlignment="1">
      <alignment horizontal="center" vertical="center"/>
    </xf>
    <xf numFmtId="9" fontId="14" fillId="0" borderId="2" xfId="0" applyNumberFormat="1" applyFont="1" applyBorder="1" applyAlignment="1">
      <alignment horizontal="center" vertical="center"/>
    </xf>
    <xf numFmtId="1" fontId="14" fillId="0" borderId="0" xfId="0" applyNumberFormat="1" applyFont="1" applyAlignment="1">
      <alignment horizontal="center"/>
    </xf>
    <xf numFmtId="1" fontId="21" fillId="0" borderId="0" xfId="0" applyNumberFormat="1" applyFont="1" applyAlignment="1">
      <alignment horizontal="center"/>
    </xf>
    <xf numFmtId="1" fontId="14" fillId="0" borderId="2" xfId="0" applyNumberFormat="1" applyFont="1" applyBorder="1" applyAlignment="1">
      <alignment horizontal="center" vertical="center"/>
    </xf>
    <xf numFmtId="3" fontId="21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 vertical="center"/>
    </xf>
    <xf numFmtId="10" fontId="21" fillId="0" borderId="1" xfId="0" applyNumberFormat="1" applyFont="1" applyBorder="1" applyAlignment="1">
      <alignment horizontal="center"/>
    </xf>
    <xf numFmtId="1" fontId="14" fillId="0" borderId="0" xfId="0" applyNumberFormat="1" applyFon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21" fillId="0" borderId="0" xfId="0" applyNumberFormat="1" applyFont="1" applyAlignment="1">
      <alignment horizontal="center"/>
    </xf>
    <xf numFmtId="10" fontId="31" fillId="0" borderId="0" xfId="0" applyNumberFormat="1" applyFont="1" applyAlignment="1">
      <alignment horizontal="center"/>
    </xf>
    <xf numFmtId="1" fontId="31" fillId="0" borderId="0" xfId="0" applyNumberFormat="1" applyFont="1" applyAlignment="1">
      <alignment horizontal="center"/>
    </xf>
    <xf numFmtId="3" fontId="32" fillId="0" borderId="1" xfId="0" applyNumberFormat="1" applyFont="1" applyBorder="1" applyAlignment="1">
      <alignment horizontal="center"/>
    </xf>
    <xf numFmtId="3" fontId="32" fillId="0" borderId="0" xfId="0" applyNumberFormat="1" applyFont="1" applyAlignment="1">
      <alignment horizontal="center"/>
    </xf>
    <xf numFmtId="10" fontId="31" fillId="0" borderId="1" xfId="0" applyNumberFormat="1" applyFont="1" applyBorder="1" applyAlignment="1">
      <alignment horizontal="center"/>
    </xf>
    <xf numFmtId="0" fontId="34" fillId="0" borderId="1" xfId="0" applyFont="1" applyBorder="1"/>
    <xf numFmtId="0" fontId="34" fillId="0" borderId="1" xfId="0" applyFont="1" applyBorder="1" applyAlignment="1">
      <alignment horizontal="center"/>
    </xf>
    <xf numFmtId="3" fontId="14" fillId="0" borderId="1" xfId="0" applyNumberFormat="1" applyFont="1" applyBorder="1" applyAlignment="1">
      <alignment horizontal="right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35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5" fillId="0" borderId="1" xfId="0" applyFont="1" applyBorder="1"/>
    <xf numFmtId="0" fontId="35" fillId="0" borderId="0" xfId="0" applyFont="1"/>
    <xf numFmtId="0" fontId="2" fillId="0" borderId="0" xfId="0" applyFont="1"/>
    <xf numFmtId="0" fontId="16" fillId="0" borderId="1" xfId="0" applyFont="1" applyBorder="1" applyAlignment="1">
      <alignment horizontal="center"/>
    </xf>
    <xf numFmtId="3" fontId="34" fillId="0" borderId="1" xfId="0" applyNumberFormat="1" applyFont="1" applyBorder="1"/>
    <xf numFmtId="3" fontId="32" fillId="0" borderId="1" xfId="0" applyNumberFormat="1" applyFont="1" applyBorder="1" applyAlignment="1">
      <alignment horizontal="center" vertical="center"/>
    </xf>
    <xf numFmtId="3" fontId="33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1" fontId="27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1" fontId="17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26" fillId="0" borderId="0" xfId="0" applyFont="1"/>
    <xf numFmtId="165" fontId="9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10" fontId="9" fillId="0" borderId="1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70" fontId="9" fillId="0" borderId="1" xfId="0" applyNumberFormat="1" applyFont="1" applyBorder="1" applyAlignment="1">
      <alignment horizontal="center" vertical="center"/>
    </xf>
    <xf numFmtId="171" fontId="9" fillId="0" borderId="1" xfId="0" applyNumberFormat="1" applyFont="1" applyBorder="1" applyAlignment="1">
      <alignment horizontal="center" vertical="center"/>
    </xf>
    <xf numFmtId="172" fontId="9" fillId="0" borderId="1" xfId="0" applyNumberFormat="1" applyFont="1" applyBorder="1" applyAlignment="1">
      <alignment horizontal="center" vertical="center"/>
    </xf>
    <xf numFmtId="170" fontId="9" fillId="0" borderId="0" xfId="0" applyNumberFormat="1" applyFont="1" applyAlignment="1">
      <alignment horizontal="center" vertical="center"/>
    </xf>
    <xf numFmtId="165" fontId="9" fillId="0" borderId="1" xfId="1" applyNumberFormat="1" applyFont="1" applyBorder="1" applyAlignment="1">
      <alignment horizontal="center" vertical="center"/>
    </xf>
    <xf numFmtId="10" fontId="9" fillId="0" borderId="1" xfId="1" applyNumberFormat="1" applyFont="1" applyBorder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10" fontId="9" fillId="0" borderId="0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174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/>
    </xf>
    <xf numFmtId="9" fontId="9" fillId="0" borderId="1" xfId="0" applyNumberFormat="1" applyFont="1" applyBorder="1" applyAlignment="1">
      <alignment horizontal="center"/>
    </xf>
    <xf numFmtId="175" fontId="9" fillId="0" borderId="1" xfId="0" applyNumberFormat="1" applyFont="1" applyBorder="1" applyAlignment="1">
      <alignment horizontal="center" vertical="center"/>
    </xf>
    <xf numFmtId="171" fontId="9" fillId="0" borderId="0" xfId="0" applyNumberFormat="1" applyFont="1" applyAlignment="1">
      <alignment horizontal="center" vertical="center"/>
    </xf>
    <xf numFmtId="175" fontId="9" fillId="0" borderId="0" xfId="0" applyNumberFormat="1" applyFont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9" fillId="0" borderId="0" xfId="0" applyNumberFormat="1" applyFont="1" applyAlignment="1">
      <alignment horizontal="center" vertical="center"/>
    </xf>
    <xf numFmtId="0" fontId="0" fillId="3" borderId="0" xfId="0" applyFill="1"/>
    <xf numFmtId="3" fontId="18" fillId="0" borderId="1" xfId="0" applyNumberFormat="1" applyFont="1" applyBorder="1" applyAlignment="1">
      <alignment horizontal="center" vertical="center"/>
    </xf>
    <xf numFmtId="3" fontId="21" fillId="0" borderId="1" xfId="0" applyNumberFormat="1" applyFont="1" applyBorder="1" applyAlignment="1">
      <alignment horizontal="center" vertical="center"/>
    </xf>
    <xf numFmtId="3" fontId="21" fillId="0" borderId="0" xfId="0" applyNumberFormat="1" applyFont="1" applyAlignment="1">
      <alignment horizontal="center" vertical="center"/>
    </xf>
    <xf numFmtId="0" fontId="4" fillId="0" borderId="1" xfId="0" applyFont="1" applyBorder="1"/>
    <xf numFmtId="9" fontId="21" fillId="0" borderId="0" xfId="0" applyNumberFormat="1" applyFont="1" applyAlignment="1">
      <alignment horizontal="center" vertical="center"/>
    </xf>
    <xf numFmtId="165" fontId="21" fillId="0" borderId="0" xfId="0" applyNumberFormat="1" applyFont="1" applyAlignment="1">
      <alignment horizontal="center"/>
    </xf>
    <xf numFmtId="165" fontId="14" fillId="0" borderId="0" xfId="0" applyNumberFormat="1" applyFont="1"/>
    <xf numFmtId="178" fontId="21" fillId="0" borderId="0" xfId="0" applyNumberFormat="1" applyFont="1" applyAlignment="1">
      <alignment horizontal="center" vertical="center"/>
    </xf>
    <xf numFmtId="2" fontId="21" fillId="0" borderId="0" xfId="0" applyNumberFormat="1" applyFont="1"/>
    <xf numFmtId="3" fontId="45" fillId="0" borderId="0" xfId="0" applyNumberFormat="1" applyFont="1" applyAlignment="1">
      <alignment horizontal="center" vertical="center"/>
    </xf>
    <xf numFmtId="178" fontId="20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0" fontId="27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26" fillId="0" borderId="12" xfId="0" applyFont="1" applyBorder="1" applyAlignment="1">
      <alignment vertical="center"/>
    </xf>
    <xf numFmtId="0" fontId="0" fillId="0" borderId="13" xfId="0" applyBorder="1"/>
    <xf numFmtId="0" fontId="0" fillId="0" borderId="12" xfId="0" applyBorder="1"/>
    <xf numFmtId="0" fontId="0" fillId="0" borderId="17" xfId="0" applyBorder="1"/>
    <xf numFmtId="0" fontId="0" fillId="0" borderId="15" xfId="0" applyBorder="1"/>
    <xf numFmtId="0" fontId="14" fillId="0" borderId="12" xfId="0" applyFont="1" applyBorder="1"/>
    <xf numFmtId="0" fontId="26" fillId="4" borderId="12" xfId="0" applyFont="1" applyFill="1" applyBorder="1" applyAlignment="1">
      <alignment vertical="center"/>
    </xf>
    <xf numFmtId="0" fontId="14" fillId="0" borderId="17" xfId="0" applyFont="1" applyBorder="1"/>
    <xf numFmtId="0" fontId="0" fillId="0" borderId="18" xfId="0" applyBorder="1"/>
    <xf numFmtId="0" fontId="26" fillId="4" borderId="12" xfId="0" applyFont="1" applyFill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21" xfId="0" applyFont="1" applyBorder="1" applyAlignment="1">
      <alignment vertical="center"/>
    </xf>
    <xf numFmtId="0" fontId="27" fillId="0" borderId="17" xfId="0" applyFont="1" applyBorder="1" applyAlignment="1">
      <alignment horizontal="right" vertical="center" wrapText="1"/>
    </xf>
    <xf numFmtId="0" fontId="27" fillId="0" borderId="17" xfId="0" applyFont="1" applyBorder="1" applyAlignment="1">
      <alignment horizontal="right" vertical="center"/>
    </xf>
    <xf numFmtId="0" fontId="27" fillId="0" borderId="15" xfId="0" applyFont="1" applyBorder="1" applyAlignment="1">
      <alignment horizontal="right" vertical="center"/>
    </xf>
    <xf numFmtId="0" fontId="26" fillId="0" borderId="23" xfId="0" applyFont="1" applyBorder="1" applyAlignment="1">
      <alignment vertical="center"/>
    </xf>
    <xf numFmtId="0" fontId="26" fillId="4" borderId="22" xfId="0" applyFont="1" applyFill="1" applyBorder="1" applyAlignment="1">
      <alignment vertical="center"/>
    </xf>
    <xf numFmtId="0" fontId="26" fillId="0" borderId="22" xfId="0" applyFont="1" applyBorder="1" applyAlignment="1">
      <alignment vertical="center"/>
    </xf>
    <xf numFmtId="0" fontId="26" fillId="0" borderId="22" xfId="0" applyFont="1" applyBorder="1" applyAlignment="1">
      <alignment horizontal="center" vertical="center"/>
    </xf>
    <xf numFmtId="0" fontId="27" fillId="0" borderId="21" xfId="0" applyFont="1" applyBorder="1" applyAlignment="1">
      <alignment horizontal="right" vertical="center"/>
    </xf>
    <xf numFmtId="0" fontId="0" fillId="0" borderId="21" xfId="0" applyBorder="1"/>
    <xf numFmtId="0" fontId="0" fillId="0" borderId="19" xfId="0" applyBorder="1"/>
    <xf numFmtId="0" fontId="14" fillId="0" borderId="22" xfId="0" applyFont="1" applyBorder="1"/>
    <xf numFmtId="3" fontId="14" fillId="0" borderId="22" xfId="0" applyNumberFormat="1" applyFont="1" applyBorder="1"/>
    <xf numFmtId="168" fontId="14" fillId="0" borderId="22" xfId="0" applyNumberFormat="1" applyFont="1" applyBorder="1"/>
    <xf numFmtId="0" fontId="46" fillId="0" borderId="22" xfId="0" applyFont="1" applyBorder="1" applyAlignment="1">
      <alignment horizontal="center"/>
    </xf>
    <xf numFmtId="10" fontId="0" fillId="3" borderId="22" xfId="0" applyNumberFormat="1" applyFill="1" applyBorder="1"/>
    <xf numFmtId="0" fontId="0" fillId="0" borderId="24" xfId="0" applyBorder="1"/>
    <xf numFmtId="167" fontId="14" fillId="0" borderId="22" xfId="0" applyNumberFormat="1" applyFont="1" applyBorder="1"/>
    <xf numFmtId="3" fontId="21" fillId="0" borderId="22" xfId="0" applyNumberFormat="1" applyFont="1" applyBorder="1" applyAlignment="1">
      <alignment horizontal="center" vertical="center"/>
    </xf>
    <xf numFmtId="178" fontId="21" fillId="0" borderId="22" xfId="0" applyNumberFormat="1" applyFont="1" applyBorder="1" applyAlignment="1">
      <alignment horizontal="center" vertical="center"/>
    </xf>
    <xf numFmtId="169" fontId="20" fillId="0" borderId="22" xfId="0" applyNumberFormat="1" applyFont="1" applyBorder="1" applyAlignment="1">
      <alignment horizontal="center"/>
    </xf>
    <xf numFmtId="177" fontId="45" fillId="0" borderId="22" xfId="0" applyNumberFormat="1" applyFont="1" applyBorder="1" applyAlignment="1">
      <alignment horizontal="center" vertical="center"/>
    </xf>
    <xf numFmtId="1" fontId="21" fillId="0" borderId="22" xfId="0" applyNumberFormat="1" applyFont="1" applyBorder="1" applyAlignment="1">
      <alignment horizontal="center" vertical="center"/>
    </xf>
    <xf numFmtId="167" fontId="21" fillId="0" borderId="22" xfId="0" applyNumberFormat="1" applyFont="1" applyBorder="1" applyAlignment="1">
      <alignment horizontal="center" vertical="center"/>
    </xf>
    <xf numFmtId="165" fontId="21" fillId="0" borderId="22" xfId="0" applyNumberFormat="1" applyFont="1" applyBorder="1"/>
    <xf numFmtId="0" fontId="21" fillId="0" borderId="22" xfId="0" applyFont="1" applyBorder="1"/>
    <xf numFmtId="8" fontId="0" fillId="0" borderId="22" xfId="0" applyNumberFormat="1" applyBorder="1"/>
    <xf numFmtId="0" fontId="0" fillId="0" borderId="22" xfId="0" applyBorder="1"/>
    <xf numFmtId="2" fontId="0" fillId="0" borderId="22" xfId="0" applyNumberFormat="1" applyBorder="1"/>
    <xf numFmtId="6" fontId="0" fillId="3" borderId="22" xfId="0" applyNumberFormat="1" applyFill="1" applyBorder="1"/>
    <xf numFmtId="2" fontId="0" fillId="3" borderId="22" xfId="0" applyNumberFormat="1" applyFill="1" applyBorder="1"/>
    <xf numFmtId="0" fontId="0" fillId="3" borderId="22" xfId="0" applyFill="1" applyBorder="1" applyAlignment="1">
      <alignment horizontal="center"/>
    </xf>
    <xf numFmtId="0" fontId="0" fillId="0" borderId="22" xfId="0" applyBorder="1" applyAlignment="1">
      <alignment horizontal="right"/>
    </xf>
    <xf numFmtId="8" fontId="0" fillId="0" borderId="22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9" fontId="14" fillId="0" borderId="22" xfId="0" applyNumberFormat="1" applyFont="1" applyBorder="1" applyAlignment="1">
      <alignment horizontal="right" vertical="center"/>
    </xf>
    <xf numFmtId="0" fontId="14" fillId="0" borderId="22" xfId="0" applyFont="1" applyBorder="1" applyAlignment="1">
      <alignment horizontal="right"/>
    </xf>
    <xf numFmtId="1" fontId="14" fillId="0" borderId="22" xfId="0" applyNumberFormat="1" applyFont="1" applyBorder="1" applyAlignment="1">
      <alignment horizontal="right"/>
    </xf>
    <xf numFmtId="164" fontId="14" fillId="0" borderId="22" xfId="0" applyNumberFormat="1" applyFont="1" applyBorder="1" applyAlignment="1">
      <alignment horizontal="right"/>
    </xf>
    <xf numFmtId="2" fontId="14" fillId="0" borderId="22" xfId="0" applyNumberFormat="1" applyFont="1" applyBorder="1" applyAlignment="1">
      <alignment horizontal="right"/>
    </xf>
    <xf numFmtId="8" fontId="14" fillId="0" borderId="22" xfId="0" applyNumberFormat="1" applyFont="1" applyBorder="1" applyAlignment="1">
      <alignment horizontal="right"/>
    </xf>
    <xf numFmtId="1" fontId="0" fillId="0" borderId="22" xfId="0" applyNumberFormat="1" applyBorder="1" applyAlignment="1">
      <alignment horizontal="right"/>
    </xf>
    <xf numFmtId="164" fontId="42" fillId="0" borderId="22" xfId="0" applyNumberFormat="1" applyFont="1" applyBorder="1" applyAlignment="1">
      <alignment horizontal="right"/>
    </xf>
    <xf numFmtId="164" fontId="43" fillId="0" borderId="22" xfId="0" applyNumberFormat="1" applyFont="1" applyBorder="1" applyAlignment="1">
      <alignment horizontal="right"/>
    </xf>
    <xf numFmtId="9" fontId="14" fillId="0" borderId="25" xfId="0" applyNumberFormat="1" applyFont="1" applyBorder="1" applyAlignment="1">
      <alignment horizontal="right" vertical="center"/>
    </xf>
    <xf numFmtId="1" fontId="0" fillId="0" borderId="25" xfId="0" applyNumberFormat="1" applyBorder="1" applyAlignment="1">
      <alignment horizontal="right"/>
    </xf>
    <xf numFmtId="164" fontId="14" fillId="0" borderId="25" xfId="0" applyNumberFormat="1" applyFont="1" applyBorder="1" applyAlignment="1">
      <alignment horizontal="right"/>
    </xf>
    <xf numFmtId="169" fontId="14" fillId="0" borderId="22" xfId="0" applyNumberFormat="1" applyFon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0" fillId="0" borderId="11" xfId="0" applyBorder="1"/>
    <xf numFmtId="0" fontId="47" fillId="0" borderId="11" xfId="0" applyFont="1" applyBorder="1" applyAlignment="1">
      <alignment horizontal="center"/>
    </xf>
    <xf numFmtId="0" fontId="47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49" fillId="0" borderId="0" xfId="0" applyFont="1" applyAlignment="1">
      <alignment vertical="center"/>
    </xf>
    <xf numFmtId="0" fontId="48" fillId="0" borderId="0" xfId="0" applyFont="1"/>
    <xf numFmtId="1" fontId="9" fillId="0" borderId="9" xfId="0" applyNumberFormat="1" applyFont="1" applyBorder="1" applyAlignment="1">
      <alignment horizontal="center" vertical="center"/>
    </xf>
    <xf numFmtId="8" fontId="9" fillId="0" borderId="1" xfId="0" applyNumberFormat="1" applyFont="1" applyBorder="1" applyAlignment="1">
      <alignment horizontal="center"/>
    </xf>
    <xf numFmtId="6" fontId="9" fillId="0" borderId="1" xfId="0" applyNumberFormat="1" applyFont="1" applyBorder="1" applyAlignment="1">
      <alignment horizontal="center"/>
    </xf>
    <xf numFmtId="0" fontId="13" fillId="0" borderId="13" xfId="0" applyFont="1" applyBorder="1"/>
    <xf numFmtId="0" fontId="13" fillId="0" borderId="12" xfId="0" applyFont="1" applyBorder="1"/>
    <xf numFmtId="8" fontId="13" fillId="0" borderId="0" xfId="0" applyNumberFormat="1" applyFont="1"/>
    <xf numFmtId="0" fontId="13" fillId="0" borderId="16" xfId="0" applyFont="1" applyBorder="1"/>
    <xf numFmtId="0" fontId="13" fillId="0" borderId="14" xfId="0" applyFont="1" applyBorder="1"/>
    <xf numFmtId="0" fontId="13" fillId="0" borderId="15" xfId="0" applyFont="1" applyBorder="1"/>
    <xf numFmtId="0" fontId="13" fillId="0" borderId="20" xfId="0" applyFont="1" applyBorder="1"/>
    <xf numFmtId="0" fontId="26" fillId="4" borderId="22" xfId="0" applyFont="1" applyFill="1" applyBorder="1" applyAlignment="1">
      <alignment horizontal="right" vertical="center"/>
    </xf>
    <xf numFmtId="1" fontId="26" fillId="0" borderId="22" xfId="0" applyNumberFormat="1" applyFont="1" applyBorder="1" applyAlignment="1">
      <alignment horizontal="right" vertical="center"/>
    </xf>
    <xf numFmtId="2" fontId="26" fillId="0" borderId="22" xfId="0" applyNumberFormat="1" applyFont="1" applyBorder="1" applyAlignment="1">
      <alignment horizontal="right" vertical="center"/>
    </xf>
    <xf numFmtId="0" fontId="26" fillId="0" borderId="22" xfId="0" applyFont="1" applyBorder="1" applyAlignment="1">
      <alignment horizontal="right" vertical="center" wrapText="1"/>
    </xf>
    <xf numFmtId="0" fontId="26" fillId="0" borderId="22" xfId="0" applyFont="1" applyBorder="1" applyAlignment="1">
      <alignment horizontal="right" vertical="center"/>
    </xf>
    <xf numFmtId="8" fontId="26" fillId="0" borderId="22" xfId="0" applyNumberFormat="1" applyFont="1" applyBorder="1" applyAlignment="1">
      <alignment horizontal="right" vertical="center"/>
    </xf>
    <xf numFmtId="0" fontId="26" fillId="4" borderId="12" xfId="0" applyFont="1" applyFill="1" applyBorder="1" applyAlignment="1">
      <alignment horizontal="right" vertical="center"/>
    </xf>
    <xf numFmtId="3" fontId="26" fillId="0" borderId="12" xfId="0" applyNumberFormat="1" applyFont="1" applyBorder="1" applyAlignment="1">
      <alignment horizontal="right" vertical="center"/>
    </xf>
    <xf numFmtId="177" fontId="26" fillId="0" borderId="12" xfId="0" applyNumberFormat="1" applyFont="1" applyBorder="1" applyAlignment="1">
      <alignment horizontal="right" vertical="center"/>
    </xf>
    <xf numFmtId="0" fontId="26" fillId="0" borderId="12" xfId="0" applyFont="1" applyBorder="1" applyAlignment="1">
      <alignment horizontal="right" vertical="center" wrapText="1"/>
    </xf>
    <xf numFmtId="8" fontId="26" fillId="0" borderId="12" xfId="0" applyNumberFormat="1" applyFont="1" applyBorder="1" applyAlignment="1">
      <alignment horizontal="right" vertical="center"/>
    </xf>
    <xf numFmtId="0" fontId="26" fillId="0" borderId="12" xfId="0" applyFont="1" applyBorder="1" applyAlignment="1">
      <alignment horizontal="right" vertical="center"/>
    </xf>
    <xf numFmtId="164" fontId="26" fillId="0" borderId="12" xfId="0" applyNumberFormat="1" applyFont="1" applyBorder="1" applyAlignment="1">
      <alignment horizontal="right" vertical="center"/>
    </xf>
    <xf numFmtId="0" fontId="26" fillId="0" borderId="0" xfId="0" applyFont="1" applyAlignment="1">
      <alignment horizontal="right" vertical="center" wrapText="1"/>
    </xf>
    <xf numFmtId="8" fontId="26" fillId="0" borderId="0" xfId="0" applyNumberFormat="1" applyFont="1" applyAlignment="1">
      <alignment horizontal="right" vertical="center"/>
    </xf>
    <xf numFmtId="9" fontId="14" fillId="0" borderId="0" xfId="0" applyNumberFormat="1" applyFont="1"/>
    <xf numFmtId="4" fontId="17" fillId="0" borderId="0" xfId="0" applyNumberFormat="1" applyFont="1"/>
    <xf numFmtId="2" fontId="52" fillId="0" borderId="0" xfId="0" applyNumberFormat="1" applyFont="1"/>
    <xf numFmtId="2" fontId="2" fillId="0" borderId="0" xfId="0" applyNumberFormat="1" applyFont="1"/>
    <xf numFmtId="0" fontId="52" fillId="0" borderId="0" xfId="0" applyFont="1"/>
    <xf numFmtId="4" fontId="30" fillId="5" borderId="0" xfId="0" applyNumberFormat="1" applyFont="1" applyFill="1"/>
    <xf numFmtId="2" fontId="53" fillId="5" borderId="0" xfId="0" applyNumberFormat="1" applyFont="1" applyFill="1"/>
    <xf numFmtId="10" fontId="53" fillId="5" borderId="0" xfId="0" applyNumberFormat="1" applyFont="1" applyFill="1"/>
    <xf numFmtId="0" fontId="47" fillId="0" borderId="0" xfId="0" applyFont="1"/>
    <xf numFmtId="0" fontId="47" fillId="0" borderId="1" xfId="0" applyFont="1" applyBorder="1"/>
    <xf numFmtId="9" fontId="47" fillId="0" borderId="0" xfId="0" applyNumberFormat="1" applyFont="1"/>
    <xf numFmtId="2" fontId="47" fillId="0" borderId="0" xfId="0" applyNumberFormat="1" applyFont="1"/>
    <xf numFmtId="0" fontId="47" fillId="0" borderId="1" xfId="0" applyFont="1" applyBorder="1" applyAlignment="1">
      <alignment horizontal="center"/>
    </xf>
    <xf numFmtId="9" fontId="29" fillId="0" borderId="1" xfId="0" applyNumberFormat="1" applyFont="1" applyBorder="1" applyAlignment="1">
      <alignment horizontal="center"/>
    </xf>
    <xf numFmtId="4" fontId="29" fillId="0" borderId="1" xfId="0" applyNumberFormat="1" applyFont="1" applyBorder="1" applyAlignment="1">
      <alignment horizontal="center"/>
    </xf>
    <xf numFmtId="3" fontId="29" fillId="0" borderId="1" xfId="0" applyNumberFormat="1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1" fontId="29" fillId="0" borderId="1" xfId="0" applyNumberFormat="1" applyFont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10" fontId="29" fillId="0" borderId="1" xfId="0" applyNumberFormat="1" applyFont="1" applyBorder="1" applyAlignment="1">
      <alignment horizontal="center" vertical="center"/>
    </xf>
    <xf numFmtId="1" fontId="29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26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4" fontId="14" fillId="0" borderId="0" xfId="0" applyNumberFormat="1" applyFont="1" applyBorder="1" applyAlignment="1">
      <alignment horizontal="center"/>
    </xf>
    <xf numFmtId="0" fontId="14" fillId="6" borderId="0" xfId="0" applyFont="1" applyFill="1" applyAlignment="1">
      <alignment horizontal="right"/>
    </xf>
    <xf numFmtId="0" fontId="14" fillId="6" borderId="0" xfId="0" applyFont="1" applyFill="1" applyAlignment="1">
      <alignment horizontal="center"/>
    </xf>
    <xf numFmtId="0" fontId="6" fillId="0" borderId="0" xfId="0" applyFont="1"/>
    <xf numFmtId="0" fontId="12" fillId="0" borderId="0" xfId="0" applyFont="1"/>
    <xf numFmtId="0" fontId="14" fillId="0" borderId="0" xfId="0" applyFont="1" applyAlignment="1"/>
    <xf numFmtId="0" fontId="56" fillId="7" borderId="3" xfId="0" applyFont="1" applyFill="1" applyBorder="1" applyAlignment="1">
      <alignment vertical="center"/>
    </xf>
    <xf numFmtId="0" fontId="56" fillId="7" borderId="4" xfId="0" applyFont="1" applyFill="1" applyBorder="1" applyAlignment="1">
      <alignment horizontal="right" vertical="center"/>
    </xf>
    <xf numFmtId="0" fontId="56" fillId="0" borderId="5" xfId="0" applyFont="1" applyBorder="1" applyAlignment="1">
      <alignment vertical="center"/>
    </xf>
    <xf numFmtId="0" fontId="56" fillId="0" borderId="6" xfId="0" applyFont="1" applyBorder="1" applyAlignment="1">
      <alignment horizontal="right" vertical="center"/>
    </xf>
    <xf numFmtId="0" fontId="56" fillId="8" borderId="3" xfId="0" applyFont="1" applyFill="1" applyBorder="1" applyAlignment="1">
      <alignment vertical="center"/>
    </xf>
    <xf numFmtId="0" fontId="56" fillId="8" borderId="4" xfId="0" applyFont="1" applyFill="1" applyBorder="1" applyAlignment="1">
      <alignment horizontal="right" vertical="center"/>
    </xf>
    <xf numFmtId="9" fontId="56" fillId="0" borderId="6" xfId="0" applyNumberFormat="1" applyFont="1" applyBorder="1" applyAlignment="1">
      <alignment horizontal="right" vertical="center"/>
    </xf>
    <xf numFmtId="0" fontId="57" fillId="9" borderId="6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56" fillId="0" borderId="27" xfId="0" applyFont="1" applyBorder="1" applyAlignment="1">
      <alignment horizontal="right" vertical="center"/>
    </xf>
    <xf numFmtId="0" fontId="56" fillId="0" borderId="4" xfId="0" applyFont="1" applyBorder="1" applyAlignment="1">
      <alignment horizontal="right" vertical="center"/>
    </xf>
    <xf numFmtId="0" fontId="56" fillId="0" borderId="29" xfId="0" applyFont="1" applyBorder="1" applyAlignment="1">
      <alignment vertical="center"/>
    </xf>
    <xf numFmtId="0" fontId="57" fillId="9" borderId="1" xfId="0" applyFont="1" applyFill="1" applyBorder="1" applyAlignment="1">
      <alignment vertical="center"/>
    </xf>
    <xf numFmtId="0" fontId="57" fillId="9" borderId="5" xfId="0" applyFont="1" applyFill="1" applyBorder="1" applyAlignment="1">
      <alignment vertical="center"/>
    </xf>
    <xf numFmtId="10" fontId="57" fillId="9" borderId="6" xfId="0" applyNumberFormat="1" applyFont="1" applyFill="1" applyBorder="1" applyAlignment="1">
      <alignment horizontal="right" vertical="center"/>
    </xf>
    <xf numFmtId="0" fontId="21" fillId="0" borderId="0" xfId="0" applyFont="1" applyAlignment="1"/>
    <xf numFmtId="0" fontId="12" fillId="0" borderId="0" xfId="0" applyFont="1" applyAlignment="1">
      <alignment horizontal="left" vertical="center"/>
    </xf>
    <xf numFmtId="169" fontId="56" fillId="0" borderId="6" xfId="0" applyNumberFormat="1" applyFont="1" applyBorder="1" applyAlignment="1">
      <alignment horizontal="right" vertical="center"/>
    </xf>
    <xf numFmtId="2" fontId="56" fillId="0" borderId="6" xfId="0" applyNumberFormat="1" applyFont="1" applyBorder="1" applyAlignment="1">
      <alignment horizontal="right" vertical="center"/>
    </xf>
    <xf numFmtId="184" fontId="56" fillId="0" borderId="6" xfId="0" applyNumberFormat="1" applyFont="1" applyBorder="1" applyAlignment="1">
      <alignment horizontal="right" vertical="center"/>
    </xf>
    <xf numFmtId="184" fontId="57" fillId="9" borderId="6" xfId="0" applyNumberFormat="1" applyFont="1" applyFill="1" applyBorder="1" applyAlignment="1">
      <alignment horizontal="right" vertical="center"/>
    </xf>
    <xf numFmtId="0" fontId="5" fillId="0" borderId="0" xfId="0" applyFont="1" applyBorder="1"/>
    <xf numFmtId="1" fontId="56" fillId="0" borderId="6" xfId="0" applyNumberFormat="1" applyFont="1" applyBorder="1" applyAlignment="1">
      <alignment horizontal="right" vertical="center"/>
    </xf>
    <xf numFmtId="0" fontId="58" fillId="0" borderId="29" xfId="0" applyFont="1" applyBorder="1" applyAlignment="1">
      <alignment vertical="center"/>
    </xf>
    <xf numFmtId="0" fontId="17" fillId="0" borderId="0" xfId="0" applyFont="1" applyAlignment="1"/>
    <xf numFmtId="185" fontId="57" fillId="9" borderId="4" xfId="0" applyNumberFormat="1" applyFont="1" applyFill="1" applyBorder="1" applyAlignment="1">
      <alignment horizontal="right" vertical="center"/>
    </xf>
    <xf numFmtId="0" fontId="17" fillId="0" borderId="0" xfId="0" applyFont="1" applyBorder="1"/>
    <xf numFmtId="165" fontId="56" fillId="0" borderId="6" xfId="0" applyNumberFormat="1" applyFont="1" applyBorder="1" applyAlignment="1">
      <alignment horizontal="right" vertical="center"/>
    </xf>
    <xf numFmtId="0" fontId="1" fillId="0" borderId="0" xfId="0" applyFont="1" applyAlignment="1"/>
    <xf numFmtId="0" fontId="59" fillId="9" borderId="1" xfId="0" applyFont="1" applyFill="1" applyBorder="1" applyAlignment="1">
      <alignment vertical="center"/>
    </xf>
    <xf numFmtId="2" fontId="1" fillId="0" borderId="0" xfId="0" applyNumberFormat="1" applyFont="1" applyAlignment="1">
      <alignment horizontal="center"/>
    </xf>
    <xf numFmtId="0" fontId="58" fillId="0" borderId="1" xfId="0" applyFont="1" applyBorder="1" applyAlignment="1">
      <alignment vertical="center"/>
    </xf>
    <xf numFmtId="1" fontId="56" fillId="0" borderId="1" xfId="0" applyNumberFormat="1" applyFont="1" applyBorder="1" applyAlignment="1">
      <alignment horizontal="right" vertical="center"/>
    </xf>
    <xf numFmtId="8" fontId="57" fillId="9" borderId="6" xfId="0" applyNumberFormat="1" applyFont="1" applyFill="1" applyBorder="1" applyAlignment="1">
      <alignment horizontal="right" vertical="center"/>
    </xf>
    <xf numFmtId="184" fontId="56" fillId="0" borderId="1" xfId="0" applyNumberFormat="1" applyFont="1" applyBorder="1" applyAlignment="1">
      <alignment horizontal="right" vertical="center"/>
    </xf>
    <xf numFmtId="0" fontId="56" fillId="0" borderId="1" xfId="0" applyFont="1" applyBorder="1" applyAlignment="1">
      <alignment vertical="center"/>
    </xf>
    <xf numFmtId="0" fontId="56" fillId="0" borderId="9" xfId="0" applyFont="1" applyBorder="1" applyAlignment="1">
      <alignment vertical="center"/>
    </xf>
    <xf numFmtId="9" fontId="56" fillId="0" borderId="9" xfId="0" applyNumberFormat="1" applyFont="1" applyBorder="1" applyAlignment="1">
      <alignment horizontal="right" vertical="center"/>
    </xf>
    <xf numFmtId="0" fontId="56" fillId="0" borderId="1" xfId="0" applyFont="1" applyBorder="1" applyAlignment="1">
      <alignment horizontal="right" vertical="center"/>
    </xf>
    <xf numFmtId="0" fontId="56" fillId="0" borderId="9" xfId="0" applyFont="1" applyBorder="1" applyAlignment="1">
      <alignment horizontal="right" vertical="center"/>
    </xf>
    <xf numFmtId="10" fontId="60" fillId="9" borderId="6" xfId="0" applyNumberFormat="1" applyFont="1" applyFill="1" applyBorder="1" applyAlignment="1">
      <alignment horizontal="right" vertical="center"/>
    </xf>
    <xf numFmtId="165" fontId="57" fillId="9" borderId="1" xfId="0" applyNumberFormat="1" applyFont="1" applyFill="1" applyBorder="1" applyAlignment="1">
      <alignment horizontal="right" vertical="center"/>
    </xf>
    <xf numFmtId="0" fontId="7" fillId="0" borderId="0" xfId="0" applyFont="1" applyAlignment="1"/>
    <xf numFmtId="0" fontId="9" fillId="0" borderId="0" xfId="0" applyFont="1" applyAlignment="1">
      <alignment vertical="center"/>
    </xf>
    <xf numFmtId="0" fontId="61" fillId="0" borderId="0" xfId="0" applyFont="1"/>
    <xf numFmtId="0" fontId="0" fillId="0" borderId="0" xfId="0" applyFont="1"/>
    <xf numFmtId="0" fontId="62" fillId="0" borderId="6" xfId="0" applyFont="1" applyBorder="1" applyAlignment="1">
      <alignment horizontal="right" vertical="center"/>
    </xf>
    <xf numFmtId="0" fontId="56" fillId="7" borderId="4" xfId="0" applyFont="1" applyFill="1" applyBorder="1" applyAlignment="1">
      <alignment horizontal="right" vertical="center" wrapText="1"/>
    </xf>
    <xf numFmtId="0" fontId="56" fillId="0" borderId="6" xfId="0" applyFont="1" applyBorder="1" applyAlignment="1">
      <alignment horizontal="right" vertical="center" wrapText="1"/>
    </xf>
    <xf numFmtId="9" fontId="56" fillId="0" borderId="6" xfId="0" applyNumberFormat="1" applyFont="1" applyBorder="1" applyAlignment="1">
      <alignment horizontal="right" vertical="center" wrapText="1"/>
    </xf>
    <xf numFmtId="0" fontId="37" fillId="0" borderId="5" xfId="0" applyFont="1" applyBorder="1" applyAlignment="1">
      <alignment vertical="center" wrapText="1"/>
    </xf>
    <xf numFmtId="0" fontId="37" fillId="0" borderId="6" xfId="0" applyFont="1" applyBorder="1" applyAlignment="1">
      <alignment horizontal="right" vertical="center" wrapText="1"/>
    </xf>
    <xf numFmtId="9" fontId="37" fillId="0" borderId="6" xfId="0" applyNumberFormat="1" applyFont="1" applyBorder="1" applyAlignment="1">
      <alignment horizontal="right" vertical="center" wrapText="1"/>
    </xf>
    <xf numFmtId="0" fontId="56" fillId="9" borderId="3" xfId="0" applyFont="1" applyFill="1" applyBorder="1" applyAlignment="1">
      <alignment vertical="center"/>
    </xf>
    <xf numFmtId="0" fontId="56" fillId="9" borderId="4" xfId="0" applyFont="1" applyFill="1" applyBorder="1" applyAlignment="1">
      <alignment vertical="center"/>
    </xf>
    <xf numFmtId="0" fontId="56" fillId="9" borderId="4" xfId="0" applyFont="1" applyFill="1" applyBorder="1" applyAlignment="1">
      <alignment horizontal="right" vertical="center"/>
    </xf>
    <xf numFmtId="0" fontId="56" fillId="0" borderId="3" xfId="0" applyFont="1" applyBorder="1" applyAlignment="1">
      <alignment vertical="center"/>
    </xf>
    <xf numFmtId="0" fontId="56" fillId="0" borderId="4" xfId="0" applyFont="1" applyBorder="1" applyAlignment="1">
      <alignment horizontal="center" vertical="center"/>
    </xf>
    <xf numFmtId="0" fontId="56" fillId="0" borderId="6" xfId="0" applyFont="1" applyBorder="1" applyAlignment="1">
      <alignment horizontal="center" vertical="center"/>
    </xf>
    <xf numFmtId="0" fontId="57" fillId="0" borderId="3" xfId="0" applyFont="1" applyBorder="1" applyAlignment="1">
      <alignment vertical="center"/>
    </xf>
    <xf numFmtId="0" fontId="57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right" vertical="center"/>
    </xf>
    <xf numFmtId="0" fontId="57" fillId="0" borderId="5" xfId="0" applyFont="1" applyBorder="1" applyAlignment="1">
      <alignment vertical="center"/>
    </xf>
    <xf numFmtId="0" fontId="57" fillId="0" borderId="6" xfId="0" applyFont="1" applyBorder="1" applyAlignment="1">
      <alignment horizontal="center" vertical="center"/>
    </xf>
    <xf numFmtId="0" fontId="57" fillId="0" borderId="6" xfId="0" applyFont="1" applyBorder="1" applyAlignment="1">
      <alignment horizontal="right" vertical="center"/>
    </xf>
    <xf numFmtId="0" fontId="57" fillId="10" borderId="32" xfId="0" applyFont="1" applyFill="1" applyBorder="1" applyAlignment="1">
      <alignment vertical="center"/>
    </xf>
    <xf numFmtId="0" fontId="57" fillId="10" borderId="33" xfId="0" applyFont="1" applyFill="1" applyBorder="1" applyAlignment="1">
      <alignment horizontal="center" vertical="center"/>
    </xf>
    <xf numFmtId="0" fontId="57" fillId="10" borderId="33" xfId="0" applyFont="1" applyFill="1" applyBorder="1" applyAlignment="1">
      <alignment horizontal="right" vertical="center"/>
    </xf>
    <xf numFmtId="0" fontId="57" fillId="0" borderId="5" xfId="0" applyFont="1" applyBorder="1" applyAlignment="1">
      <alignment horizontal="left" vertical="center" indent="1"/>
    </xf>
    <xf numFmtId="0" fontId="63" fillId="0" borderId="0" xfId="0" applyFont="1"/>
    <xf numFmtId="0" fontId="64" fillId="0" borderId="0" xfId="0" applyFont="1"/>
    <xf numFmtId="0" fontId="56" fillId="0" borderId="0" xfId="0" applyFont="1" applyBorder="1" applyAlignment="1">
      <alignment vertical="center"/>
    </xf>
    <xf numFmtId="0" fontId="56" fillId="0" borderId="0" xfId="0" applyFont="1" applyBorder="1" applyAlignment="1">
      <alignment horizontal="right" vertical="center"/>
    </xf>
    <xf numFmtId="0" fontId="56" fillId="0" borderId="0" xfId="0" applyFont="1" applyBorder="1" applyAlignment="1">
      <alignment horizontal="right" vertical="center" wrapText="1"/>
    </xf>
    <xf numFmtId="0" fontId="34" fillId="0" borderId="0" xfId="0" applyFont="1" applyAlignment="1">
      <alignment horizontal="left"/>
    </xf>
    <xf numFmtId="0" fontId="56" fillId="0" borderId="3" xfId="0" applyFont="1" applyBorder="1" applyAlignment="1">
      <alignment horizontal="right" vertical="center"/>
    </xf>
    <xf numFmtId="0" fontId="56" fillId="0" borderId="4" xfId="0" applyFont="1" applyBorder="1" applyAlignment="1">
      <alignment horizontal="right" vertical="center" wrapText="1"/>
    </xf>
    <xf numFmtId="0" fontId="56" fillId="0" borderId="34" xfId="0" applyFont="1" applyBorder="1" applyAlignment="1">
      <alignment vertical="center"/>
    </xf>
    <xf numFmtId="1" fontId="56" fillId="0" borderId="35" xfId="0" applyNumberFormat="1" applyFont="1" applyBorder="1" applyAlignment="1">
      <alignment horizontal="right" vertical="center"/>
    </xf>
    <xf numFmtId="1" fontId="56" fillId="0" borderId="36" xfId="0" applyNumberFormat="1" applyFont="1" applyBorder="1" applyAlignment="1">
      <alignment horizontal="right" vertical="center"/>
    </xf>
    <xf numFmtId="1" fontId="56" fillId="0" borderId="37" xfId="0" applyNumberFormat="1" applyFont="1" applyBorder="1" applyAlignment="1">
      <alignment horizontal="right" vertical="center"/>
    </xf>
    <xf numFmtId="0" fontId="56" fillId="8" borderId="3" xfId="0" applyFont="1" applyFill="1" applyBorder="1" applyAlignment="1">
      <alignment horizontal="right" vertical="center"/>
    </xf>
    <xf numFmtId="9" fontId="56" fillId="0" borderId="29" xfId="0" applyNumberFormat="1" applyFont="1" applyBorder="1" applyAlignment="1">
      <alignment horizontal="right" vertical="center"/>
    </xf>
    <xf numFmtId="6" fontId="60" fillId="9" borderId="5" xfId="0" applyNumberFormat="1" applyFont="1" applyFill="1" applyBorder="1" applyAlignment="1">
      <alignment horizontal="right" vertical="center"/>
    </xf>
    <xf numFmtId="0" fontId="57" fillId="9" borderId="38" xfId="0" applyFont="1" applyFill="1" applyBorder="1" applyAlignment="1">
      <alignment vertical="center"/>
    </xf>
    <xf numFmtId="0" fontId="56" fillId="0" borderId="5" xfId="0" applyFont="1" applyBorder="1" applyAlignment="1">
      <alignment horizontal="right" vertical="center"/>
    </xf>
    <xf numFmtId="9" fontId="56" fillId="0" borderId="5" xfId="0" applyNumberFormat="1" applyFont="1" applyBorder="1" applyAlignment="1">
      <alignment horizontal="right" vertical="center"/>
    </xf>
    <xf numFmtId="2" fontId="56" fillId="0" borderId="5" xfId="0" applyNumberFormat="1" applyFont="1" applyBorder="1" applyAlignment="1">
      <alignment horizontal="right" vertical="center"/>
    </xf>
    <xf numFmtId="184" fontId="56" fillId="0" borderId="5" xfId="0" applyNumberFormat="1" applyFont="1" applyBorder="1" applyAlignment="1">
      <alignment horizontal="right" vertical="center"/>
    </xf>
    <xf numFmtId="184" fontId="65" fillId="9" borderId="5" xfId="0" applyNumberFormat="1" applyFont="1" applyFill="1" applyBorder="1" applyAlignment="1">
      <alignment horizontal="right" vertical="center"/>
    </xf>
    <xf numFmtId="10" fontId="57" fillId="9" borderId="5" xfId="0" applyNumberFormat="1" applyFont="1" applyFill="1" applyBorder="1" applyAlignment="1">
      <alignment horizontal="right" vertical="center"/>
    </xf>
    <xf numFmtId="0" fontId="56" fillId="0" borderId="35" xfId="0" applyFont="1" applyBorder="1" applyAlignment="1">
      <alignment horizontal="right" vertical="center"/>
    </xf>
    <xf numFmtId="0" fontId="56" fillId="0" borderId="36" xfId="0" applyFont="1" applyBorder="1" applyAlignment="1">
      <alignment horizontal="right" vertical="center"/>
    </xf>
    <xf numFmtId="0" fontId="56" fillId="0" borderId="37" xfId="0" applyFont="1" applyBorder="1" applyAlignment="1">
      <alignment horizontal="right" vertical="center"/>
    </xf>
    <xf numFmtId="0" fontId="58" fillId="0" borderId="39" xfId="0" applyFont="1" applyBorder="1" applyAlignment="1">
      <alignment vertical="center"/>
    </xf>
    <xf numFmtId="1" fontId="56" fillId="0" borderId="39" xfId="0" applyNumberFormat="1" applyFont="1" applyBorder="1" applyAlignment="1">
      <alignment horizontal="right" vertical="center"/>
    </xf>
    <xf numFmtId="0" fontId="66" fillId="0" borderId="6" xfId="0" applyFont="1" applyBorder="1" applyAlignment="1">
      <alignment horizontal="right" vertical="center"/>
    </xf>
    <xf numFmtId="184" fontId="13" fillId="0" borderId="0" xfId="0" applyNumberFormat="1" applyFont="1"/>
    <xf numFmtId="0" fontId="57" fillId="0" borderId="0" xfId="0" applyFont="1" applyBorder="1" applyAlignment="1">
      <alignment horizontal="left" vertical="center" indent="1"/>
    </xf>
    <xf numFmtId="0" fontId="57" fillId="0" borderId="0" xfId="0" applyFont="1" applyBorder="1" applyAlignment="1">
      <alignment horizontal="right" vertical="center"/>
    </xf>
    <xf numFmtId="0" fontId="67" fillId="0" borderId="6" xfId="0" applyFont="1" applyBorder="1" applyAlignment="1">
      <alignment horizontal="right" vertical="center"/>
    </xf>
    <xf numFmtId="184" fontId="67" fillId="0" borderId="6" xfId="0" applyNumberFormat="1" applyFont="1" applyBorder="1" applyAlignment="1">
      <alignment horizontal="right" vertical="center"/>
    </xf>
    <xf numFmtId="186" fontId="67" fillId="0" borderId="6" xfId="2" applyNumberFormat="1" applyFont="1" applyBorder="1" applyAlignment="1">
      <alignment horizontal="right" vertical="center"/>
    </xf>
    <xf numFmtId="2" fontId="43" fillId="0" borderId="0" xfId="0" applyNumberFormat="1" applyFont="1"/>
    <xf numFmtId="2" fontId="63" fillId="0" borderId="0" xfId="0" applyNumberFormat="1" applyFont="1" applyAlignment="1">
      <alignment horizontal="center"/>
    </xf>
    <xf numFmtId="10" fontId="13" fillId="0" borderId="0" xfId="0" applyNumberFormat="1" applyFont="1"/>
    <xf numFmtId="0" fontId="56" fillId="7" borderId="30" xfId="0" applyFont="1" applyFill="1" applyBorder="1" applyAlignment="1">
      <alignment vertical="center"/>
    </xf>
    <xf numFmtId="0" fontId="56" fillId="7" borderId="31" xfId="0" applyFont="1" applyFill="1" applyBorder="1" applyAlignment="1">
      <alignment horizontal="right" vertical="center"/>
    </xf>
    <xf numFmtId="0" fontId="56" fillId="7" borderId="31" xfId="0" applyFont="1" applyFill="1" applyBorder="1" applyAlignment="1">
      <alignment horizontal="right" vertical="center" wrapText="1"/>
    </xf>
    <xf numFmtId="0" fontId="56" fillId="0" borderId="1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9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6" fontId="67" fillId="9" borderId="5" xfId="0" applyNumberFormat="1" applyFont="1" applyFill="1" applyBorder="1" applyAlignment="1">
      <alignment horizontal="right" vertical="center"/>
    </xf>
    <xf numFmtId="0" fontId="56" fillId="11" borderId="34" xfId="0" applyFont="1" applyFill="1" applyBorder="1" applyAlignment="1">
      <alignment vertical="center"/>
    </xf>
    <xf numFmtId="9" fontId="56" fillId="11" borderId="29" xfId="0" applyNumberFormat="1" applyFont="1" applyFill="1" applyBorder="1" applyAlignment="1">
      <alignment horizontal="right" vertical="center"/>
    </xf>
    <xf numFmtId="0" fontId="56" fillId="0" borderId="27" xfId="0" applyFont="1" applyBorder="1" applyAlignment="1">
      <alignment vertical="center"/>
    </xf>
    <xf numFmtId="8" fontId="13" fillId="0" borderId="3" xfId="0" applyNumberFormat="1" applyFont="1" applyBorder="1" applyAlignment="1">
      <alignment horizontal="center"/>
    </xf>
    <xf numFmtId="0" fontId="56" fillId="0" borderId="0" xfId="0" applyFont="1" applyBorder="1" applyAlignment="1">
      <alignment horizontal="left" vertical="center"/>
    </xf>
    <xf numFmtId="2" fontId="13" fillId="0" borderId="3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8" fontId="13" fillId="0" borderId="0" xfId="0" applyNumberFormat="1" applyFont="1" applyAlignment="1">
      <alignment horizontal="right"/>
    </xf>
    <xf numFmtId="0" fontId="69" fillId="0" borderId="0" xfId="0" applyFont="1" applyAlignment="1">
      <alignment horizontal="left"/>
    </xf>
    <xf numFmtId="0" fontId="69" fillId="0" borderId="0" xfId="0" applyFont="1"/>
    <xf numFmtId="0" fontId="70" fillId="12" borderId="0" xfId="0" applyFont="1" applyFill="1"/>
    <xf numFmtId="0" fontId="71" fillId="0" borderId="3" xfId="0" applyFont="1" applyBorder="1" applyAlignment="1">
      <alignment vertical="center" wrapText="1"/>
    </xf>
    <xf numFmtId="0" fontId="71" fillId="0" borderId="4" xfId="0" applyFont="1" applyBorder="1" applyAlignment="1">
      <alignment horizontal="center" vertical="center" wrapText="1"/>
    </xf>
    <xf numFmtId="2" fontId="37" fillId="0" borderId="6" xfId="0" applyNumberFormat="1" applyFont="1" applyBorder="1" applyAlignment="1">
      <alignment horizontal="right" vertical="center" wrapText="1"/>
    </xf>
    <xf numFmtId="10" fontId="56" fillId="0" borderId="0" xfId="0" applyNumberFormat="1" applyFont="1" applyBorder="1" applyAlignment="1">
      <alignment horizontal="right" vertical="center"/>
    </xf>
    <xf numFmtId="0" fontId="56" fillId="0" borderId="28" xfId="0" applyFont="1" applyBorder="1" applyAlignment="1">
      <alignment vertical="center"/>
    </xf>
    <xf numFmtId="2" fontId="66" fillId="0" borderId="30" xfId="0" applyNumberFormat="1" applyFont="1" applyBorder="1" applyAlignment="1">
      <alignment horizontal="right" vertical="center"/>
    </xf>
    <xf numFmtId="2" fontId="72" fillId="0" borderId="30" xfId="0" applyNumberFormat="1" applyFont="1" applyBorder="1" applyAlignment="1">
      <alignment horizontal="right" vertical="center"/>
    </xf>
    <xf numFmtId="2" fontId="72" fillId="0" borderId="3" xfId="0" applyNumberFormat="1" applyFont="1" applyBorder="1" applyAlignment="1">
      <alignment horizontal="right" vertical="center"/>
    </xf>
    <xf numFmtId="2" fontId="66" fillId="0" borderId="3" xfId="0" applyNumberFormat="1" applyFont="1" applyBorder="1" applyAlignment="1">
      <alignment horizontal="right" vertical="center"/>
    </xf>
    <xf numFmtId="0" fontId="73" fillId="0" borderId="3" xfId="0" applyFont="1" applyBorder="1" applyAlignment="1">
      <alignment vertical="center" wrapText="1"/>
    </xf>
    <xf numFmtId="0" fontId="73" fillId="0" borderId="4" xfId="0" applyFont="1" applyBorder="1" applyAlignment="1">
      <alignment horizontal="center" vertical="center" wrapText="1"/>
    </xf>
    <xf numFmtId="0" fontId="73" fillId="0" borderId="5" xfId="0" applyFont="1" applyBorder="1" applyAlignment="1">
      <alignment vertical="center" wrapText="1"/>
    </xf>
    <xf numFmtId="0" fontId="73" fillId="0" borderId="6" xfId="0" applyFont="1" applyBorder="1" applyAlignment="1">
      <alignment horizontal="right" vertical="center" wrapText="1"/>
    </xf>
    <xf numFmtId="0" fontId="74" fillId="0" borderId="7" xfId="0" applyFont="1" applyBorder="1" applyAlignment="1">
      <alignment horizontal="right" vertical="center" wrapText="1"/>
    </xf>
    <xf numFmtId="9" fontId="74" fillId="0" borderId="3" xfId="0" applyNumberFormat="1" applyFont="1" applyBorder="1" applyAlignment="1">
      <alignment horizontal="right" vertical="center" wrapText="1"/>
    </xf>
    <xf numFmtId="0" fontId="67" fillId="9" borderId="5" xfId="0" applyNumberFormat="1" applyFont="1" applyFill="1" applyBorder="1" applyAlignment="1">
      <alignment horizontal="right" vertical="center"/>
    </xf>
    <xf numFmtId="184" fontId="67" fillId="9" borderId="5" xfId="0" applyNumberFormat="1" applyFont="1" applyFill="1" applyBorder="1" applyAlignment="1">
      <alignment horizontal="right" vertical="center"/>
    </xf>
    <xf numFmtId="184" fontId="60" fillId="9" borderId="5" xfId="0" applyNumberFormat="1" applyFont="1" applyFill="1" applyBorder="1" applyAlignment="1">
      <alignment horizontal="right" vertical="center"/>
    </xf>
    <xf numFmtId="9" fontId="17" fillId="0" borderId="0" xfId="0" applyNumberFormat="1" applyFont="1"/>
    <xf numFmtId="0" fontId="17" fillId="0" borderId="1" xfId="0" applyFont="1" applyBorder="1"/>
    <xf numFmtId="0" fontId="17" fillId="11" borderId="1" xfId="0" applyFont="1" applyFill="1" applyBorder="1"/>
    <xf numFmtId="14" fontId="17" fillId="0" borderId="0" xfId="0" applyNumberFormat="1" applyFont="1"/>
    <xf numFmtId="10" fontId="17" fillId="0" borderId="0" xfId="0" applyNumberFormat="1" applyFont="1"/>
    <xf numFmtId="9" fontId="62" fillId="0" borderId="0" xfId="0" applyNumberFormat="1" applyFont="1" applyBorder="1" applyAlignment="1">
      <alignment horizontal="right" vertical="center"/>
    </xf>
    <xf numFmtId="9" fontId="62" fillId="0" borderId="0" xfId="0" applyNumberFormat="1" applyFont="1" applyBorder="1" applyAlignment="1">
      <alignment horizontal="center" vertical="center"/>
    </xf>
    <xf numFmtId="9" fontId="62" fillId="0" borderId="0" xfId="0" applyNumberFormat="1" applyFont="1" applyBorder="1" applyAlignment="1">
      <alignment horizontal="left" vertical="center"/>
    </xf>
    <xf numFmtId="9" fontId="66" fillId="0" borderId="0" xfId="0" applyNumberFormat="1" applyFont="1" applyBorder="1" applyAlignment="1">
      <alignment horizontal="left" vertical="center"/>
    </xf>
    <xf numFmtId="2" fontId="66" fillId="0" borderId="1" xfId="0" applyNumberFormat="1" applyFont="1" applyBorder="1" applyAlignment="1">
      <alignment horizontal="right" vertical="center"/>
    </xf>
    <xf numFmtId="183" fontId="66" fillId="0" borderId="1" xfId="0" applyNumberFormat="1" applyFont="1" applyBorder="1" applyAlignment="1">
      <alignment horizontal="right" vertical="center"/>
    </xf>
    <xf numFmtId="1" fontId="66" fillId="0" borderId="1" xfId="0" applyNumberFormat="1" applyFont="1" applyBorder="1" applyAlignment="1">
      <alignment horizontal="right" vertical="center"/>
    </xf>
    <xf numFmtId="183" fontId="13" fillId="0" borderId="1" xfId="0" applyNumberFormat="1" applyFont="1" applyBorder="1"/>
    <xf numFmtId="1" fontId="13" fillId="0" borderId="1" xfId="0" applyNumberFormat="1" applyFont="1" applyBorder="1"/>
    <xf numFmtId="0" fontId="56" fillId="13" borderId="0" xfId="0" applyFont="1" applyFill="1" applyBorder="1" applyAlignment="1">
      <alignment vertical="center"/>
    </xf>
    <xf numFmtId="0" fontId="56" fillId="13" borderId="0" xfId="0" applyFont="1" applyFill="1" applyBorder="1" applyAlignment="1">
      <alignment horizontal="right" vertical="center"/>
    </xf>
    <xf numFmtId="3" fontId="62" fillId="0" borderId="0" xfId="0" applyNumberFormat="1" applyFont="1" applyBorder="1" applyAlignment="1">
      <alignment horizontal="right" vertical="center"/>
    </xf>
    <xf numFmtId="9" fontId="66" fillId="0" borderId="0" xfId="0" applyNumberFormat="1" applyFont="1" applyBorder="1" applyAlignment="1">
      <alignment horizontal="right" vertical="center"/>
    </xf>
    <xf numFmtId="1" fontId="62" fillId="0" borderId="1" xfId="0" applyNumberFormat="1" applyFont="1" applyBorder="1" applyAlignment="1">
      <alignment horizontal="right" vertical="center"/>
    </xf>
    <xf numFmtId="3" fontId="66" fillId="0" borderId="0" xfId="0" applyNumberFormat="1" applyFont="1" applyBorder="1" applyAlignment="1">
      <alignment horizontal="right" vertical="center"/>
    </xf>
    <xf numFmtId="1" fontId="62" fillId="0" borderId="2" xfId="0" applyNumberFormat="1" applyFont="1" applyBorder="1" applyAlignment="1">
      <alignment horizontal="right" vertical="center"/>
    </xf>
    <xf numFmtId="0" fontId="56" fillId="13" borderId="11" xfId="0" applyFont="1" applyFill="1" applyBorder="1" applyAlignment="1">
      <alignment horizontal="right" vertical="center"/>
    </xf>
    <xf numFmtId="3" fontId="66" fillId="0" borderId="11" xfId="0" applyNumberFormat="1" applyFont="1" applyBorder="1" applyAlignment="1">
      <alignment horizontal="right" vertical="center"/>
    </xf>
    <xf numFmtId="0" fontId="13" fillId="0" borderId="11" xfId="0" applyFont="1" applyBorder="1"/>
    <xf numFmtId="0" fontId="56" fillId="14" borderId="3" xfId="0" applyFont="1" applyFill="1" applyBorder="1" applyAlignment="1">
      <alignment vertical="center"/>
    </xf>
    <xf numFmtId="0" fontId="56" fillId="14" borderId="4" xfId="0" applyFont="1" applyFill="1" applyBorder="1" applyAlignment="1">
      <alignment horizontal="right" vertical="center"/>
    </xf>
    <xf numFmtId="0" fontId="13" fillId="0" borderId="0" xfId="0" applyFont="1" applyAlignment="1"/>
    <xf numFmtId="0" fontId="56" fillId="14" borderId="40" xfId="0" applyFont="1" applyFill="1" applyBorder="1" applyAlignment="1">
      <alignment horizontal="right" vertical="center"/>
    </xf>
    <xf numFmtId="0" fontId="56" fillId="0" borderId="41" xfId="0" applyFont="1" applyBorder="1" applyAlignment="1">
      <alignment horizontal="right" vertical="center"/>
    </xf>
    <xf numFmtId="0" fontId="56" fillId="0" borderId="42" xfId="0" applyFont="1" applyBorder="1" applyAlignment="1">
      <alignment horizontal="right" vertical="center"/>
    </xf>
    <xf numFmtId="0" fontId="56" fillId="0" borderId="43" xfId="0" applyFont="1" applyBorder="1" applyAlignment="1">
      <alignment vertical="center"/>
    </xf>
    <xf numFmtId="0" fontId="56" fillId="0" borderId="5" xfId="0" applyFont="1" applyBorder="1" applyAlignment="1">
      <alignment vertical="center" wrapText="1"/>
    </xf>
    <xf numFmtId="0" fontId="75" fillId="0" borderId="1" xfId="0" applyFont="1" applyBorder="1" applyAlignment="1">
      <alignment wrapText="1"/>
    </xf>
    <xf numFmtId="0" fontId="75" fillId="0" borderId="1" xfId="0" applyFont="1" applyBorder="1" applyAlignment="1">
      <alignment horizontal="center" vertical="center"/>
    </xf>
    <xf numFmtId="9" fontId="75" fillId="0" borderId="1" xfId="0" applyNumberFormat="1" applyFont="1" applyBorder="1" applyAlignment="1">
      <alignment horizontal="center" vertical="center"/>
    </xf>
    <xf numFmtId="0" fontId="75" fillId="0" borderId="1" xfId="0" applyFont="1" applyBorder="1"/>
    <xf numFmtId="9" fontId="75" fillId="0" borderId="1" xfId="0" applyNumberFormat="1" applyFont="1" applyBorder="1" applyAlignment="1">
      <alignment horizontal="center"/>
    </xf>
    <xf numFmtId="0" fontId="75" fillId="0" borderId="1" xfId="0" applyFont="1" applyBorder="1" applyAlignment="1">
      <alignment horizontal="center"/>
    </xf>
    <xf numFmtId="0" fontId="75" fillId="0" borderId="0" xfId="0" applyFont="1" applyBorder="1" applyAlignment="1">
      <alignment horizontal="center"/>
    </xf>
    <xf numFmtId="9" fontId="75" fillId="0" borderId="0" xfId="0" applyNumberFormat="1" applyFont="1" applyBorder="1" applyAlignment="1">
      <alignment horizontal="center" vertical="center"/>
    </xf>
    <xf numFmtId="0" fontId="75" fillId="0" borderId="0" xfId="0" applyFont="1" applyBorder="1"/>
    <xf numFmtId="9" fontId="75" fillId="0" borderId="0" xfId="0" applyNumberFormat="1" applyFont="1" applyBorder="1" applyAlignment="1">
      <alignment horizontal="center"/>
    </xf>
    <xf numFmtId="165" fontId="13" fillId="0" borderId="0" xfId="0" applyNumberFormat="1" applyFont="1"/>
    <xf numFmtId="0" fontId="76" fillId="0" borderId="0" xfId="0" applyFont="1" applyBorder="1" applyAlignment="1">
      <alignment vertical="center"/>
    </xf>
    <xf numFmtId="184" fontId="56" fillId="0" borderId="0" xfId="0" applyNumberFormat="1" applyFont="1" applyBorder="1" applyAlignment="1">
      <alignment horizontal="right" vertical="center"/>
    </xf>
    <xf numFmtId="168" fontId="47" fillId="0" borderId="0" xfId="0" applyNumberFormat="1" applyFont="1"/>
    <xf numFmtId="10" fontId="47" fillId="0" borderId="0" xfId="0" applyNumberFormat="1" applyFont="1"/>
    <xf numFmtId="169" fontId="47" fillId="0" borderId="0" xfId="0" applyNumberFormat="1" applyFont="1"/>
    <xf numFmtId="0" fontId="58" fillId="14" borderId="1" xfId="0" applyFont="1" applyFill="1" applyBorder="1" applyAlignment="1">
      <alignment vertical="center"/>
    </xf>
    <xf numFmtId="0" fontId="79" fillId="15" borderId="1" xfId="0" applyFont="1" applyFill="1" applyBorder="1" applyAlignment="1">
      <alignment vertical="center"/>
    </xf>
    <xf numFmtId="2" fontId="47" fillId="0" borderId="1" xfId="0" applyNumberFormat="1" applyFont="1" applyBorder="1"/>
    <xf numFmtId="2" fontId="80" fillId="0" borderId="1" xfId="0" applyNumberFormat="1" applyFont="1" applyBorder="1" applyAlignment="1">
      <alignment horizontal="right" vertical="center"/>
    </xf>
    <xf numFmtId="0" fontId="58" fillId="0" borderId="0" xfId="0" applyFont="1" applyBorder="1" applyAlignment="1">
      <alignment vertical="center"/>
    </xf>
    <xf numFmtId="0" fontId="47" fillId="0" borderId="0" xfId="0" applyFont="1" applyBorder="1"/>
    <xf numFmtId="10" fontId="47" fillId="0" borderId="0" xfId="0" applyNumberFormat="1" applyFont="1" applyBorder="1"/>
    <xf numFmtId="168" fontId="47" fillId="0" borderId="0" xfId="0" applyNumberFormat="1" applyFont="1" applyBorder="1"/>
    <xf numFmtId="0" fontId="81" fillId="0" borderId="0" xfId="0" applyFont="1" applyBorder="1"/>
    <xf numFmtId="0" fontId="81" fillId="0" borderId="0" xfId="0" applyFont="1"/>
    <xf numFmtId="0" fontId="30" fillId="0" borderId="0" xfId="0" applyFont="1"/>
    <xf numFmtId="168" fontId="47" fillId="0" borderId="1" xfId="0" applyNumberFormat="1" applyFont="1" applyBorder="1"/>
    <xf numFmtId="0" fontId="81" fillId="0" borderId="0" xfId="0" applyFont="1" applyAlignment="1">
      <alignment horizontal="center"/>
    </xf>
    <xf numFmtId="0" fontId="81" fillId="0" borderId="0" xfId="0" applyFont="1" applyAlignment="1"/>
    <xf numFmtId="0" fontId="82" fillId="0" borderId="0" xfId="0" applyFont="1"/>
    <xf numFmtId="0" fontId="56" fillId="0" borderId="0" xfId="0" applyFont="1" applyBorder="1" applyAlignment="1">
      <alignment vertical="center" wrapText="1"/>
    </xf>
    <xf numFmtId="164" fontId="57" fillId="0" borderId="0" xfId="0" applyNumberFormat="1" applyFont="1" applyBorder="1" applyAlignment="1">
      <alignment horizontal="right" vertical="center"/>
    </xf>
    <xf numFmtId="169" fontId="30" fillId="0" borderId="0" xfId="0" applyNumberFormat="1" applyFont="1"/>
    <xf numFmtId="10" fontId="30" fillId="0" borderId="0" xfId="0" applyNumberFormat="1" applyFont="1"/>
    <xf numFmtId="167" fontId="30" fillId="0" borderId="0" xfId="0" applyNumberFormat="1" applyFont="1"/>
    <xf numFmtId="167" fontId="30" fillId="0" borderId="0" xfId="0" applyNumberFormat="1" applyFont="1" applyBorder="1"/>
    <xf numFmtId="167" fontId="30" fillId="0" borderId="0" xfId="1" applyNumberFormat="1" applyFont="1" applyBorder="1"/>
    <xf numFmtId="9" fontId="14" fillId="0" borderId="0" xfId="0" applyNumberFormat="1" applyFont="1" applyAlignment="1">
      <alignment horizontal="right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412268860350498"/>
          <c:y val="0.14589550615565317"/>
          <c:w val="0.82471762904636925"/>
          <c:h val="0.7095913531641877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253480602260138"/>
                  <c:y val="-9.6921384482824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Лекция_5!$D$54:$J$54</c:f>
              <c:numCache>
                <c:formatCode>#,##0</c:formatCode>
                <c:ptCount val="7"/>
                <c:pt idx="0">
                  <c:v>1250</c:v>
                </c:pt>
                <c:pt idx="1">
                  <c:v>2800</c:v>
                </c:pt>
                <c:pt idx="2">
                  <c:v>7700</c:v>
                </c:pt>
                <c:pt idx="3">
                  <c:v>11050</c:v>
                </c:pt>
                <c:pt idx="4">
                  <c:v>13250</c:v>
                </c:pt>
                <c:pt idx="5">
                  <c:v>16050</c:v>
                </c:pt>
                <c:pt idx="6">
                  <c:v>17450</c:v>
                </c:pt>
              </c:numCache>
            </c:numRef>
          </c:xVal>
          <c:yVal>
            <c:numRef>
              <c:f>Лекция_5!$D$58:$J$58</c:f>
              <c:numCache>
                <c:formatCode>0</c:formatCode>
                <c:ptCount val="7"/>
                <c:pt idx="0">
                  <c:v>4827.0758738400018</c:v>
                </c:pt>
                <c:pt idx="1">
                  <c:v>6250.8896208000006</c:v>
                </c:pt>
                <c:pt idx="2">
                  <c:v>7151.3251920000021</c:v>
                </c:pt>
                <c:pt idx="3">
                  <c:v>8784.7372800000012</c:v>
                </c:pt>
                <c:pt idx="4">
                  <c:v>9845.2800000000007</c:v>
                </c:pt>
                <c:pt idx="5">
                  <c:v>9646</c:v>
                </c:pt>
                <c:pt idx="6">
                  <c:v>9250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BC-49DE-ABB6-CDC9E95FA08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71425248"/>
        <c:axId val="571433888"/>
      </c:scatterChart>
      <c:valAx>
        <c:axId val="57142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433888"/>
        <c:crosses val="autoZero"/>
        <c:crossBetween val="midCat"/>
      </c:valAx>
      <c:valAx>
        <c:axId val="57143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42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71860675535229E-2"/>
          <c:y val="0.11408208064900976"/>
          <c:w val="0.88365469607085678"/>
          <c:h val="0.7202900334960339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332944493049434E-2"/>
                  <c:y val="-3.3991887377714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Семинар_3!$C$284:$L$284</c:f>
              <c:numCache>
                <c:formatCode>General</c:formatCode>
                <c:ptCount val="10"/>
                <c:pt idx="0">
                  <c:v>55</c:v>
                </c:pt>
                <c:pt idx="1">
                  <c:v>70</c:v>
                </c:pt>
                <c:pt idx="2">
                  <c:v>82</c:v>
                </c:pt>
                <c:pt idx="3">
                  <c:v>90</c:v>
                </c:pt>
                <c:pt idx="4">
                  <c:v>98</c:v>
                </c:pt>
                <c:pt idx="5">
                  <c:v>105</c:v>
                </c:pt>
                <c:pt idx="6">
                  <c:v>110</c:v>
                </c:pt>
                <c:pt idx="7">
                  <c:v>120</c:v>
                </c:pt>
                <c:pt idx="8">
                  <c:v>128</c:v>
                </c:pt>
                <c:pt idx="9">
                  <c:v>132</c:v>
                </c:pt>
              </c:numCache>
            </c:numRef>
          </c:xVal>
          <c:yVal>
            <c:numRef>
              <c:f>Семинар_3!$C$285:$L$285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30</c:v>
                </c:pt>
                <c:pt idx="9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E3-48D7-925A-291ECFC2F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03056"/>
        <c:axId val="376403536"/>
      </c:scatterChart>
      <c:valAx>
        <c:axId val="37640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03536"/>
        <c:crosses val="autoZero"/>
        <c:crossBetween val="midCat"/>
      </c:valAx>
      <c:valAx>
        <c:axId val="37640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03056"/>
        <c:crosses val="autoZero"/>
        <c:crossBetween val="midCat"/>
      </c:valAx>
      <c:spPr>
        <a:noFill/>
        <a:ln>
          <a:solidFill>
            <a:schemeClr val="accent1">
              <a:alpha val="97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9123568360773088E-2"/>
                  <c:y val="-9.46573439683675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Семинар_3!$C$309:$L$309</c:f>
              <c:numCache>
                <c:formatCode>0.0</c:formatCode>
                <c:ptCount val="10"/>
                <c:pt idx="0">
                  <c:v>71.762525110608451</c:v>
                </c:pt>
                <c:pt idx="1">
                  <c:v>88.673905697133108</c:v>
                </c:pt>
                <c:pt idx="2">
                  <c:v>100.84965696483934</c:v>
                </c:pt>
                <c:pt idx="3">
                  <c:v>107.46470668760999</c:v>
                </c:pt>
                <c:pt idx="4">
                  <c:v>113.60885928139999</c:v>
                </c:pt>
                <c:pt idx="5">
                  <c:v>118.17842504999999</c:v>
                </c:pt>
                <c:pt idx="6">
                  <c:v>120.19997000000001</c:v>
                </c:pt>
                <c:pt idx="7">
                  <c:v>127.30799999999999</c:v>
                </c:pt>
                <c:pt idx="8">
                  <c:v>131.84</c:v>
                </c:pt>
                <c:pt idx="9">
                  <c:v>132</c:v>
                </c:pt>
              </c:numCache>
            </c:numRef>
          </c:xVal>
          <c:yVal>
            <c:numRef>
              <c:f>Семинар_3!$C$307:$L$307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30</c:v>
                </c:pt>
                <c:pt idx="9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A3-440F-93EA-4905192CC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890592"/>
        <c:axId val="1510894912"/>
      </c:scatterChart>
      <c:valAx>
        <c:axId val="15108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0894912"/>
        <c:crosses val="autoZero"/>
        <c:crossBetween val="midCat"/>
      </c:valAx>
      <c:valAx>
        <c:axId val="151089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089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hyperlink" Target="http://www.finvavilon.ru/wp-content/uploads/2018/03/real.dohodnost.png" TargetMode="External"/><Relationship Id="rId1" Type="http://schemas.openxmlformats.org/officeDocument/2006/relationships/image" Target="../media/image5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emf"/><Relationship Id="rId5" Type="http://schemas.openxmlformats.org/officeDocument/2006/relationships/image" Target="../media/image15.png"/><Relationship Id="rId15" Type="http://schemas.openxmlformats.org/officeDocument/2006/relationships/image" Target="../media/image2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7.png"/><Relationship Id="rId1" Type="http://schemas.openxmlformats.org/officeDocument/2006/relationships/image" Target="../media/image26.jpeg"/><Relationship Id="rId5" Type="http://schemas.openxmlformats.org/officeDocument/2006/relationships/image" Target="../media/image29.png"/><Relationship Id="rId4" Type="http://schemas.openxmlformats.org/officeDocument/2006/relationships/image" Target="../media/image2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30480</xdr:colOff>
      <xdr:row>39</xdr:row>
      <xdr:rowOff>167641</xdr:rowOff>
    </xdr:from>
    <xdr:to>
      <xdr:col>17</xdr:col>
      <xdr:colOff>510540</xdr:colOff>
      <xdr:row>47</xdr:row>
      <xdr:rowOff>104587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C602066-6457-80C1-2867-A9D5FB4F2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3880" y="7559041"/>
          <a:ext cx="2910840" cy="1468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19879</xdr:colOff>
      <xdr:row>146</xdr:row>
      <xdr:rowOff>13253</xdr:rowOff>
    </xdr:from>
    <xdr:to>
      <xdr:col>15</xdr:col>
      <xdr:colOff>667383</xdr:colOff>
      <xdr:row>157</xdr:row>
      <xdr:rowOff>13254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3312AAF-3F5B-7008-C69E-050ACB2C7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1" y="29221044"/>
          <a:ext cx="2834113" cy="2186610"/>
        </a:xfrm>
        <a:prstGeom prst="rect">
          <a:avLst/>
        </a:prstGeom>
      </xdr:spPr>
    </xdr:pic>
    <xdr:clientData/>
  </xdr:twoCellAnchor>
  <xdr:twoCellAnchor editAs="oneCell">
    <xdr:from>
      <xdr:col>12</xdr:col>
      <xdr:colOff>13253</xdr:colOff>
      <xdr:row>159</xdr:row>
      <xdr:rowOff>7595</xdr:rowOff>
    </xdr:from>
    <xdr:to>
      <xdr:col>15</xdr:col>
      <xdr:colOff>642729</xdr:colOff>
      <xdr:row>169</xdr:row>
      <xdr:rowOff>163252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7C49FE6-EFFB-A378-61FD-83A5C9E34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89775" y="31600778"/>
          <a:ext cx="2816085" cy="2143483"/>
        </a:xfrm>
        <a:prstGeom prst="rect">
          <a:avLst/>
        </a:prstGeom>
      </xdr:spPr>
    </xdr:pic>
    <xdr:clientData/>
  </xdr:twoCellAnchor>
  <xdr:twoCellAnchor editAs="oneCell">
    <xdr:from>
      <xdr:col>12</xdr:col>
      <xdr:colOff>13252</xdr:colOff>
      <xdr:row>182</xdr:row>
      <xdr:rowOff>33131</xdr:rowOff>
    </xdr:from>
    <xdr:to>
      <xdr:col>15</xdr:col>
      <xdr:colOff>85962</xdr:colOff>
      <xdr:row>191</xdr:row>
      <xdr:rowOff>33130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28BA808-D291-64DA-D934-D4C4F5258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8852" y="27107322"/>
          <a:ext cx="2259319" cy="17890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</xdr:colOff>
      <xdr:row>3</xdr:row>
      <xdr:rowOff>38100</xdr:rowOff>
    </xdr:from>
    <xdr:to>
      <xdr:col>13</xdr:col>
      <xdr:colOff>462612</xdr:colOff>
      <xdr:row>7</xdr:row>
      <xdr:rowOff>6379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4D973A8-5C05-18F9-7CF8-BE1F7A81B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6860" y="449580"/>
          <a:ext cx="2423160" cy="76075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739140</xdr:colOff>
      <xdr:row>76</xdr:row>
      <xdr:rowOff>22268</xdr:rowOff>
    </xdr:from>
    <xdr:to>
      <xdr:col>8</xdr:col>
      <xdr:colOff>688338</xdr:colOff>
      <xdr:row>83</xdr:row>
      <xdr:rowOff>190500</xdr:rowOff>
    </xdr:to>
    <xdr:pic>
      <xdr:nvPicPr>
        <xdr:cNvPr id="3" name="Рисунок 2">
          <a:hlinkClick xmlns:r="http://schemas.openxmlformats.org/officeDocument/2006/relationships" r:id="rId2" tooltip="&quot;&quot;"/>
          <a:extLst>
            <a:ext uri="{FF2B5EF4-FFF2-40B4-BE49-F238E27FC236}">
              <a16:creationId xmlns:a16="http://schemas.microsoft.com/office/drawing/2014/main" id="{F2B58EC4-5672-FBB5-C867-6C9C85620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6560" y="15033668"/>
          <a:ext cx="2339339" cy="158555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7622</xdr:colOff>
      <xdr:row>24</xdr:row>
      <xdr:rowOff>7621</xdr:rowOff>
    </xdr:from>
    <xdr:to>
      <xdr:col>11</xdr:col>
      <xdr:colOff>591202</xdr:colOff>
      <xdr:row>26</xdr:row>
      <xdr:rowOff>182880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FA423A1-61F7-C4A0-DDDF-4F1B115A8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5842" y="4823461"/>
          <a:ext cx="3654440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53341</xdr:colOff>
      <xdr:row>80</xdr:row>
      <xdr:rowOff>152400</xdr:rowOff>
    </xdr:from>
    <xdr:to>
      <xdr:col>6</xdr:col>
      <xdr:colOff>377435</xdr:colOff>
      <xdr:row>83</xdr:row>
      <xdr:rowOff>129540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AC9F425-673A-CF35-0F59-15DCCFA2A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1" y="14493240"/>
          <a:ext cx="5170414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38101</xdr:colOff>
      <xdr:row>117</xdr:row>
      <xdr:rowOff>60960</xdr:rowOff>
    </xdr:from>
    <xdr:to>
      <xdr:col>4</xdr:col>
      <xdr:colOff>426721</xdr:colOff>
      <xdr:row>119</xdr:row>
      <xdr:rowOff>160961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5FB75BB-2D5E-8471-08ED-BB41ADAF9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1" y="21846540"/>
          <a:ext cx="4000500" cy="49624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480060</xdr:colOff>
      <xdr:row>40</xdr:row>
      <xdr:rowOff>7620</xdr:rowOff>
    </xdr:from>
    <xdr:to>
      <xdr:col>13</xdr:col>
      <xdr:colOff>32359</xdr:colOff>
      <xdr:row>47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9D534C-083B-15A4-E240-75CB25FC1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" y="8420100"/>
          <a:ext cx="8473440" cy="15316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392006</xdr:colOff>
      <xdr:row>33</xdr:row>
      <xdr:rowOff>125307</xdr:rowOff>
    </xdr:from>
    <xdr:to>
      <xdr:col>18</xdr:col>
      <xdr:colOff>85682</xdr:colOff>
      <xdr:row>35</xdr:row>
      <xdr:rowOff>105834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1B69977-08B1-667E-9D85-E31222D7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6806" y="6585374"/>
          <a:ext cx="1301496" cy="3699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504614</xdr:colOff>
      <xdr:row>36</xdr:row>
      <xdr:rowOff>25400</xdr:rowOff>
    </xdr:from>
    <xdr:to>
      <xdr:col>18</xdr:col>
      <xdr:colOff>556684</xdr:colOff>
      <xdr:row>38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2FF2886-02EA-122C-10C0-6C3DACF4A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014" y="7069667"/>
          <a:ext cx="1469390" cy="38946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286629</xdr:colOff>
      <xdr:row>49</xdr:row>
      <xdr:rowOff>180535</xdr:rowOff>
    </xdr:from>
    <xdr:to>
      <xdr:col>24</xdr:col>
      <xdr:colOff>583809</xdr:colOff>
      <xdr:row>60</xdr:row>
      <xdr:rowOff>8599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F0D1DF9-5EE3-BBC8-90F3-34FCFF5CA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7660" y="9975166"/>
          <a:ext cx="2735580" cy="20202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7620</xdr:colOff>
      <xdr:row>113</xdr:row>
      <xdr:rowOff>22860</xdr:rowOff>
    </xdr:from>
    <xdr:to>
      <xdr:col>9</xdr:col>
      <xdr:colOff>137160</xdr:colOff>
      <xdr:row>116</xdr:row>
      <xdr:rowOff>78669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581A023-0C5E-0520-73A6-B36DAE290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6695420"/>
          <a:ext cx="739140" cy="6501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38100</xdr:colOff>
      <xdr:row>111</xdr:row>
      <xdr:rowOff>22860</xdr:rowOff>
    </xdr:from>
    <xdr:to>
      <xdr:col>11</xdr:col>
      <xdr:colOff>129540</xdr:colOff>
      <xdr:row>114</xdr:row>
      <xdr:rowOff>33067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D53EAA7-1042-997E-469D-5F4BC9A8F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16695420"/>
          <a:ext cx="701040" cy="60456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220980</xdr:colOff>
      <xdr:row>119</xdr:row>
      <xdr:rowOff>106680</xdr:rowOff>
    </xdr:from>
    <xdr:to>
      <xdr:col>17</xdr:col>
      <xdr:colOff>129540</xdr:colOff>
      <xdr:row>120</xdr:row>
      <xdr:rowOff>172835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D37987F-F533-88D0-FBA1-701790E14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8180" y="17975580"/>
          <a:ext cx="2956560" cy="264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434340</xdr:colOff>
      <xdr:row>120</xdr:row>
      <xdr:rowOff>144780</xdr:rowOff>
    </xdr:from>
    <xdr:to>
      <xdr:col>17</xdr:col>
      <xdr:colOff>99060</xdr:colOff>
      <xdr:row>123</xdr:row>
      <xdr:rowOff>188214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C29F572-862B-04E2-1352-A483F940B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8740" y="18608040"/>
          <a:ext cx="708660" cy="63779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53340</xdr:colOff>
      <xdr:row>126</xdr:row>
      <xdr:rowOff>106680</xdr:rowOff>
    </xdr:from>
    <xdr:to>
      <xdr:col>2</xdr:col>
      <xdr:colOff>228156</xdr:colOff>
      <xdr:row>129</xdr:row>
      <xdr:rowOff>99060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A108E8E5-5B97-3BA8-5120-C4B495C7E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" y="19758660"/>
          <a:ext cx="1130247" cy="5867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22860</xdr:colOff>
      <xdr:row>126</xdr:row>
      <xdr:rowOff>53340</xdr:rowOff>
    </xdr:from>
    <xdr:to>
      <xdr:col>5</xdr:col>
      <xdr:colOff>832363</xdr:colOff>
      <xdr:row>129</xdr:row>
      <xdr:rowOff>121920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13AE553-C5F2-5BE9-3031-A9D5B43FC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19705320"/>
          <a:ext cx="1114303" cy="6629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197</xdr:row>
      <xdr:rowOff>60960</xdr:rowOff>
    </xdr:from>
    <xdr:to>
      <xdr:col>9</xdr:col>
      <xdr:colOff>413</xdr:colOff>
      <xdr:row>201</xdr:row>
      <xdr:rowOff>15240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E6512C69-3951-AC26-8838-CA35CC342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31060"/>
          <a:ext cx="2889387" cy="7467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31653</xdr:colOff>
      <xdr:row>201</xdr:row>
      <xdr:rowOff>161168</xdr:rowOff>
    </xdr:from>
    <xdr:to>
      <xdr:col>24</xdr:col>
      <xdr:colOff>252633</xdr:colOff>
      <xdr:row>215</xdr:row>
      <xdr:rowOff>184637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2D8F2901-C9C0-2F59-42AC-EA58A512C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3084" y="34105337"/>
          <a:ext cx="3268980" cy="281356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22860</xdr:colOff>
      <xdr:row>218</xdr:row>
      <xdr:rowOff>22860</xdr:rowOff>
    </xdr:from>
    <xdr:to>
      <xdr:col>5</xdr:col>
      <xdr:colOff>54258</xdr:colOff>
      <xdr:row>220</xdr:row>
      <xdr:rowOff>54773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DD5D58B3-A739-FA2E-4734-5307C409E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" y="31653480"/>
          <a:ext cx="2423160" cy="4281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279400</xdr:colOff>
      <xdr:row>26</xdr:row>
      <xdr:rowOff>93134</xdr:rowOff>
    </xdr:from>
    <xdr:to>
      <xdr:col>18</xdr:col>
      <xdr:colOff>491067</xdr:colOff>
      <xdr:row>27</xdr:row>
      <xdr:rowOff>177029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F12290F9-7A77-AA95-9450-158B5EB3B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190067"/>
          <a:ext cx="2650067" cy="27862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220133</xdr:colOff>
      <xdr:row>29</xdr:row>
      <xdr:rowOff>194733</xdr:rowOff>
    </xdr:from>
    <xdr:to>
      <xdr:col>19</xdr:col>
      <xdr:colOff>176884</xdr:colOff>
      <xdr:row>31</xdr:row>
      <xdr:rowOff>33866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5F816899-AD30-FE4A-6968-9276BF408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5733" y="5875866"/>
          <a:ext cx="2699951" cy="228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118533</xdr:colOff>
      <xdr:row>32</xdr:row>
      <xdr:rowOff>16934</xdr:rowOff>
    </xdr:from>
    <xdr:to>
      <xdr:col>14</xdr:col>
      <xdr:colOff>151598</xdr:colOff>
      <xdr:row>33</xdr:row>
      <xdr:rowOff>42334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D46FC50E-BEE3-94B7-9BC4-3A43986EE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6133" y="6282267"/>
          <a:ext cx="2663621" cy="22013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23</xdr:row>
      <xdr:rowOff>53340</xdr:rowOff>
    </xdr:from>
    <xdr:to>
      <xdr:col>12</xdr:col>
      <xdr:colOff>22860</xdr:colOff>
      <xdr:row>24</xdr:row>
      <xdr:rowOff>182118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79E747C-CD5B-C866-2260-F0C15AE3A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632960"/>
          <a:ext cx="2179320" cy="326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83820</xdr:colOff>
      <xdr:row>36</xdr:row>
      <xdr:rowOff>38100</xdr:rowOff>
    </xdr:from>
    <xdr:ext cx="2400300" cy="288538"/>
    <xdr:pic>
      <xdr:nvPicPr>
        <xdr:cNvPr id="4" name="Рисунок 3">
          <a:extLst>
            <a:ext uri="{FF2B5EF4-FFF2-40B4-BE49-F238E27FC236}">
              <a16:creationId xmlns:a16="http://schemas.microsoft.com/office/drawing/2014/main" id="{F10FA154-FED5-443E-B128-0244373AF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" y="6598920"/>
          <a:ext cx="2400300" cy="288538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0</xdr:col>
      <xdr:colOff>579120</xdr:colOff>
      <xdr:row>66</xdr:row>
      <xdr:rowOff>7620</xdr:rowOff>
    </xdr:from>
    <xdr:to>
      <xdr:col>7</xdr:col>
      <xdr:colOff>106680</xdr:colOff>
      <xdr:row>79</xdr:row>
      <xdr:rowOff>175260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82C4CAB5-3927-2ABF-8D46-D3CF393A7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35169</xdr:colOff>
      <xdr:row>85</xdr:row>
      <xdr:rowOff>46891</xdr:rowOff>
    </xdr:from>
    <xdr:to>
      <xdr:col>8</xdr:col>
      <xdr:colOff>327294</xdr:colOff>
      <xdr:row>87</xdr:row>
      <xdr:rowOff>70337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50C9CFF-EFF9-294A-0178-44F8CC377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2354" y="17010183"/>
          <a:ext cx="1511325" cy="42203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205154</xdr:colOff>
      <xdr:row>90</xdr:row>
      <xdr:rowOff>146538</xdr:rowOff>
    </xdr:from>
    <xdr:to>
      <xdr:col>10</xdr:col>
      <xdr:colOff>205154</xdr:colOff>
      <xdr:row>92</xdr:row>
      <xdr:rowOff>53755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3674327-25B2-4DC4-BD76-6883D8F6B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2339" y="18106292"/>
          <a:ext cx="2543907" cy="3058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8</xdr:row>
      <xdr:rowOff>129540</xdr:rowOff>
    </xdr:from>
    <xdr:to>
      <xdr:col>12</xdr:col>
      <xdr:colOff>267872</xdr:colOff>
      <xdr:row>11</xdr:row>
      <xdr:rowOff>119380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BDE852F-9DBE-BE2F-16B0-EDEDA6383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1592580"/>
          <a:ext cx="7970520" cy="584200"/>
        </a:xfrm>
        <a:prstGeom prst="rect">
          <a:avLst/>
        </a:prstGeom>
      </xdr:spPr>
    </xdr:pic>
    <xdr:clientData/>
  </xdr:twoCellAnchor>
  <xdr:twoCellAnchor editAs="oneCell">
    <xdr:from>
      <xdr:col>5</xdr:col>
      <xdr:colOff>591733</xdr:colOff>
      <xdr:row>47</xdr:row>
      <xdr:rowOff>34641</xdr:rowOff>
    </xdr:from>
    <xdr:to>
      <xdr:col>11</xdr:col>
      <xdr:colOff>511793</xdr:colOff>
      <xdr:row>54</xdr:row>
      <xdr:rowOff>12350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297C427-6894-F0D8-695E-A7CD5EA23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9733" y="9252213"/>
          <a:ext cx="3654446" cy="137558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13</xdr:col>
      <xdr:colOff>221356</xdr:colOff>
      <xdr:row>108</xdr:row>
      <xdr:rowOff>15240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212F010-CC2A-2AD1-54EC-6C5C2C493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387560"/>
          <a:ext cx="1435281" cy="41148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13</xdr:col>
      <xdr:colOff>53340</xdr:colOff>
      <xdr:row>279</xdr:row>
      <xdr:rowOff>53340</xdr:rowOff>
    </xdr:from>
    <xdr:to>
      <xdr:col>17</xdr:col>
      <xdr:colOff>167640</xdr:colOff>
      <xdr:row>289</xdr:row>
      <xdr:rowOff>137160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438D9DB-DA23-D5B7-8BF7-C2DDA65D2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38100</xdr:colOff>
      <xdr:row>297</xdr:row>
      <xdr:rowOff>45720</xdr:rowOff>
    </xdr:from>
    <xdr:to>
      <xdr:col>17</xdr:col>
      <xdr:colOff>160020</xdr:colOff>
      <xdr:row>308</xdr:row>
      <xdr:rowOff>175260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D309B7F3-898F-F577-D89A-6314B9654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90;&#1077;&#1086;&#1088;&#1074;&#1077;&#1088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еорвер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4"/>
  <sheetViews>
    <sheetView workbookViewId="0">
      <selection activeCell="C3" sqref="C3"/>
    </sheetView>
  </sheetViews>
  <sheetFormatPr defaultRowHeight="14.4" x14ac:dyDescent="0.3"/>
  <cols>
    <col min="13" max="14" width="10.5546875" customWidth="1"/>
    <col min="15" max="15" width="14.33203125" customWidth="1"/>
    <col min="16" max="18" width="10.5546875" customWidth="1"/>
  </cols>
  <sheetData>
    <row r="1" spans="2:18" ht="23.4" x14ac:dyDescent="0.45">
      <c r="D1" s="6" t="s">
        <v>50</v>
      </c>
    </row>
    <row r="2" spans="2:18" x14ac:dyDescent="0.3">
      <c r="E2" s="5"/>
    </row>
    <row r="3" spans="2:18" ht="21" x14ac:dyDescent="0.4">
      <c r="C3" s="3" t="s">
        <v>398</v>
      </c>
    </row>
    <row r="5" spans="2:18" ht="18" x14ac:dyDescent="0.3">
      <c r="B5" s="12" t="s">
        <v>11</v>
      </c>
      <c r="M5" s="7" t="s">
        <v>3</v>
      </c>
      <c r="N5" s="7" t="s">
        <v>15</v>
      </c>
      <c r="O5" s="7" t="s">
        <v>17</v>
      </c>
      <c r="P5" s="7" t="s">
        <v>4</v>
      </c>
      <c r="Q5" s="7" t="s">
        <v>5</v>
      </c>
      <c r="R5" s="7" t="s">
        <v>2</v>
      </c>
    </row>
    <row r="6" spans="2:18" ht="18" x14ac:dyDescent="0.3">
      <c r="B6" s="12" t="s">
        <v>0</v>
      </c>
      <c r="M6" s="14">
        <v>10</v>
      </c>
      <c r="N6" s="14">
        <v>12</v>
      </c>
      <c r="O6" s="14">
        <v>1000</v>
      </c>
      <c r="P6" s="14">
        <f>O6*(1+N6%*M6)</f>
        <v>2200</v>
      </c>
      <c r="Q6" s="14">
        <f>O6*(1+N6%)^M6</f>
        <v>3105.8482083442113</v>
      </c>
      <c r="R6" s="14">
        <f>Q6-P6</f>
        <v>905.84820834421134</v>
      </c>
    </row>
    <row r="7" spans="2:18" ht="15.6" x14ac:dyDescent="0.3">
      <c r="B7" s="12"/>
    </row>
    <row r="8" spans="2:18" ht="15.6" x14ac:dyDescent="0.3">
      <c r="B8" s="12" t="s">
        <v>12</v>
      </c>
    </row>
    <row r="9" spans="2:18" ht="15.6" x14ac:dyDescent="0.3">
      <c r="B9" s="13" t="s">
        <v>1</v>
      </c>
    </row>
    <row r="10" spans="2:18" ht="15.6" x14ac:dyDescent="0.3">
      <c r="B10" s="13"/>
    </row>
    <row r="11" spans="2:18" ht="15.6" x14ac:dyDescent="0.3">
      <c r="B11" s="13"/>
      <c r="Q11" s="16" t="s">
        <v>25</v>
      </c>
    </row>
    <row r="12" spans="2:18" ht="18" x14ac:dyDescent="0.35">
      <c r="B12" s="12" t="s">
        <v>13</v>
      </c>
      <c r="M12" s="7" t="s">
        <v>3</v>
      </c>
      <c r="N12" s="7" t="s">
        <v>15</v>
      </c>
      <c r="O12" s="7" t="s">
        <v>16</v>
      </c>
      <c r="P12" s="7" t="s">
        <v>18</v>
      </c>
      <c r="Q12" s="7" t="s">
        <v>18</v>
      </c>
      <c r="R12" s="4"/>
    </row>
    <row r="13" spans="2:18" ht="18" x14ac:dyDescent="0.3">
      <c r="B13" s="13" t="s">
        <v>6</v>
      </c>
      <c r="M13" s="14">
        <v>16</v>
      </c>
      <c r="N13" s="14">
        <v>4</v>
      </c>
      <c r="O13" s="14">
        <v>100000</v>
      </c>
      <c r="P13" s="14">
        <f>O13/(1+N13%)^M13</f>
        <v>53390.817568584105</v>
      </c>
      <c r="Q13" s="14">
        <f>-PV(N13%,M13,0,O13)</f>
        <v>53390.817568584105</v>
      </c>
      <c r="R13" s="15"/>
    </row>
    <row r="14" spans="2:18" ht="15.6" x14ac:dyDescent="0.3">
      <c r="B14" s="13" t="s">
        <v>7</v>
      </c>
    </row>
    <row r="15" spans="2:18" ht="15.6" x14ac:dyDescent="0.3">
      <c r="B15" s="13" t="s">
        <v>8</v>
      </c>
    </row>
    <row r="16" spans="2:18" ht="18" x14ac:dyDescent="0.35">
      <c r="B16" s="13"/>
      <c r="M16" s="7" t="s">
        <v>3</v>
      </c>
      <c r="N16" s="7" t="s">
        <v>15</v>
      </c>
      <c r="O16" s="7" t="s">
        <v>16</v>
      </c>
      <c r="P16" s="7" t="s">
        <v>18</v>
      </c>
      <c r="Q16" s="4"/>
      <c r="R16" s="4"/>
    </row>
    <row r="17" spans="2:18" ht="18" x14ac:dyDescent="0.3">
      <c r="B17" s="12" t="s">
        <v>14</v>
      </c>
      <c r="M17" s="14">
        <v>16</v>
      </c>
      <c r="N17" s="14">
        <v>4</v>
      </c>
      <c r="O17" s="14">
        <v>100000</v>
      </c>
      <c r="P17" s="14">
        <f>-PV(N17%,M17,0,O17)</f>
        <v>53390.817568584105</v>
      </c>
      <c r="Q17" s="15"/>
      <c r="R17" s="15"/>
    </row>
    <row r="18" spans="2:18" ht="15.6" x14ac:dyDescent="0.3">
      <c r="B18" s="13" t="s">
        <v>9</v>
      </c>
    </row>
    <row r="19" spans="2:18" ht="15.6" x14ac:dyDescent="0.3">
      <c r="B19" s="13" t="s">
        <v>10</v>
      </c>
    </row>
    <row r="20" spans="2:18" ht="15.6" x14ac:dyDescent="0.3">
      <c r="B20" s="13"/>
    </row>
    <row r="21" spans="2:18" ht="15.6" x14ac:dyDescent="0.3">
      <c r="B21" s="13"/>
    </row>
    <row r="22" spans="2:18" ht="15.6" x14ac:dyDescent="0.3">
      <c r="B22" s="12" t="s">
        <v>20</v>
      </c>
      <c r="P22" s="10" t="s">
        <v>26</v>
      </c>
    </row>
    <row r="23" spans="2:18" ht="15.6" x14ac:dyDescent="0.3">
      <c r="B23" s="13" t="s">
        <v>19</v>
      </c>
    </row>
    <row r="24" spans="2:18" x14ac:dyDescent="0.3">
      <c r="Q24" s="16" t="s">
        <v>27</v>
      </c>
    </row>
    <row r="25" spans="2:18" ht="18" x14ac:dyDescent="0.3">
      <c r="B25" s="12" t="s">
        <v>32</v>
      </c>
      <c r="M25" s="7" t="s">
        <v>3</v>
      </c>
      <c r="N25" s="7" t="s">
        <v>22</v>
      </c>
      <c r="O25" s="7" t="s">
        <v>17</v>
      </c>
      <c r="P25" s="7" t="s">
        <v>23</v>
      </c>
      <c r="Q25" s="7" t="s">
        <v>23</v>
      </c>
      <c r="R25" s="17"/>
    </row>
    <row r="26" spans="2:18" ht="18" x14ac:dyDescent="0.3">
      <c r="B26" s="13" t="s">
        <v>21</v>
      </c>
      <c r="M26" s="14">
        <v>20</v>
      </c>
      <c r="N26" s="14">
        <v>7</v>
      </c>
      <c r="O26" s="14">
        <v>125000</v>
      </c>
      <c r="P26" s="14">
        <f>O26*(1+N26%)^M26</f>
        <v>483710.55781077244</v>
      </c>
      <c r="Q26" s="14">
        <f>FV(N26%,M26,0,-O26)</f>
        <v>483710.55781077244</v>
      </c>
      <c r="R26" s="15"/>
    </row>
    <row r="29" spans="2:18" ht="15.6" x14ac:dyDescent="0.3">
      <c r="B29" s="18" t="s">
        <v>41</v>
      </c>
    </row>
    <row r="30" spans="2:18" ht="15.6" x14ac:dyDescent="0.3">
      <c r="B30" s="11" t="s">
        <v>28</v>
      </c>
    </row>
    <row r="31" spans="2:18" ht="15.6" x14ac:dyDescent="0.3">
      <c r="B31" s="11"/>
    </row>
    <row r="32" spans="2:18" ht="15.6" x14ac:dyDescent="0.3">
      <c r="B32" s="11" t="s">
        <v>42</v>
      </c>
    </row>
    <row r="33" spans="2:18" ht="15.6" x14ac:dyDescent="0.3">
      <c r="B33" s="11" t="s">
        <v>43</v>
      </c>
      <c r="P33" s="262" t="s">
        <v>36</v>
      </c>
      <c r="Q33" s="262"/>
    </row>
    <row r="34" spans="2:18" x14ac:dyDescent="0.3">
      <c r="P34" s="16" t="s">
        <v>37</v>
      </c>
      <c r="Q34" s="16" t="s">
        <v>38</v>
      </c>
    </row>
    <row r="35" spans="2:18" ht="18" x14ac:dyDescent="0.3">
      <c r="B35" s="18" t="s">
        <v>33</v>
      </c>
      <c r="M35" s="7" t="s">
        <v>3</v>
      </c>
      <c r="N35" s="7" t="s">
        <v>34</v>
      </c>
      <c r="O35" s="7" t="s">
        <v>17</v>
      </c>
      <c r="P35" s="7" t="s">
        <v>35</v>
      </c>
      <c r="Q35" s="7" t="s">
        <v>35</v>
      </c>
      <c r="R35" s="7" t="s">
        <v>2</v>
      </c>
    </row>
    <row r="36" spans="2:18" ht="18" x14ac:dyDescent="0.3">
      <c r="B36" s="11" t="s">
        <v>29</v>
      </c>
      <c r="M36" s="14">
        <v>1</v>
      </c>
      <c r="N36" s="14">
        <v>15</v>
      </c>
      <c r="O36" s="14">
        <v>100</v>
      </c>
      <c r="P36" s="14">
        <f>O36*(M36+N36%)</f>
        <v>114.99999999999999</v>
      </c>
      <c r="Q36" s="22">
        <f>O36*(M36+N36%/12)^(M36*12)</f>
        <v>116.07545177229986</v>
      </c>
      <c r="R36" s="22">
        <f>Q36-P36</f>
        <v>1.0754517722998713</v>
      </c>
    </row>
    <row r="37" spans="2:18" ht="18" x14ac:dyDescent="0.3">
      <c r="Q37" s="25">
        <f>EFFECT(N36%,12)</f>
        <v>0.16075451772299854</v>
      </c>
    </row>
    <row r="38" spans="2:18" ht="15.6" x14ac:dyDescent="0.3">
      <c r="B38" s="18" t="s">
        <v>31</v>
      </c>
      <c r="Q38" s="16" t="s">
        <v>44</v>
      </c>
    </row>
    <row r="39" spans="2:18" ht="15.6" x14ac:dyDescent="0.3">
      <c r="B39" s="11" t="s">
        <v>30</v>
      </c>
    </row>
    <row r="42" spans="2:18" ht="15.6" x14ac:dyDescent="0.3">
      <c r="B42" s="18" t="s">
        <v>40</v>
      </c>
    </row>
    <row r="43" spans="2:18" ht="15.6" x14ac:dyDescent="0.3">
      <c r="B43" s="11" t="s">
        <v>39</v>
      </c>
    </row>
    <row r="46" spans="2:18" ht="17.399999999999999" x14ac:dyDescent="0.3">
      <c r="B46" s="1" t="s">
        <v>45</v>
      </c>
    </row>
    <row r="48" spans="2:18" ht="17.399999999999999" x14ac:dyDescent="0.3">
      <c r="B48" s="26" t="s">
        <v>46</v>
      </c>
    </row>
    <row r="50" spans="2:3" ht="15.6" x14ac:dyDescent="0.3">
      <c r="B50" s="11" t="s">
        <v>47</v>
      </c>
    </row>
    <row r="51" spans="2:3" ht="15.6" x14ac:dyDescent="0.3">
      <c r="B51" s="11" t="s">
        <v>48</v>
      </c>
    </row>
    <row r="52" spans="2:3" ht="15.6" x14ac:dyDescent="0.3">
      <c r="B52" s="11" t="s">
        <v>49</v>
      </c>
    </row>
    <row r="54" spans="2:3" ht="21" x14ac:dyDescent="0.4">
      <c r="C54" s="3"/>
    </row>
  </sheetData>
  <mergeCells count="1">
    <mergeCell ref="P33:Q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ACAB-D9BA-4BBA-ABF6-3E1282A3EB16}">
  <dimension ref="B1:Z192"/>
  <sheetViews>
    <sheetView zoomScale="115" zoomScaleNormal="115" workbookViewId="0">
      <selection activeCell="D1" sqref="D1"/>
    </sheetView>
  </sheetViews>
  <sheetFormatPr defaultRowHeight="15.6" x14ac:dyDescent="0.3"/>
  <cols>
    <col min="1" max="1" width="5" style="11" customWidth="1"/>
    <col min="2" max="3" width="8.88671875" style="11"/>
    <col min="4" max="4" width="13.109375" style="11" customWidth="1"/>
    <col min="5" max="5" width="12" style="11" customWidth="1"/>
    <col min="6" max="6" width="13.6640625" style="11" customWidth="1"/>
    <col min="7" max="7" width="15.6640625" style="11" customWidth="1"/>
    <col min="8" max="8" width="15.109375" style="11" customWidth="1"/>
    <col min="9" max="9" width="16.6640625" style="11" customWidth="1"/>
    <col min="10" max="10" width="11.88671875" style="11" customWidth="1"/>
    <col min="11" max="11" width="10.5546875" style="11" customWidth="1"/>
    <col min="12" max="12" width="8.88671875" style="11"/>
    <col min="13" max="13" width="10.6640625" style="11" customWidth="1"/>
    <col min="14" max="14" width="9.6640625" style="11" customWidth="1"/>
    <col min="15" max="15" width="11.5546875" style="11" customWidth="1"/>
    <col min="16" max="16" width="11.88671875" style="11" customWidth="1"/>
    <col min="17" max="17" width="9.33203125" style="11" customWidth="1"/>
    <col min="18" max="18" width="11.88671875" style="11" customWidth="1"/>
    <col min="19" max="19" width="11.109375" style="11" customWidth="1"/>
    <col min="20" max="20" width="10" style="11" customWidth="1"/>
    <col min="21" max="21" width="11.88671875" style="11" customWidth="1"/>
    <col min="22" max="22" width="11.33203125" style="11" customWidth="1"/>
    <col min="23" max="23" width="10" style="11" bestFit="1" customWidth="1"/>
    <col min="24" max="16384" width="8.88671875" style="11"/>
  </cols>
  <sheetData>
    <row r="1" spans="2:26" ht="21" x14ac:dyDescent="0.4">
      <c r="D1" s="3" t="s">
        <v>399</v>
      </c>
    </row>
    <row r="2" spans="2:26" x14ac:dyDescent="0.3">
      <c r="D2" s="27"/>
    </row>
    <row r="3" spans="2:26" ht="17.399999999999999" x14ac:dyDescent="0.3">
      <c r="C3" s="1" t="s">
        <v>148</v>
      </c>
      <c r="D3" s="27"/>
    </row>
    <row r="4" spans="2:26" x14ac:dyDescent="0.3">
      <c r="Y4" s="19"/>
      <c r="Z4" s="19"/>
    </row>
    <row r="5" spans="2:26" x14ac:dyDescent="0.3">
      <c r="B5" s="18" t="s">
        <v>57</v>
      </c>
      <c r="Y5" s="19"/>
      <c r="Z5" s="19"/>
    </row>
    <row r="6" spans="2:26" x14ac:dyDescent="0.3">
      <c r="B6" s="11" t="s">
        <v>52</v>
      </c>
      <c r="Y6" s="48"/>
      <c r="Z6" s="48"/>
    </row>
    <row r="8" spans="2:26" x14ac:dyDescent="0.3">
      <c r="B8" s="18" t="s">
        <v>58</v>
      </c>
    </row>
    <row r="9" spans="2:26" x14ac:dyDescent="0.3">
      <c r="B9" s="11" t="s">
        <v>53</v>
      </c>
    </row>
    <row r="10" spans="2:26" x14ac:dyDescent="0.3">
      <c r="B10" s="11" t="s">
        <v>54</v>
      </c>
    </row>
    <row r="11" spans="2:26" x14ac:dyDescent="0.3">
      <c r="B11" s="11" t="s">
        <v>123</v>
      </c>
    </row>
    <row r="12" spans="2:26" x14ac:dyDescent="0.3">
      <c r="B12" s="11" t="s">
        <v>55</v>
      </c>
    </row>
    <row r="13" spans="2:26" x14ac:dyDescent="0.3">
      <c r="B13" s="11" t="s">
        <v>124</v>
      </c>
    </row>
    <row r="14" spans="2:26" x14ac:dyDescent="0.3">
      <c r="B14" s="11" t="s">
        <v>56</v>
      </c>
    </row>
    <row r="16" spans="2:26" x14ac:dyDescent="0.3">
      <c r="H16" s="263" t="s">
        <v>170</v>
      </c>
      <c r="I16" s="263"/>
      <c r="J16" s="263"/>
      <c r="K16" s="263"/>
    </row>
    <row r="17" spans="2:14" x14ac:dyDescent="0.3">
      <c r="D17" s="19"/>
      <c r="E17" s="19"/>
      <c r="F17" s="19"/>
      <c r="G17" s="19"/>
      <c r="H17" s="51" t="s">
        <v>117</v>
      </c>
      <c r="I17" s="51" t="s">
        <v>118</v>
      </c>
      <c r="J17" s="271" t="s">
        <v>121</v>
      </c>
      <c r="K17" s="271"/>
    </row>
    <row r="18" spans="2:14" x14ac:dyDescent="0.3">
      <c r="D18" s="49" t="s">
        <v>114</v>
      </c>
      <c r="E18" s="50" t="s">
        <v>115</v>
      </c>
      <c r="F18" s="50" t="s">
        <v>116</v>
      </c>
      <c r="G18" s="50" t="s">
        <v>120</v>
      </c>
      <c r="H18" s="50" t="s">
        <v>119</v>
      </c>
      <c r="I18" s="51" t="s">
        <v>122</v>
      </c>
      <c r="J18" s="51"/>
      <c r="K18" s="51" t="s">
        <v>122</v>
      </c>
    </row>
    <row r="19" spans="2:14" x14ac:dyDescent="0.3">
      <c r="D19" s="52">
        <v>30000</v>
      </c>
      <c r="E19" s="52">
        <v>12</v>
      </c>
      <c r="F19" s="52">
        <v>10</v>
      </c>
      <c r="G19" s="52">
        <v>20</v>
      </c>
      <c r="H19" s="52">
        <f>(D19*E19)*(1-(1+F19%)^(-G19))/F19%</f>
        <v>3064882.9391130833</v>
      </c>
      <c r="I19" s="52">
        <f>-PV(F19%,G19,D19*E19)</f>
        <v>3064882.9391130833</v>
      </c>
      <c r="J19" s="96">
        <f>(D19)*(1-(1+F19%/E19)^(-G19*E19))/(F19%/E19)</f>
        <v>3108738.5607500281</v>
      </c>
      <c r="K19" s="52">
        <f>-PV(F19%/E19,G19*E19,D19)</f>
        <v>3108738.5607500286</v>
      </c>
    </row>
    <row r="21" spans="2:14" x14ac:dyDescent="0.3">
      <c r="B21" s="21" t="s">
        <v>59</v>
      </c>
    </row>
    <row r="22" spans="2:14" x14ac:dyDescent="0.3">
      <c r="B22" s="21"/>
    </row>
    <row r="23" spans="2:14" x14ac:dyDescent="0.3">
      <c r="B23" s="18" t="s">
        <v>60</v>
      </c>
    </row>
    <row r="24" spans="2:14" x14ac:dyDescent="0.3">
      <c r="B24" s="18"/>
    </row>
    <row r="25" spans="2:14" x14ac:dyDescent="0.3">
      <c r="H25" s="263" t="s">
        <v>125</v>
      </c>
      <c r="I25" s="263"/>
      <c r="J25" s="263"/>
      <c r="K25" s="263"/>
      <c r="M25" s="96">
        <f>J19</f>
        <v>3108738.5607500281</v>
      </c>
      <c r="N25" s="11" t="s">
        <v>171</v>
      </c>
    </row>
    <row r="26" spans="2:14" x14ac:dyDescent="0.3">
      <c r="D26" s="19"/>
      <c r="E26" s="19"/>
      <c r="F26" s="19"/>
      <c r="G26" s="19"/>
      <c r="H26" s="264" t="s">
        <v>168</v>
      </c>
      <c r="I26" s="265"/>
      <c r="J26" s="271" t="s">
        <v>169</v>
      </c>
      <c r="K26" s="271"/>
      <c r="M26" s="97">
        <f>J28</f>
        <v>3600000</v>
      </c>
      <c r="N26" s="11" t="s">
        <v>172</v>
      </c>
    </row>
    <row r="27" spans="2:14" x14ac:dyDescent="0.3">
      <c r="D27" s="49" t="s">
        <v>114</v>
      </c>
      <c r="E27" s="50" t="s">
        <v>115</v>
      </c>
      <c r="F27" s="50" t="s">
        <v>116</v>
      </c>
      <c r="G27" s="50" t="s">
        <v>120</v>
      </c>
      <c r="H27" s="50" t="s">
        <v>119</v>
      </c>
      <c r="I27" s="51"/>
      <c r="J27" s="51"/>
      <c r="K27" s="51"/>
      <c r="M27" s="95">
        <f>M26-M25</f>
        <v>491261.43924997188</v>
      </c>
      <c r="N27" s="11" t="s">
        <v>126</v>
      </c>
    </row>
    <row r="28" spans="2:14" x14ac:dyDescent="0.3">
      <c r="D28" s="52">
        <v>30000</v>
      </c>
      <c r="E28" s="52">
        <v>12</v>
      </c>
      <c r="F28" s="52">
        <v>10</v>
      </c>
      <c r="G28" s="52">
        <v>20</v>
      </c>
      <c r="H28" s="52">
        <f>D28*E28/F28%</f>
        <v>3600000</v>
      </c>
      <c r="I28" s="52"/>
      <c r="J28" s="97">
        <f>D28/(F28%/E28)</f>
        <v>3600000</v>
      </c>
      <c r="K28" s="52"/>
    </row>
    <row r="30" spans="2:14" x14ac:dyDescent="0.3">
      <c r="B30" s="21" t="s">
        <v>63</v>
      </c>
    </row>
    <row r="31" spans="2:14" x14ac:dyDescent="0.3">
      <c r="B31" s="11" t="s">
        <v>61</v>
      </c>
    </row>
    <row r="33" spans="2:9" x14ac:dyDescent="0.3">
      <c r="B33" s="18" t="s">
        <v>64</v>
      </c>
    </row>
    <row r="34" spans="2:9" x14ac:dyDescent="0.3">
      <c r="B34" s="11" t="s">
        <v>62</v>
      </c>
    </row>
    <row r="36" spans="2:9" x14ac:dyDescent="0.3">
      <c r="D36" s="20"/>
      <c r="E36" s="20"/>
      <c r="F36" s="90" t="s">
        <v>130</v>
      </c>
      <c r="G36" s="263" t="s">
        <v>132</v>
      </c>
      <c r="H36" s="263"/>
    </row>
    <row r="37" spans="2:9" x14ac:dyDescent="0.3">
      <c r="D37" s="87" t="s">
        <v>127</v>
      </c>
      <c r="E37" s="87" t="s">
        <v>133</v>
      </c>
      <c r="F37" s="87" t="s">
        <v>128</v>
      </c>
      <c r="G37" s="51"/>
      <c r="H37" s="94" t="s">
        <v>167</v>
      </c>
    </row>
    <row r="38" spans="2:9" x14ac:dyDescent="0.3">
      <c r="D38" s="52">
        <v>1000000</v>
      </c>
      <c r="E38" s="52">
        <v>10</v>
      </c>
      <c r="F38" s="52">
        <v>12</v>
      </c>
      <c r="G38" s="52">
        <f>F38%*D38/(1-(1+F38%)^(-E38))</f>
        <v>176984.16415984405</v>
      </c>
      <c r="H38" s="56">
        <f>PMT(F38%,E38,-D38)</f>
        <v>176984.16415984411</v>
      </c>
    </row>
    <row r="40" spans="2:9" x14ac:dyDescent="0.3">
      <c r="B40" s="21" t="s">
        <v>66</v>
      </c>
    </row>
    <row r="41" spans="2:9" x14ac:dyDescent="0.3">
      <c r="B41" s="18" t="s">
        <v>65</v>
      </c>
    </row>
    <row r="43" spans="2:9" x14ac:dyDescent="0.3">
      <c r="C43" s="54">
        <v>0</v>
      </c>
      <c r="D43" s="54">
        <v>1</v>
      </c>
      <c r="E43" s="54">
        <v>2</v>
      </c>
      <c r="F43" s="54">
        <v>3</v>
      </c>
      <c r="G43" s="54">
        <v>4</v>
      </c>
      <c r="H43" s="54">
        <v>5</v>
      </c>
      <c r="I43" s="54">
        <v>6</v>
      </c>
    </row>
    <row r="44" spans="2:9" x14ac:dyDescent="0.3">
      <c r="C44" s="59">
        <v>1000</v>
      </c>
      <c r="D44" s="59">
        <v>1000</v>
      </c>
      <c r="E44" s="59">
        <v>1000</v>
      </c>
      <c r="F44" s="59">
        <v>1000</v>
      </c>
      <c r="G44" s="54"/>
      <c r="H44" s="54"/>
      <c r="I44" s="54"/>
    </row>
    <row r="45" spans="2:9" x14ac:dyDescent="0.3">
      <c r="C45" s="60"/>
      <c r="D45" s="60"/>
      <c r="E45" s="60"/>
      <c r="F45" s="60"/>
      <c r="G45" s="20"/>
      <c r="H45" s="20"/>
      <c r="I45" s="20"/>
    </row>
    <row r="46" spans="2:9" x14ac:dyDescent="0.3">
      <c r="B46" s="18" t="s">
        <v>67</v>
      </c>
    </row>
    <row r="47" spans="2:9" x14ac:dyDescent="0.3">
      <c r="B47" s="11" t="s">
        <v>142</v>
      </c>
    </row>
    <row r="48" spans="2:9" x14ac:dyDescent="0.3">
      <c r="B48" s="11" t="s">
        <v>143</v>
      </c>
    </row>
    <row r="50" spans="2:9" x14ac:dyDescent="0.3">
      <c r="G50" s="266" t="s">
        <v>139</v>
      </c>
      <c r="H50" s="267"/>
    </row>
    <row r="51" spans="2:9" x14ac:dyDescent="0.3">
      <c r="D51" s="87" t="s">
        <v>17</v>
      </c>
      <c r="E51" s="87" t="s">
        <v>133</v>
      </c>
      <c r="F51" s="87" t="s">
        <v>331</v>
      </c>
      <c r="G51" s="54">
        <v>4</v>
      </c>
      <c r="H51" s="54">
        <v>6</v>
      </c>
    </row>
    <row r="52" spans="2:9" x14ac:dyDescent="0.3">
      <c r="D52" s="52">
        <v>1000</v>
      </c>
      <c r="E52" s="52">
        <v>4</v>
      </c>
      <c r="F52" s="52">
        <v>6</v>
      </c>
      <c r="G52" s="56">
        <f>D52*((1+F52%)^E52-1)/F52%*(1+F52%)</f>
        <v>4637.0929600000063</v>
      </c>
      <c r="H52" s="53">
        <f>G52*(1+F52%)^2</f>
        <v>5210.2376498560079</v>
      </c>
    </row>
    <row r="54" spans="2:9" x14ac:dyDescent="0.3">
      <c r="B54" s="21" t="s">
        <v>69</v>
      </c>
    </row>
    <row r="55" spans="2:9" x14ac:dyDescent="0.3">
      <c r="B55" s="11" t="s">
        <v>68</v>
      </c>
    </row>
    <row r="57" spans="2:9" x14ac:dyDescent="0.3">
      <c r="C57" s="54">
        <v>0</v>
      </c>
      <c r="D57" s="54">
        <v>1</v>
      </c>
      <c r="E57" s="54">
        <v>2</v>
      </c>
      <c r="F57" s="54">
        <v>3</v>
      </c>
      <c r="G57" s="54">
        <v>4</v>
      </c>
      <c r="H57" s="54">
        <v>5</v>
      </c>
      <c r="I57" s="54">
        <v>6</v>
      </c>
    </row>
    <row r="58" spans="2:9" x14ac:dyDescent="0.3">
      <c r="C58" s="59"/>
      <c r="D58" s="59"/>
      <c r="E58" s="59"/>
      <c r="F58" s="57">
        <v>100</v>
      </c>
      <c r="G58" s="57">
        <v>100</v>
      </c>
      <c r="H58" s="57">
        <v>100</v>
      </c>
      <c r="I58" s="57">
        <v>100</v>
      </c>
    </row>
    <row r="59" spans="2:9" x14ac:dyDescent="0.3">
      <c r="E59" s="44" t="s">
        <v>135</v>
      </c>
    </row>
    <row r="60" spans="2:9" x14ac:dyDescent="0.3">
      <c r="B60" s="18" t="s">
        <v>70</v>
      </c>
    </row>
    <row r="61" spans="2:9" x14ac:dyDescent="0.3">
      <c r="B61" s="11" t="s">
        <v>140</v>
      </c>
    </row>
    <row r="62" spans="2:9" x14ac:dyDescent="0.3">
      <c r="B62" s="11" t="s">
        <v>141</v>
      </c>
    </row>
    <row r="64" spans="2:9" x14ac:dyDescent="0.3">
      <c r="D64" s="93"/>
      <c r="E64" s="268" t="s">
        <v>137</v>
      </c>
      <c r="F64" s="270" t="s">
        <v>138</v>
      </c>
      <c r="G64" s="263" t="s">
        <v>139</v>
      </c>
      <c r="H64" s="263"/>
    </row>
    <row r="65" spans="2:9" x14ac:dyDescent="0.3">
      <c r="D65" s="87" t="s">
        <v>136</v>
      </c>
      <c r="E65" s="269"/>
      <c r="F65" s="270"/>
      <c r="G65" s="54">
        <v>2</v>
      </c>
      <c r="H65" s="54">
        <v>0</v>
      </c>
    </row>
    <row r="66" spans="2:9" x14ac:dyDescent="0.3">
      <c r="D66" s="52">
        <v>100</v>
      </c>
      <c r="E66" s="52">
        <v>3</v>
      </c>
      <c r="F66" s="52">
        <v>9</v>
      </c>
      <c r="G66" s="56">
        <f>D66*((1-(1+F66%)^-4)/F66%)</f>
        <v>323.97198770533737</v>
      </c>
      <c r="H66" s="56">
        <f>G66/(1+F66%)^2</f>
        <v>272.6807404303824</v>
      </c>
    </row>
    <row r="67" spans="2:9" x14ac:dyDescent="0.3">
      <c r="G67" s="61" t="s">
        <v>146</v>
      </c>
      <c r="H67" s="61" t="s">
        <v>147</v>
      </c>
    </row>
    <row r="68" spans="2:9" x14ac:dyDescent="0.3">
      <c r="G68" s="61"/>
      <c r="H68" s="61"/>
    </row>
    <row r="69" spans="2:9" ht="18" x14ac:dyDescent="0.35">
      <c r="C69" s="4" t="s">
        <v>178</v>
      </c>
      <c r="G69" s="61"/>
      <c r="H69" s="61"/>
    </row>
    <row r="70" spans="2:9" x14ac:dyDescent="0.3">
      <c r="G70" s="20"/>
      <c r="H70" s="20"/>
    </row>
    <row r="71" spans="2:9" x14ac:dyDescent="0.3">
      <c r="B71" s="29" t="s">
        <v>77</v>
      </c>
    </row>
    <row r="72" spans="2:9" x14ac:dyDescent="0.3">
      <c r="B72" s="11" t="s">
        <v>71</v>
      </c>
    </row>
    <row r="74" spans="2:9" x14ac:dyDescent="0.3">
      <c r="D74" s="55">
        <v>0</v>
      </c>
      <c r="E74" s="55">
        <v>1</v>
      </c>
      <c r="F74" s="55">
        <v>2</v>
      </c>
      <c r="G74" s="55">
        <v>3</v>
      </c>
      <c r="H74" s="55">
        <v>4</v>
      </c>
      <c r="I74" s="55">
        <v>5</v>
      </c>
    </row>
    <row r="75" spans="2:9" x14ac:dyDescent="0.3">
      <c r="D75" s="81" t="s">
        <v>154</v>
      </c>
      <c r="E75" s="59">
        <f>H87</f>
        <v>70</v>
      </c>
      <c r="F75" s="59">
        <f>E75</f>
        <v>70</v>
      </c>
      <c r="G75" s="59">
        <f>F75</f>
        <v>70</v>
      </c>
      <c r="H75" s="59">
        <f>G75</f>
        <v>70</v>
      </c>
      <c r="I75" s="82">
        <f>D87+H75</f>
        <v>1070</v>
      </c>
    </row>
    <row r="76" spans="2:9" x14ac:dyDescent="0.3">
      <c r="E76" s="65">
        <f>E75/(1+$G87)^E74</f>
        <v>64.81481481481481</v>
      </c>
      <c r="F76" s="65">
        <f t="shared" ref="F76:I76" si="0">F75/(1+$G87)^F74</f>
        <v>60.013717421124824</v>
      </c>
      <c r="G76" s="65">
        <f t="shared" si="0"/>
        <v>55.568256871411869</v>
      </c>
      <c r="H76" s="65">
        <f t="shared" si="0"/>
        <v>51.452089695751731</v>
      </c>
      <c r="I76" s="65">
        <f t="shared" si="0"/>
        <v>728.22402082611575</v>
      </c>
    </row>
    <row r="78" spans="2:9" x14ac:dyDescent="0.3">
      <c r="B78" s="30" t="s">
        <v>78</v>
      </c>
    </row>
    <row r="79" spans="2:9" x14ac:dyDescent="0.3">
      <c r="B79" s="18" t="s">
        <v>72</v>
      </c>
    </row>
    <row r="80" spans="2:9" x14ac:dyDescent="0.3">
      <c r="B80" s="18" t="s">
        <v>73</v>
      </c>
    </row>
    <row r="81" spans="2:10" x14ac:dyDescent="0.3">
      <c r="B81" s="18" t="s">
        <v>74</v>
      </c>
    </row>
    <row r="82" spans="2:10" x14ac:dyDescent="0.3">
      <c r="B82" s="27" t="s">
        <v>75</v>
      </c>
    </row>
    <row r="83" spans="2:10" x14ac:dyDescent="0.3">
      <c r="B83" s="11" t="s">
        <v>76</v>
      </c>
    </row>
    <row r="85" spans="2:10" x14ac:dyDescent="0.3">
      <c r="I85" s="85" t="s">
        <v>122</v>
      </c>
      <c r="J85" s="85" t="s">
        <v>155</v>
      </c>
    </row>
    <row r="86" spans="2:10" x14ac:dyDescent="0.3">
      <c r="D86" s="87" t="s">
        <v>149</v>
      </c>
      <c r="E86" s="87" t="s">
        <v>133</v>
      </c>
      <c r="F86" s="87" t="s">
        <v>153</v>
      </c>
      <c r="G86" s="87" t="s">
        <v>150</v>
      </c>
      <c r="H86" s="88" t="s">
        <v>151</v>
      </c>
      <c r="I86" s="263" t="s">
        <v>152</v>
      </c>
      <c r="J86" s="263"/>
    </row>
    <row r="87" spans="2:10" x14ac:dyDescent="0.3">
      <c r="D87" s="52">
        <v>1000</v>
      </c>
      <c r="E87" s="52">
        <v>5</v>
      </c>
      <c r="F87" s="62">
        <v>7.0000000000000007E-2</v>
      </c>
      <c r="G87" s="63">
        <v>0.08</v>
      </c>
      <c r="H87" s="54">
        <f>F87*D87</f>
        <v>70</v>
      </c>
      <c r="I87" s="67">
        <f>PV(G87,E87,-H87,-D87)</f>
        <v>960.07289962921914</v>
      </c>
      <c r="J87" s="67">
        <f>SUM(E76:I76)</f>
        <v>960.07289962921902</v>
      </c>
    </row>
    <row r="89" spans="2:10" x14ac:dyDescent="0.3">
      <c r="B89" s="21" t="s">
        <v>82</v>
      </c>
    </row>
    <row r="90" spans="2:10" x14ac:dyDescent="0.3">
      <c r="B90" s="11" t="s">
        <v>79</v>
      </c>
    </row>
    <row r="92" spans="2:10" x14ac:dyDescent="0.3">
      <c r="D92" s="55">
        <v>0</v>
      </c>
      <c r="E92" s="55">
        <v>1</v>
      </c>
      <c r="F92" s="55">
        <v>2</v>
      </c>
      <c r="G92" s="55">
        <v>3</v>
      </c>
      <c r="H92" s="55">
        <v>4</v>
      </c>
      <c r="I92" s="55">
        <v>5</v>
      </c>
    </row>
    <row r="93" spans="2:10" x14ac:dyDescent="0.3">
      <c r="D93" s="80">
        <v>-900</v>
      </c>
      <c r="E93" s="54">
        <f>H103</f>
        <v>70</v>
      </c>
      <c r="F93" s="54">
        <f>H103</f>
        <v>70</v>
      </c>
      <c r="G93" s="54">
        <f>H103</f>
        <v>70</v>
      </c>
      <c r="H93" s="54">
        <f>H103</f>
        <v>70</v>
      </c>
      <c r="I93" s="56">
        <f>E103+H93</f>
        <v>1070</v>
      </c>
    </row>
    <row r="94" spans="2:10" x14ac:dyDescent="0.3">
      <c r="E94" s="65">
        <f>E93/(1+$I103)^E92</f>
        <v>63.861697093747779</v>
      </c>
      <c r="F94" s="65">
        <f>F93/(1+$I103)^F92</f>
        <v>58.261662224194204</v>
      </c>
      <c r="G94" s="65">
        <f>G93/(1+$I103)^G92</f>
        <v>53.152694644853398</v>
      </c>
      <c r="H94" s="65">
        <f>H93/(1+$I103)^H92</f>
        <v>48.491732644658534</v>
      </c>
      <c r="I94" s="65">
        <f>I93/(1+$I103)^I92</f>
        <v>676.23221339254633</v>
      </c>
    </row>
    <row r="95" spans="2:10" x14ac:dyDescent="0.3">
      <c r="E95" s="76">
        <f>E93/(1+$I104)^E92</f>
        <v>63.636363636363633</v>
      </c>
      <c r="F95" s="76">
        <f>F93/(1+$I104)^F92</f>
        <v>57.851239669421481</v>
      </c>
      <c r="G95" s="76">
        <f>G93/(1+$I104)^G92</f>
        <v>52.592036063110427</v>
      </c>
      <c r="H95" s="76">
        <f>H93/(1+$I104)^H92</f>
        <v>47.810941875554938</v>
      </c>
      <c r="I95" s="76">
        <f>I93/(1+$I104)^I92</f>
        <v>664.38581567329584</v>
      </c>
    </row>
    <row r="97" spans="2:12" x14ac:dyDescent="0.3">
      <c r="B97" s="18" t="s">
        <v>92</v>
      </c>
    </row>
    <row r="98" spans="2:12" x14ac:dyDescent="0.3">
      <c r="B98" s="27" t="s">
        <v>80</v>
      </c>
    </row>
    <row r="99" spans="2:12" x14ac:dyDescent="0.3">
      <c r="B99" s="11" t="s">
        <v>81</v>
      </c>
    </row>
    <row r="101" spans="2:12" x14ac:dyDescent="0.3">
      <c r="D101" s="91" t="s">
        <v>159</v>
      </c>
      <c r="E101" s="91" t="s">
        <v>160</v>
      </c>
      <c r="F101" s="86" t="s">
        <v>158</v>
      </c>
      <c r="G101" s="92"/>
      <c r="H101" s="85" t="s">
        <v>161</v>
      </c>
      <c r="I101" s="85" t="s">
        <v>157</v>
      </c>
      <c r="J101" s="85" t="s">
        <v>155</v>
      </c>
    </row>
    <row r="102" spans="2:12" x14ac:dyDescent="0.3">
      <c r="D102" s="87" t="s">
        <v>156</v>
      </c>
      <c r="E102" s="87" t="s">
        <v>149</v>
      </c>
      <c r="F102" s="87" t="s">
        <v>3</v>
      </c>
      <c r="G102" s="87" t="s">
        <v>153</v>
      </c>
      <c r="H102" s="88" t="s">
        <v>151</v>
      </c>
      <c r="I102" s="89" t="s">
        <v>179</v>
      </c>
      <c r="J102" s="90"/>
      <c r="L102" s="11" t="s">
        <v>162</v>
      </c>
    </row>
    <row r="103" spans="2:12" x14ac:dyDescent="0.3">
      <c r="D103" s="66">
        <v>900</v>
      </c>
      <c r="E103" s="52">
        <v>1000</v>
      </c>
      <c r="F103" s="52">
        <v>5</v>
      </c>
      <c r="G103" s="62">
        <v>7.0000000000000007E-2</v>
      </c>
      <c r="H103" s="58">
        <f>E103*G103</f>
        <v>70</v>
      </c>
      <c r="I103" s="71">
        <f>RATE(F103,H103,-D103,E103)</f>
        <v>9.6118693764766547E-2</v>
      </c>
      <c r="J103" s="56">
        <f>SUM(E94:I94)</f>
        <v>900.00000000000023</v>
      </c>
      <c r="L103" s="11" t="s">
        <v>164</v>
      </c>
    </row>
    <row r="104" spans="2:12" x14ac:dyDescent="0.3">
      <c r="D104" s="72"/>
      <c r="E104" s="48"/>
      <c r="F104" s="48"/>
      <c r="G104" s="73"/>
      <c r="H104" s="64"/>
      <c r="I104" s="79">
        <v>0.1</v>
      </c>
      <c r="J104" s="77">
        <f>SUM(E95:I95)</f>
        <v>886.2763969177463</v>
      </c>
      <c r="L104" s="11" t="s">
        <v>163</v>
      </c>
    </row>
    <row r="105" spans="2:12" ht="15" customHeight="1" x14ac:dyDescent="0.3"/>
    <row r="106" spans="2:12" x14ac:dyDescent="0.3">
      <c r="B106" s="21" t="s">
        <v>89</v>
      </c>
    </row>
    <row r="107" spans="2:12" x14ac:dyDescent="0.3">
      <c r="B107" s="11" t="s">
        <v>83</v>
      </c>
    </row>
    <row r="109" spans="2:12" x14ac:dyDescent="0.3">
      <c r="D109" s="55">
        <v>0</v>
      </c>
      <c r="E109" s="55">
        <v>1</v>
      </c>
      <c r="F109" s="55">
        <v>2</v>
      </c>
      <c r="G109" s="55">
        <v>3</v>
      </c>
    </row>
    <row r="110" spans="2:12" x14ac:dyDescent="0.3">
      <c r="D110" s="80" t="s">
        <v>154</v>
      </c>
      <c r="E110" s="55">
        <v>0</v>
      </c>
      <c r="F110" s="55">
        <v>0</v>
      </c>
      <c r="G110" s="55">
        <v>1000</v>
      </c>
    </row>
    <row r="112" spans="2:12" x14ac:dyDescent="0.3">
      <c r="B112" s="18" t="s">
        <v>91</v>
      </c>
    </row>
    <row r="113" spans="2:14" x14ac:dyDescent="0.3">
      <c r="B113" s="11" t="s">
        <v>84</v>
      </c>
    </row>
    <row r="114" spans="2:14" x14ac:dyDescent="0.3">
      <c r="B114" s="11" t="s">
        <v>144</v>
      </c>
    </row>
    <row r="116" spans="2:14" x14ac:dyDescent="0.3">
      <c r="D116" s="85" t="s">
        <v>160</v>
      </c>
      <c r="E116" s="86" t="s">
        <v>158</v>
      </c>
      <c r="F116" s="85" t="s">
        <v>166</v>
      </c>
      <c r="G116" s="68" t="s">
        <v>122</v>
      </c>
      <c r="I116" s="83"/>
    </row>
    <row r="117" spans="2:14" x14ac:dyDescent="0.3">
      <c r="D117" s="87" t="s">
        <v>149</v>
      </c>
      <c r="E117" s="87" t="s">
        <v>3</v>
      </c>
      <c r="F117" s="87" t="s">
        <v>165</v>
      </c>
      <c r="G117" s="88" t="s">
        <v>152</v>
      </c>
    </row>
    <row r="118" spans="2:14" x14ac:dyDescent="0.3">
      <c r="D118" s="52">
        <v>1000</v>
      </c>
      <c r="E118" s="52">
        <v>3</v>
      </c>
      <c r="F118" s="62">
        <v>0.12</v>
      </c>
      <c r="G118" s="67">
        <f>-PV(F118,E118,0,D118)</f>
        <v>711.78024781341082</v>
      </c>
      <c r="I118" s="84"/>
    </row>
    <row r="119" spans="2:14" x14ac:dyDescent="0.3">
      <c r="C119" s="48"/>
      <c r="D119" s="48"/>
      <c r="E119" s="73"/>
      <c r="F119" s="64"/>
      <c r="G119" s="75"/>
      <c r="H119" s="78"/>
    </row>
    <row r="120" spans="2:14" x14ac:dyDescent="0.3">
      <c r="D120" s="72"/>
      <c r="E120" s="48"/>
      <c r="F120" s="48"/>
      <c r="G120" s="73"/>
      <c r="H120" s="64"/>
      <c r="I120" s="75"/>
      <c r="J120" s="78"/>
    </row>
    <row r="121" spans="2:14" x14ac:dyDescent="0.3">
      <c r="B121" s="21" t="s">
        <v>90</v>
      </c>
    </row>
    <row r="122" spans="2:14" x14ac:dyDescent="0.3">
      <c r="B122" s="11" t="s">
        <v>85</v>
      </c>
    </row>
    <row r="123" spans="2:14" ht="16.2" thickBot="1" x14ac:dyDescent="0.35"/>
    <row r="124" spans="2:14" ht="16.2" thickBot="1" x14ac:dyDescent="0.35">
      <c r="C124" s="31" t="s">
        <v>86</v>
      </c>
      <c r="D124" s="32">
        <v>0</v>
      </c>
      <c r="E124" s="32">
        <v>1</v>
      </c>
      <c r="F124" s="32">
        <v>2</v>
      </c>
      <c r="G124" s="32">
        <v>3</v>
      </c>
      <c r="H124" s="32">
        <v>4</v>
      </c>
      <c r="I124" s="32">
        <v>5</v>
      </c>
      <c r="J124" s="32">
        <v>6</v>
      </c>
      <c r="K124" s="32">
        <v>7</v>
      </c>
      <c r="L124" s="32">
        <v>8</v>
      </c>
      <c r="M124" s="32">
        <v>9</v>
      </c>
      <c r="N124" s="32">
        <v>10</v>
      </c>
    </row>
    <row r="125" spans="2:14" ht="16.2" thickBot="1" x14ac:dyDescent="0.35">
      <c r="C125" s="33" t="s">
        <v>87</v>
      </c>
      <c r="D125" s="34">
        <v>-900</v>
      </c>
      <c r="E125" s="35">
        <v>35</v>
      </c>
      <c r="F125" s="35">
        <v>35</v>
      </c>
      <c r="G125" s="35">
        <v>35</v>
      </c>
      <c r="H125" s="35">
        <v>35</v>
      </c>
      <c r="I125" s="35">
        <v>35</v>
      </c>
      <c r="J125" s="35">
        <v>35</v>
      </c>
      <c r="K125" s="35">
        <v>35</v>
      </c>
      <c r="L125" s="35">
        <v>35</v>
      </c>
      <c r="M125" s="35">
        <v>35</v>
      </c>
      <c r="N125" s="36">
        <v>1035</v>
      </c>
    </row>
    <row r="127" spans="2:14" x14ac:dyDescent="0.3">
      <c r="B127" s="18" t="s">
        <v>93</v>
      </c>
    </row>
    <row r="128" spans="2:14" x14ac:dyDescent="0.3">
      <c r="B128" s="11" t="s">
        <v>145</v>
      </c>
    </row>
    <row r="130" spans="2:11" x14ac:dyDescent="0.3">
      <c r="B130" s="18" t="s">
        <v>88</v>
      </c>
    </row>
    <row r="132" spans="2:11" x14ac:dyDescent="0.3">
      <c r="D132" s="85" t="s">
        <v>159</v>
      </c>
      <c r="E132" s="85" t="s">
        <v>160</v>
      </c>
      <c r="F132" s="86" t="s">
        <v>176</v>
      </c>
      <c r="G132" s="86" t="s">
        <v>158</v>
      </c>
      <c r="H132" s="85"/>
      <c r="I132" s="68" t="s">
        <v>122</v>
      </c>
      <c r="K132" s="11" t="s">
        <v>173</v>
      </c>
    </row>
    <row r="133" spans="2:11" x14ac:dyDescent="0.3">
      <c r="D133" s="87" t="s">
        <v>156</v>
      </c>
      <c r="E133" s="87" t="s">
        <v>149</v>
      </c>
      <c r="F133" s="87" t="s">
        <v>3</v>
      </c>
      <c r="G133" s="87" t="s">
        <v>174</v>
      </c>
      <c r="H133" s="87" t="s">
        <v>175</v>
      </c>
      <c r="I133" s="88" t="s">
        <v>177</v>
      </c>
    </row>
    <row r="134" spans="2:11" x14ac:dyDescent="0.3">
      <c r="D134" s="66">
        <v>900</v>
      </c>
      <c r="E134" s="52">
        <v>1000</v>
      </c>
      <c r="F134" s="52">
        <v>5</v>
      </c>
      <c r="G134" s="52">
        <v>2</v>
      </c>
      <c r="H134" s="62">
        <v>7.0000000000000007E-2</v>
      </c>
      <c r="I134" s="71">
        <f>RATE(N124,E125,-D134,E134)*G134</f>
        <v>9.5626584127314992E-2</v>
      </c>
    </row>
    <row r="135" spans="2:11" x14ac:dyDescent="0.3">
      <c r="D135" s="72"/>
      <c r="E135" s="48"/>
      <c r="F135" s="48"/>
      <c r="G135" s="48"/>
      <c r="H135" s="73"/>
      <c r="I135" s="74"/>
    </row>
    <row r="136" spans="2:11" ht="17.399999999999999" x14ac:dyDescent="0.3">
      <c r="C136" s="1" t="s">
        <v>180</v>
      </c>
      <c r="D136" s="72"/>
      <c r="E136" s="48"/>
      <c r="F136" s="48"/>
      <c r="G136" s="48"/>
      <c r="H136" s="73"/>
      <c r="I136" s="74"/>
    </row>
    <row r="137" spans="2:11" x14ac:dyDescent="0.3">
      <c r="D137" s="48"/>
      <c r="E137" s="48"/>
      <c r="F137" s="73"/>
      <c r="G137" s="64"/>
      <c r="H137" s="84"/>
    </row>
    <row r="138" spans="2:11" x14ac:dyDescent="0.3">
      <c r="B138" s="21" t="s">
        <v>104</v>
      </c>
    </row>
    <row r="139" spans="2:11" x14ac:dyDescent="0.3">
      <c r="B139" s="11" t="s">
        <v>94</v>
      </c>
    </row>
    <row r="140" spans="2:11" x14ac:dyDescent="0.3">
      <c r="B140" s="43" t="s">
        <v>102</v>
      </c>
      <c r="C140" s="98"/>
    </row>
    <row r="141" spans="2:11" x14ac:dyDescent="0.3">
      <c r="B141" s="43" t="s">
        <v>103</v>
      </c>
    </row>
    <row r="142" spans="2:11" x14ac:dyDescent="0.3">
      <c r="B142" s="43"/>
    </row>
    <row r="143" spans="2:11" x14ac:dyDescent="0.3">
      <c r="B143" s="43"/>
      <c r="D143" s="85" t="s">
        <v>159</v>
      </c>
      <c r="E143" s="86" t="s">
        <v>176</v>
      </c>
      <c r="F143" s="85" t="s">
        <v>130</v>
      </c>
      <c r="G143" s="83"/>
    </row>
    <row r="144" spans="2:11" x14ac:dyDescent="0.3">
      <c r="B144" s="43"/>
      <c r="D144" s="87" t="s">
        <v>182</v>
      </c>
      <c r="E144" s="87" t="s">
        <v>3</v>
      </c>
      <c r="F144" s="87" t="s">
        <v>183</v>
      </c>
      <c r="G144" s="93"/>
    </row>
    <row r="145" spans="2:12" x14ac:dyDescent="0.3">
      <c r="B145" s="43"/>
      <c r="D145" s="52">
        <v>3000000</v>
      </c>
      <c r="E145" s="52">
        <v>6</v>
      </c>
      <c r="F145" s="62">
        <v>0.14000000000000001</v>
      </c>
      <c r="G145" s="74"/>
    </row>
    <row r="147" spans="2:12" x14ac:dyDescent="0.3">
      <c r="B147" s="18" t="s">
        <v>181</v>
      </c>
    </row>
    <row r="148" spans="2:12" x14ac:dyDescent="0.3">
      <c r="B148" s="11" t="s">
        <v>95</v>
      </c>
    </row>
    <row r="149" spans="2:12" x14ac:dyDescent="0.3">
      <c r="B149" s="11" t="s">
        <v>96</v>
      </c>
      <c r="I149" s="98"/>
    </row>
    <row r="151" spans="2:12" x14ac:dyDescent="0.3">
      <c r="B151" s="98" t="s">
        <v>102</v>
      </c>
    </row>
    <row r="153" spans="2:12" x14ac:dyDescent="0.3">
      <c r="C153" s="37" t="s">
        <v>97</v>
      </c>
      <c r="D153" s="38">
        <v>0</v>
      </c>
      <c r="E153" s="38">
        <v>1</v>
      </c>
      <c r="F153" s="38">
        <v>2</v>
      </c>
      <c r="G153" s="38">
        <v>3</v>
      </c>
      <c r="H153" s="38">
        <v>4</v>
      </c>
      <c r="I153" s="38">
        <v>5</v>
      </c>
      <c r="J153" s="38">
        <v>6</v>
      </c>
    </row>
    <row r="154" spans="2:12" x14ac:dyDescent="0.3">
      <c r="C154" s="39" t="s">
        <v>98</v>
      </c>
      <c r="D154" s="40">
        <v>3000</v>
      </c>
      <c r="E154" s="40">
        <f>D154-E155</f>
        <v>2648.527513026529</v>
      </c>
      <c r="F154" s="40">
        <f t="shared" ref="F154:J154" si="1">E154-F155</f>
        <v>2248.0550260530581</v>
      </c>
      <c r="G154" s="40">
        <f t="shared" si="1"/>
        <v>1791.5825390795874</v>
      </c>
      <c r="H154" s="40">
        <f t="shared" si="1"/>
        <v>1271.1100521061167</v>
      </c>
      <c r="I154" s="40">
        <f t="shared" si="1"/>
        <v>677.63756513264593</v>
      </c>
      <c r="J154" s="40">
        <f t="shared" si="1"/>
        <v>1.1650781591752093</v>
      </c>
    </row>
    <row r="155" spans="2:12" x14ac:dyDescent="0.3">
      <c r="C155" s="39" t="s">
        <v>99</v>
      </c>
      <c r="D155" s="42"/>
      <c r="E155" s="99">
        <f>E157-E156</f>
        <v>351.47248697347072</v>
      </c>
      <c r="F155" s="99">
        <f t="shared" ref="F155:J155" si="2">F157-F156</f>
        <v>400.47248697347072</v>
      </c>
      <c r="G155" s="99">
        <f t="shared" si="2"/>
        <v>456.47248697347072</v>
      </c>
      <c r="H155" s="99">
        <f t="shared" si="2"/>
        <v>520.47248697347072</v>
      </c>
      <c r="I155" s="99">
        <f t="shared" si="2"/>
        <v>593.47248697347072</v>
      </c>
      <c r="J155" s="99">
        <f t="shared" si="2"/>
        <v>676.47248697347072</v>
      </c>
    </row>
    <row r="156" spans="2:12" x14ac:dyDescent="0.3">
      <c r="C156" s="39" t="s">
        <v>100</v>
      </c>
      <c r="D156" s="42"/>
      <c r="E156" s="41">
        <v>420</v>
      </c>
      <c r="F156" s="41">
        <v>371</v>
      </c>
      <c r="G156" s="41">
        <v>315</v>
      </c>
      <c r="H156" s="41">
        <v>251</v>
      </c>
      <c r="I156" s="41">
        <v>178</v>
      </c>
      <c r="J156" s="41">
        <v>95</v>
      </c>
    </row>
    <row r="157" spans="2:12" x14ac:dyDescent="0.3">
      <c r="C157" s="39" t="s">
        <v>101</v>
      </c>
      <c r="D157" s="42"/>
      <c r="E157" s="99">
        <f>-PMT(F145,E145,D154)</f>
        <v>771.47248697347072</v>
      </c>
      <c r="F157" s="99">
        <f>E157</f>
        <v>771.47248697347072</v>
      </c>
      <c r="G157" s="99">
        <f t="shared" ref="G157:J157" si="3">F157</f>
        <v>771.47248697347072</v>
      </c>
      <c r="H157" s="99">
        <f t="shared" si="3"/>
        <v>771.47248697347072</v>
      </c>
      <c r="I157" s="99">
        <f t="shared" si="3"/>
        <v>771.47248697347072</v>
      </c>
      <c r="J157" s="99">
        <f t="shared" si="3"/>
        <v>771.47248697347072</v>
      </c>
      <c r="L157" s="47">
        <f>SUM(E157:K157)</f>
        <v>4628.8349218408248</v>
      </c>
    </row>
    <row r="158" spans="2:12" x14ac:dyDescent="0.3">
      <c r="C158" s="39"/>
      <c r="D158" s="42"/>
      <c r="E158" s="101">
        <f>E157/12</f>
        <v>64.289373914455894</v>
      </c>
      <c r="F158" s="101">
        <f t="shared" ref="F158:J158" si="4">F157/12</f>
        <v>64.289373914455894</v>
      </c>
      <c r="G158" s="101">
        <f t="shared" si="4"/>
        <v>64.289373914455894</v>
      </c>
      <c r="H158" s="101">
        <f t="shared" si="4"/>
        <v>64.289373914455894</v>
      </c>
      <c r="I158" s="101">
        <f t="shared" si="4"/>
        <v>64.289373914455894</v>
      </c>
      <c r="J158" s="101">
        <f t="shared" si="4"/>
        <v>64.289373914455894</v>
      </c>
      <c r="L158" s="47"/>
    </row>
    <row r="159" spans="2:12" x14ac:dyDescent="0.3">
      <c r="C159" s="39"/>
      <c r="D159" s="42"/>
      <c r="E159" s="41"/>
      <c r="F159" s="41"/>
      <c r="G159" s="41"/>
      <c r="H159" s="41"/>
      <c r="I159" s="41"/>
      <c r="J159" s="41"/>
    </row>
    <row r="160" spans="2:12" x14ac:dyDescent="0.3">
      <c r="B160" s="11" t="s">
        <v>103</v>
      </c>
      <c r="C160" s="39"/>
      <c r="D160" s="42"/>
      <c r="E160" s="41"/>
      <c r="F160" s="41"/>
      <c r="G160" s="41"/>
      <c r="H160" s="41"/>
      <c r="I160" s="41"/>
      <c r="J160" s="41"/>
    </row>
    <row r="162" spans="2:12" x14ac:dyDescent="0.3">
      <c r="C162" s="37" t="s">
        <v>97</v>
      </c>
      <c r="D162" s="38">
        <v>0</v>
      </c>
      <c r="E162" s="38">
        <v>1</v>
      </c>
      <c r="F162" s="38">
        <v>2</v>
      </c>
      <c r="G162" s="38">
        <v>3</v>
      </c>
      <c r="H162" s="38">
        <v>4</v>
      </c>
      <c r="I162" s="38">
        <v>5</v>
      </c>
      <c r="J162" s="38">
        <v>6</v>
      </c>
    </row>
    <row r="163" spans="2:12" x14ac:dyDescent="0.3">
      <c r="C163" s="39" t="s">
        <v>98</v>
      </c>
      <c r="D163" s="40">
        <v>3000</v>
      </c>
      <c r="E163" s="40">
        <f>D163-E164</f>
        <v>3000</v>
      </c>
      <c r="F163" s="40">
        <f t="shared" ref="F163:J163" si="5">E163-F164</f>
        <v>2400</v>
      </c>
      <c r="G163" s="40">
        <f t="shared" si="5"/>
        <v>1800</v>
      </c>
      <c r="H163" s="40">
        <f t="shared" si="5"/>
        <v>1200</v>
      </c>
      <c r="I163" s="40">
        <f t="shared" si="5"/>
        <v>600</v>
      </c>
      <c r="J163" s="40">
        <f t="shared" si="5"/>
        <v>0</v>
      </c>
    </row>
    <row r="164" spans="2:12" x14ac:dyDescent="0.3">
      <c r="C164" s="39" t="s">
        <v>99</v>
      </c>
      <c r="D164" s="42"/>
      <c r="E164" s="41">
        <v>0</v>
      </c>
      <c r="F164" s="41">
        <f>D163/5</f>
        <v>600</v>
      </c>
      <c r="G164" s="41">
        <f>F164</f>
        <v>600</v>
      </c>
      <c r="H164" s="41">
        <f t="shared" ref="H164:J164" si="6">G164</f>
        <v>600</v>
      </c>
      <c r="I164" s="41">
        <f t="shared" si="6"/>
        <v>600</v>
      </c>
      <c r="J164" s="41">
        <f t="shared" si="6"/>
        <v>600</v>
      </c>
    </row>
    <row r="165" spans="2:12" x14ac:dyDescent="0.3">
      <c r="C165" s="39" t="s">
        <v>100</v>
      </c>
      <c r="D165" s="42"/>
      <c r="E165" s="41">
        <f>$F145*D163</f>
        <v>420.00000000000006</v>
      </c>
      <c r="F165" s="41">
        <f t="shared" ref="F165:J165" si="7">$F145*E163</f>
        <v>420.00000000000006</v>
      </c>
      <c r="G165" s="41">
        <f t="shared" si="7"/>
        <v>336.00000000000006</v>
      </c>
      <c r="H165" s="41">
        <f t="shared" si="7"/>
        <v>252.00000000000003</v>
      </c>
      <c r="I165" s="41">
        <f t="shared" si="7"/>
        <v>168.00000000000003</v>
      </c>
      <c r="J165" s="41">
        <f t="shared" si="7"/>
        <v>84.000000000000014</v>
      </c>
    </row>
    <row r="166" spans="2:12" x14ac:dyDescent="0.3">
      <c r="C166" s="39" t="s">
        <v>101</v>
      </c>
      <c r="D166" s="42"/>
      <c r="E166" s="41">
        <f>E165+E164</f>
        <v>420.00000000000006</v>
      </c>
      <c r="F166" s="41">
        <f t="shared" ref="F166:J166" si="8">F165+F164</f>
        <v>1020</v>
      </c>
      <c r="G166" s="41">
        <f t="shared" si="8"/>
        <v>936</v>
      </c>
      <c r="H166" s="41">
        <f t="shared" si="8"/>
        <v>852</v>
      </c>
      <c r="I166" s="41">
        <f t="shared" si="8"/>
        <v>768</v>
      </c>
      <c r="J166" s="41">
        <f t="shared" si="8"/>
        <v>684</v>
      </c>
      <c r="L166" s="11">
        <f>SUM(E166:K166)</f>
        <v>4680</v>
      </c>
    </row>
    <row r="167" spans="2:12" x14ac:dyDescent="0.3">
      <c r="E167" s="101">
        <f>E166/12</f>
        <v>35.000000000000007</v>
      </c>
      <c r="F167" s="101">
        <f t="shared" ref="F167:J167" si="9">F166/12</f>
        <v>85</v>
      </c>
      <c r="G167" s="101">
        <f t="shared" si="9"/>
        <v>78</v>
      </c>
      <c r="H167" s="101">
        <f t="shared" si="9"/>
        <v>71</v>
      </c>
      <c r="I167" s="101">
        <f t="shared" si="9"/>
        <v>64</v>
      </c>
      <c r="J167" s="101">
        <f t="shared" si="9"/>
        <v>57</v>
      </c>
    </row>
    <row r="169" spans="2:12" x14ac:dyDescent="0.3">
      <c r="B169" s="18" t="s">
        <v>105</v>
      </c>
    </row>
    <row r="170" spans="2:12" x14ac:dyDescent="0.3">
      <c r="B170" s="11" t="s">
        <v>106</v>
      </c>
    </row>
    <row r="172" spans="2:12" ht="17.399999999999999" x14ac:dyDescent="0.3">
      <c r="C172" s="1" t="s">
        <v>184</v>
      </c>
    </row>
    <row r="174" spans="2:12" x14ac:dyDescent="0.3">
      <c r="B174" s="21" t="s">
        <v>109</v>
      </c>
    </row>
    <row r="175" spans="2:12" x14ac:dyDescent="0.3">
      <c r="B175" s="11" t="s">
        <v>108</v>
      </c>
    </row>
    <row r="176" spans="2:12" x14ac:dyDescent="0.3">
      <c r="B176" s="11" t="s">
        <v>107</v>
      </c>
    </row>
    <row r="178" spans="2:12" x14ac:dyDescent="0.3">
      <c r="D178" s="85" t="s">
        <v>159</v>
      </c>
      <c r="E178" s="86" t="s">
        <v>176</v>
      </c>
      <c r="F178" s="85" t="s">
        <v>130</v>
      </c>
      <c r="G178" s="85" t="s">
        <v>159</v>
      </c>
    </row>
    <row r="179" spans="2:12" x14ac:dyDescent="0.3">
      <c r="D179" s="87" t="s">
        <v>182</v>
      </c>
      <c r="E179" s="87" t="s">
        <v>3</v>
      </c>
      <c r="F179" s="87" t="s">
        <v>183</v>
      </c>
      <c r="G179" s="87" t="s">
        <v>185</v>
      </c>
    </row>
    <row r="180" spans="2:12" x14ac:dyDescent="0.3">
      <c r="D180" s="52">
        <v>3000</v>
      </c>
      <c r="E180" s="52">
        <v>6</v>
      </c>
      <c r="F180" s="62">
        <v>0.14000000000000001</v>
      </c>
      <c r="G180" s="52">
        <v>1000</v>
      </c>
    </row>
    <row r="182" spans="2:12" x14ac:dyDescent="0.3">
      <c r="B182" s="18" t="s">
        <v>113</v>
      </c>
    </row>
    <row r="184" spans="2:12" x14ac:dyDescent="0.3">
      <c r="C184" s="37" t="s">
        <v>86</v>
      </c>
      <c r="D184" s="38">
        <v>0</v>
      </c>
      <c r="E184" s="38">
        <v>1</v>
      </c>
      <c r="F184" s="38">
        <v>2</v>
      </c>
      <c r="G184" s="38">
        <v>3</v>
      </c>
      <c r="H184" s="38">
        <v>4</v>
      </c>
      <c r="I184" s="38">
        <v>5</v>
      </c>
      <c r="J184" s="38">
        <v>6</v>
      </c>
    </row>
    <row r="185" spans="2:12" x14ac:dyDescent="0.3">
      <c r="C185" s="39" t="s">
        <v>110</v>
      </c>
      <c r="D185" s="40">
        <v>3000</v>
      </c>
      <c r="E185" s="40">
        <f>D185-E186</f>
        <v>2765.6850086843529</v>
      </c>
      <c r="F185" s="40">
        <f t="shared" ref="F185:J185" si="10">E185-F186</f>
        <v>2498.5659185845152</v>
      </c>
      <c r="G185" s="40">
        <f t="shared" si="10"/>
        <v>2194.0501558707001</v>
      </c>
      <c r="H185" s="40">
        <f t="shared" si="10"/>
        <v>1846.902186376951</v>
      </c>
      <c r="I185" s="40">
        <f t="shared" si="10"/>
        <v>1451.153501154077</v>
      </c>
      <c r="J185" s="40">
        <f t="shared" si="10"/>
        <v>1000.0000000000007</v>
      </c>
    </row>
    <row r="186" spans="2:12" x14ac:dyDescent="0.3">
      <c r="C186" s="39" t="s">
        <v>99</v>
      </c>
      <c r="D186" s="42"/>
      <c r="E186" s="99">
        <f>E189-E187</f>
        <v>234.31499131564709</v>
      </c>
      <c r="F186" s="99">
        <f t="shared" ref="F186:J186" si="11">F189-F187</f>
        <v>267.11909009983771</v>
      </c>
      <c r="G186" s="99">
        <f t="shared" si="11"/>
        <v>304.51576271381498</v>
      </c>
      <c r="H186" s="99">
        <f t="shared" si="11"/>
        <v>347.14796949374909</v>
      </c>
      <c r="I186" s="99">
        <f t="shared" si="11"/>
        <v>395.74868522287397</v>
      </c>
      <c r="J186" s="99">
        <f t="shared" si="11"/>
        <v>451.15350115407637</v>
      </c>
    </row>
    <row r="187" spans="2:12" x14ac:dyDescent="0.3">
      <c r="C187" s="39" t="s">
        <v>100</v>
      </c>
      <c r="D187" s="42"/>
      <c r="E187" s="99">
        <f>$F180*D185</f>
        <v>420.00000000000006</v>
      </c>
      <c r="F187" s="99">
        <f t="shared" ref="F187:J187" si="12">$F180*E185</f>
        <v>387.19590121580944</v>
      </c>
      <c r="G187" s="99">
        <f t="shared" si="12"/>
        <v>349.79922860183217</v>
      </c>
      <c r="H187" s="99">
        <f t="shared" si="12"/>
        <v>307.16702182189806</v>
      </c>
      <c r="I187" s="99">
        <f t="shared" si="12"/>
        <v>258.56630609277317</v>
      </c>
      <c r="J187" s="99">
        <f t="shared" si="12"/>
        <v>203.16149016157081</v>
      </c>
    </row>
    <row r="188" spans="2:12" x14ac:dyDescent="0.3">
      <c r="C188" s="39" t="s">
        <v>111</v>
      </c>
      <c r="D188" s="42"/>
      <c r="E188" s="42"/>
      <c r="F188" s="42"/>
      <c r="G188" s="42"/>
      <c r="H188" s="42"/>
      <c r="I188" s="42"/>
      <c r="J188" s="40">
        <v>1000</v>
      </c>
      <c r="K188" s="20"/>
      <c r="L188" s="47">
        <f>L189+J188</f>
        <v>4925.8899478938829</v>
      </c>
    </row>
    <row r="189" spans="2:12" x14ac:dyDescent="0.3">
      <c r="C189" s="39" t="s">
        <v>101</v>
      </c>
      <c r="D189" s="42"/>
      <c r="E189" s="99">
        <f>PMT(F180,E180,-D180,G180)</f>
        <v>654.31499131564715</v>
      </c>
      <c r="F189" s="99">
        <f>E189</f>
        <v>654.31499131564715</v>
      </c>
      <c r="G189" s="99">
        <f t="shared" ref="G189:J189" si="13">F189</f>
        <v>654.31499131564715</v>
      </c>
      <c r="H189" s="99">
        <f t="shared" si="13"/>
        <v>654.31499131564715</v>
      </c>
      <c r="I189" s="99">
        <f t="shared" si="13"/>
        <v>654.31499131564715</v>
      </c>
      <c r="J189" s="99">
        <f t="shared" si="13"/>
        <v>654.31499131564715</v>
      </c>
      <c r="L189" s="47">
        <f>SUM(E189:K189)</f>
        <v>3925.8899478938829</v>
      </c>
    </row>
    <row r="190" spans="2:12" x14ac:dyDescent="0.3">
      <c r="C190" s="39"/>
      <c r="D190" s="42"/>
      <c r="E190" s="101">
        <f>E189/12</f>
        <v>54.526249276303929</v>
      </c>
      <c r="F190" s="101">
        <f t="shared" ref="F190:J190" si="14">F189/12</f>
        <v>54.526249276303929</v>
      </c>
      <c r="G190" s="101">
        <f t="shared" si="14"/>
        <v>54.526249276303929</v>
      </c>
      <c r="H190" s="101">
        <f t="shared" si="14"/>
        <v>54.526249276303929</v>
      </c>
      <c r="I190" s="101">
        <f t="shared" si="14"/>
        <v>54.526249276303929</v>
      </c>
      <c r="J190" s="101">
        <f t="shared" si="14"/>
        <v>54.526249276303929</v>
      </c>
      <c r="L190" s="47"/>
    </row>
    <row r="192" spans="2:12" ht="17.399999999999999" x14ac:dyDescent="0.3">
      <c r="B192" s="2" t="s">
        <v>112</v>
      </c>
    </row>
  </sheetData>
  <mergeCells count="11">
    <mergeCell ref="J17:K17"/>
    <mergeCell ref="J26:K26"/>
    <mergeCell ref="H16:K16"/>
    <mergeCell ref="H25:K25"/>
    <mergeCell ref="G36:H36"/>
    <mergeCell ref="I86:J86"/>
    <mergeCell ref="H26:I26"/>
    <mergeCell ref="G50:H50"/>
    <mergeCell ref="G64:H64"/>
    <mergeCell ref="E64:E65"/>
    <mergeCell ref="F64:F6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2FDF-DF1D-481F-8CA4-64366332FD52}">
  <dimension ref="A1:R397"/>
  <sheetViews>
    <sheetView topLeftCell="A316" zoomScaleNormal="100" workbookViewId="0">
      <selection activeCell="H14" sqref="H14"/>
    </sheetView>
  </sheetViews>
  <sheetFormatPr defaultRowHeight="14.4" x14ac:dyDescent="0.3"/>
  <cols>
    <col min="1" max="1" width="5" customWidth="1"/>
    <col min="2" max="2" width="16.77734375" customWidth="1"/>
    <col min="3" max="3" width="18.109375" customWidth="1"/>
    <col min="4" max="4" width="15.88671875" customWidth="1"/>
    <col min="5" max="6" width="20" customWidth="1"/>
    <col min="7" max="7" width="19.21875" customWidth="1"/>
    <col min="8" max="8" width="15.5546875" customWidth="1"/>
    <col min="9" max="9" width="10.6640625" customWidth="1"/>
    <col min="10" max="12" width="10.21875" customWidth="1"/>
    <col min="13" max="13" width="8.5546875" customWidth="1"/>
    <col min="14" max="14" width="9.33203125" customWidth="1"/>
    <col min="15" max="15" width="9.6640625" customWidth="1"/>
    <col min="16" max="16" width="9" customWidth="1"/>
    <col min="17" max="18" width="8.5546875" customWidth="1"/>
  </cols>
  <sheetData>
    <row r="1" spans="2:10" ht="23.4" x14ac:dyDescent="0.45">
      <c r="D1" s="6" t="s">
        <v>51</v>
      </c>
    </row>
    <row r="3" spans="2:10" ht="18" x14ac:dyDescent="0.3">
      <c r="B3" s="105" t="s">
        <v>186</v>
      </c>
      <c r="C3" s="11"/>
    </row>
    <row r="4" spans="2:10" ht="15.6" x14ac:dyDescent="0.3">
      <c r="B4" s="11"/>
      <c r="C4" s="11"/>
    </row>
    <row r="5" spans="2:10" ht="15.6" x14ac:dyDescent="0.3">
      <c r="B5" s="30" t="s">
        <v>282</v>
      </c>
      <c r="C5" s="11"/>
    </row>
    <row r="6" spans="2:10" ht="15.6" x14ac:dyDescent="0.3">
      <c r="B6" s="11" t="s">
        <v>187</v>
      </c>
      <c r="C6" s="11"/>
    </row>
    <row r="7" spans="2:10" ht="15.6" x14ac:dyDescent="0.3">
      <c r="B7" s="11" t="s">
        <v>188</v>
      </c>
      <c r="C7" s="11"/>
    </row>
    <row r="8" spans="2:10" ht="15.6" x14ac:dyDescent="0.3">
      <c r="B8" s="11"/>
      <c r="C8" s="11"/>
    </row>
    <row r="9" spans="2:10" ht="15.6" x14ac:dyDescent="0.3">
      <c r="B9" s="113" t="s">
        <v>3</v>
      </c>
      <c r="C9" s="113" t="s">
        <v>15</v>
      </c>
      <c r="D9" s="113" t="s">
        <v>17</v>
      </c>
      <c r="E9" s="113" t="s">
        <v>5</v>
      </c>
      <c r="F9" s="10"/>
      <c r="G9" s="113" t="s">
        <v>3</v>
      </c>
      <c r="H9" s="113" t="s">
        <v>15</v>
      </c>
      <c r="I9" s="113" t="s">
        <v>17</v>
      </c>
      <c r="J9" s="113" t="s">
        <v>4</v>
      </c>
    </row>
    <row r="10" spans="2:10" ht="18" x14ac:dyDescent="0.3">
      <c r="B10" s="14">
        <v>3</v>
      </c>
      <c r="C10" s="14">
        <v>15</v>
      </c>
      <c r="D10" s="115">
        <v>1000</v>
      </c>
      <c r="E10" s="115">
        <f>D10*(1+C10%)^B10</f>
        <v>1520.8749999999995</v>
      </c>
      <c r="G10" s="14">
        <v>3</v>
      </c>
      <c r="H10" s="14">
        <v>20</v>
      </c>
      <c r="I10" s="115">
        <v>1000</v>
      </c>
      <c r="J10" s="115">
        <f>I10*(1+H10%*G10)</f>
        <v>1600</v>
      </c>
    </row>
    <row r="11" spans="2:10" ht="15.6" x14ac:dyDescent="0.3">
      <c r="B11" s="11"/>
      <c r="C11" s="11"/>
    </row>
    <row r="12" spans="2:10" ht="15.6" x14ac:dyDescent="0.3">
      <c r="B12" s="30" t="s">
        <v>283</v>
      </c>
      <c r="C12" s="11"/>
    </row>
    <row r="13" spans="2:10" ht="15.6" x14ac:dyDescent="0.3">
      <c r="B13" s="103" t="s">
        <v>189</v>
      </c>
      <c r="C13" s="11"/>
    </row>
    <row r="14" spans="2:10" ht="15.6" x14ac:dyDescent="0.3">
      <c r="B14" s="11"/>
      <c r="C14" s="11"/>
    </row>
    <row r="15" spans="2:10" ht="15.6" x14ac:dyDescent="0.3">
      <c r="B15" s="30" t="s">
        <v>284</v>
      </c>
      <c r="C15" s="11"/>
    </row>
    <row r="16" spans="2:10" ht="15.6" x14ac:dyDescent="0.3">
      <c r="B16" s="11" t="s">
        <v>190</v>
      </c>
      <c r="C16" s="11"/>
    </row>
    <row r="17" spans="2:7" ht="15.6" x14ac:dyDescent="0.3">
      <c r="B17" s="11" t="s">
        <v>191</v>
      </c>
      <c r="C17" s="11"/>
    </row>
    <row r="18" spans="2:7" ht="15.6" x14ac:dyDescent="0.3">
      <c r="B18" s="11"/>
      <c r="C18" s="11"/>
    </row>
    <row r="19" spans="2:7" ht="15.6" x14ac:dyDescent="0.3">
      <c r="B19" s="11"/>
      <c r="C19" s="11"/>
      <c r="F19" s="16" t="s">
        <v>24</v>
      </c>
    </row>
    <row r="20" spans="2:7" ht="15.6" x14ac:dyDescent="0.3">
      <c r="B20" s="112" t="s">
        <v>3</v>
      </c>
      <c r="C20" s="112" t="s">
        <v>15</v>
      </c>
      <c r="D20" s="112" t="s">
        <v>16</v>
      </c>
      <c r="E20" s="112" t="s">
        <v>18</v>
      </c>
      <c r="F20" s="112" t="s">
        <v>18</v>
      </c>
    </row>
    <row r="21" spans="2:7" ht="18" x14ac:dyDescent="0.3">
      <c r="B21" s="14">
        <v>25</v>
      </c>
      <c r="C21" s="14">
        <v>3</v>
      </c>
      <c r="D21" s="115">
        <v>350000</v>
      </c>
      <c r="E21" s="115">
        <f>D21/(1+C21%)^B21</f>
        <v>167161.94924158088</v>
      </c>
      <c r="F21" s="115">
        <f>-PV(C21%,B21,0,D21)</f>
        <v>167161.94924158088</v>
      </c>
    </row>
    <row r="22" spans="2:7" ht="15.6" x14ac:dyDescent="0.3">
      <c r="B22" s="11"/>
      <c r="C22" s="11"/>
    </row>
    <row r="23" spans="2:7" ht="15.6" x14ac:dyDescent="0.3">
      <c r="B23" s="30" t="s">
        <v>285</v>
      </c>
      <c r="C23" s="11"/>
    </row>
    <row r="24" spans="2:7" ht="15.6" x14ac:dyDescent="0.3">
      <c r="B24" s="11"/>
      <c r="C24" s="11"/>
    </row>
    <row r="25" spans="2:7" ht="15.6" x14ac:dyDescent="0.3">
      <c r="B25" s="30" t="s">
        <v>286</v>
      </c>
      <c r="C25" s="11"/>
    </row>
    <row r="26" spans="2:7" ht="15.6" x14ac:dyDescent="0.3">
      <c r="B26" s="11" t="s">
        <v>192</v>
      </c>
      <c r="C26" s="11"/>
    </row>
    <row r="27" spans="2:7" ht="15.6" x14ac:dyDescent="0.3">
      <c r="B27" s="11"/>
      <c r="C27" s="11"/>
    </row>
    <row r="28" spans="2:7" ht="15.6" x14ac:dyDescent="0.3">
      <c r="B28" s="102" t="s">
        <v>242</v>
      </c>
      <c r="C28" s="11"/>
    </row>
    <row r="29" spans="2:7" ht="15.6" x14ac:dyDescent="0.3">
      <c r="B29" s="11"/>
      <c r="C29" s="11"/>
    </row>
    <row r="30" spans="2:7" ht="15.6" x14ac:dyDescent="0.3">
      <c r="B30" s="112" t="s">
        <v>3</v>
      </c>
      <c r="C30" s="112" t="s">
        <v>15</v>
      </c>
      <c r="D30" s="112" t="s">
        <v>287</v>
      </c>
      <c r="E30" s="112" t="s">
        <v>288</v>
      </c>
      <c r="F30" s="112" t="s">
        <v>290</v>
      </c>
      <c r="G30" s="112" t="s">
        <v>289</v>
      </c>
    </row>
    <row r="31" spans="2:7" ht="18" x14ac:dyDescent="0.3">
      <c r="B31" s="14">
        <v>6</v>
      </c>
      <c r="C31" s="14">
        <v>3</v>
      </c>
      <c r="D31" s="114">
        <v>3000000</v>
      </c>
      <c r="E31" s="114">
        <v>1500000</v>
      </c>
      <c r="F31" s="114">
        <f>D31+E31</f>
        <v>4500000</v>
      </c>
      <c r="G31" s="23">
        <f>(F31/D31)^(1/B31)-1</f>
        <v>6.991319393366302E-2</v>
      </c>
    </row>
    <row r="32" spans="2:7" ht="15.6" x14ac:dyDescent="0.3">
      <c r="B32" s="11"/>
      <c r="C32" s="11"/>
    </row>
    <row r="33" spans="2:7" ht="15.6" x14ac:dyDescent="0.3">
      <c r="B33" s="30" t="s">
        <v>260</v>
      </c>
      <c r="C33" s="11"/>
    </row>
    <row r="34" spans="2:7" ht="15.6" x14ac:dyDescent="0.3">
      <c r="B34" s="11" t="s">
        <v>193</v>
      </c>
      <c r="C34" s="11"/>
    </row>
    <row r="35" spans="2:7" ht="15.6" x14ac:dyDescent="0.3">
      <c r="B35" s="11"/>
      <c r="C35" s="11"/>
    </row>
    <row r="36" spans="2:7" ht="15.6" x14ac:dyDescent="0.3">
      <c r="B36" s="103" t="s">
        <v>259</v>
      </c>
      <c r="C36" s="11"/>
    </row>
    <row r="37" spans="2:7" ht="15.6" x14ac:dyDescent="0.3">
      <c r="B37" s="11" t="s">
        <v>194</v>
      </c>
      <c r="C37" s="11"/>
    </row>
    <row r="38" spans="2:7" ht="15.6" x14ac:dyDescent="0.3">
      <c r="B38" s="11"/>
      <c r="C38" s="11"/>
    </row>
    <row r="39" spans="2:7" ht="18" x14ac:dyDescent="0.3">
      <c r="B39" s="112" t="s">
        <v>3</v>
      </c>
      <c r="C39" s="112" t="s">
        <v>15</v>
      </c>
      <c r="D39" s="112" t="s">
        <v>182</v>
      </c>
      <c r="E39" s="112" t="s">
        <v>291</v>
      </c>
      <c r="F39" s="112" t="s">
        <v>292</v>
      </c>
      <c r="G39" s="17"/>
    </row>
    <row r="40" spans="2:7" ht="18" x14ac:dyDescent="0.3">
      <c r="B40" s="14">
        <v>2</v>
      </c>
      <c r="C40" s="24">
        <v>0.14000000000000001</v>
      </c>
      <c r="D40" s="115">
        <v>150000</v>
      </c>
      <c r="E40" s="115">
        <f>D40*(1+C40)^2</f>
        <v>194940.00000000006</v>
      </c>
      <c r="F40" s="115">
        <f>E40-D40</f>
        <v>44940.000000000058</v>
      </c>
      <c r="G40" s="108"/>
    </row>
    <row r="41" spans="2:7" ht="15.6" x14ac:dyDescent="0.3">
      <c r="B41" s="11"/>
      <c r="C41" s="11"/>
    </row>
    <row r="42" spans="2:7" ht="15.6" x14ac:dyDescent="0.3">
      <c r="B42" s="30" t="s">
        <v>258</v>
      </c>
      <c r="C42" s="11"/>
    </row>
    <row r="43" spans="2:7" ht="15.6" x14ac:dyDescent="0.3">
      <c r="B43" s="11" t="s">
        <v>195</v>
      </c>
      <c r="C43" s="11"/>
    </row>
    <row r="44" spans="2:7" ht="15.6" x14ac:dyDescent="0.3">
      <c r="B44" s="11"/>
      <c r="C44" s="11"/>
    </row>
    <row r="45" spans="2:7" ht="15.6" x14ac:dyDescent="0.3">
      <c r="B45" s="30" t="s">
        <v>257</v>
      </c>
      <c r="C45" s="11"/>
    </row>
    <row r="46" spans="2:7" ht="15.6" x14ac:dyDescent="0.3">
      <c r="B46" s="11" t="s">
        <v>196</v>
      </c>
      <c r="C46" s="11"/>
    </row>
    <row r="47" spans="2:7" ht="15.6" x14ac:dyDescent="0.3">
      <c r="B47" s="11"/>
      <c r="C47" s="11"/>
    </row>
    <row r="48" spans="2:7" ht="15.6" x14ac:dyDescent="0.3">
      <c r="B48" s="112" t="s">
        <v>3</v>
      </c>
      <c r="C48" s="112" t="s">
        <v>15</v>
      </c>
      <c r="D48" s="112" t="s">
        <v>182</v>
      </c>
      <c r="E48" s="112" t="s">
        <v>291</v>
      </c>
      <c r="F48" s="112" t="s">
        <v>292</v>
      </c>
      <c r="G48" s="112" t="s">
        <v>293</v>
      </c>
    </row>
    <row r="49" spans="2:8" ht="18" x14ac:dyDescent="0.35">
      <c r="B49" s="14">
        <v>2</v>
      </c>
      <c r="C49" s="24">
        <v>0.14000000000000001</v>
      </c>
      <c r="D49" s="115">
        <v>150000</v>
      </c>
      <c r="E49" s="115">
        <f>D49*(1+C49/12)^(2*12)</f>
        <v>198148.06501530399</v>
      </c>
      <c r="F49" s="115">
        <f>E49-D49</f>
        <v>48148.06501530399</v>
      </c>
      <c r="G49" s="110">
        <f>F49/D49/100%</f>
        <v>0.32098710010202658</v>
      </c>
    </row>
    <row r="50" spans="2:8" ht="18" x14ac:dyDescent="0.35">
      <c r="B50" s="15"/>
      <c r="C50" s="109"/>
      <c r="D50" s="15"/>
      <c r="E50" s="15"/>
      <c r="F50" s="15"/>
      <c r="G50" s="111"/>
    </row>
    <row r="51" spans="2:8" ht="15.6" x14ac:dyDescent="0.3">
      <c r="B51" s="30" t="s">
        <v>256</v>
      </c>
      <c r="C51" s="11"/>
    </row>
    <row r="52" spans="2:8" ht="15.6" x14ac:dyDescent="0.3">
      <c r="B52" s="11" t="s">
        <v>197</v>
      </c>
      <c r="C52" s="11"/>
    </row>
    <row r="53" spans="2:8" ht="15.6" x14ac:dyDescent="0.3">
      <c r="B53" s="11"/>
      <c r="C53" s="11"/>
    </row>
    <row r="54" spans="2:8" ht="15.6" x14ac:dyDescent="0.3">
      <c r="B54" s="107" t="s">
        <v>255</v>
      </c>
      <c r="C54" s="11"/>
    </row>
    <row r="55" spans="2:8" ht="15.6" x14ac:dyDescent="0.3">
      <c r="B55" s="11"/>
      <c r="C55" s="11"/>
    </row>
    <row r="56" spans="2:8" x14ac:dyDescent="0.3">
      <c r="B56" s="125" t="s">
        <v>3</v>
      </c>
      <c r="C56" s="125" t="s">
        <v>312</v>
      </c>
      <c r="D56" s="125" t="s">
        <v>294</v>
      </c>
      <c r="E56" s="125" t="s">
        <v>296</v>
      </c>
      <c r="F56" s="125" t="s">
        <v>295</v>
      </c>
    </row>
    <row r="57" spans="2:8" ht="18" x14ac:dyDescent="0.3">
      <c r="B57" s="14">
        <v>7</v>
      </c>
      <c r="C57" s="24">
        <v>0.12</v>
      </c>
      <c r="D57" s="114">
        <v>30000000</v>
      </c>
      <c r="E57" s="14">
        <v>4</v>
      </c>
      <c r="F57" s="114">
        <f>D57/(1+C57/E57)^(B57*E57)</f>
        <v>13112302.595112767</v>
      </c>
    </row>
    <row r="58" spans="2:8" ht="15.6" x14ac:dyDescent="0.3">
      <c r="B58" s="11"/>
      <c r="C58" s="11"/>
    </row>
    <row r="59" spans="2:8" ht="15.6" x14ac:dyDescent="0.3">
      <c r="B59" s="30" t="s">
        <v>254</v>
      </c>
      <c r="C59" s="11"/>
    </row>
    <row r="60" spans="2:8" ht="15.6" x14ac:dyDescent="0.3">
      <c r="B60" s="11"/>
      <c r="C60" s="11"/>
    </row>
    <row r="61" spans="2:8" ht="15.6" x14ac:dyDescent="0.3">
      <c r="B61" s="30" t="s">
        <v>253</v>
      </c>
      <c r="C61" s="11"/>
      <c r="F61" s="93" t="s">
        <v>162</v>
      </c>
      <c r="G61" s="93" t="s">
        <v>164</v>
      </c>
      <c r="H61" s="93" t="s">
        <v>163</v>
      </c>
    </row>
    <row r="62" spans="2:8" ht="15.6" x14ac:dyDescent="0.3">
      <c r="B62" s="11"/>
      <c r="C62" s="11"/>
    </row>
    <row r="63" spans="2:8" ht="15.6" x14ac:dyDescent="0.3">
      <c r="B63" s="112" t="s">
        <v>3</v>
      </c>
      <c r="C63" s="70" t="s">
        <v>297</v>
      </c>
      <c r="D63" s="70" t="s">
        <v>298</v>
      </c>
      <c r="F63" s="112" t="s">
        <v>3</v>
      </c>
      <c r="G63" s="70" t="s">
        <v>297</v>
      </c>
      <c r="H63" s="70" t="s">
        <v>298</v>
      </c>
    </row>
    <row r="64" spans="2:8" ht="18" x14ac:dyDescent="0.3">
      <c r="B64" s="14">
        <v>5</v>
      </c>
      <c r="C64" s="7">
        <v>2</v>
      </c>
      <c r="D64" s="23">
        <f>C64^(1/B64)-1</f>
        <v>0.1486983549970351</v>
      </c>
      <c r="F64" s="14">
        <v>5</v>
      </c>
      <c r="G64" s="22">
        <f>(1+H64)^F64</f>
        <v>1.9996680300004666</v>
      </c>
      <c r="H64" s="23">
        <v>0.14866021912572075</v>
      </c>
    </row>
    <row r="65" spans="2:5" ht="15.6" x14ac:dyDescent="0.3">
      <c r="B65" s="11"/>
      <c r="C65" s="11"/>
    </row>
    <row r="66" spans="2:5" ht="15.6" x14ac:dyDescent="0.3">
      <c r="B66" s="30" t="s">
        <v>252</v>
      </c>
      <c r="C66" s="11"/>
    </row>
    <row r="67" spans="2:5" ht="15.6" x14ac:dyDescent="0.3">
      <c r="B67" s="11" t="s">
        <v>198</v>
      </c>
      <c r="C67" s="11"/>
    </row>
    <row r="68" spans="2:5" ht="15.6" x14ac:dyDescent="0.3">
      <c r="B68" s="11"/>
      <c r="C68" s="11"/>
    </row>
    <row r="69" spans="2:5" ht="15.6" x14ac:dyDescent="0.3">
      <c r="B69" s="30" t="s">
        <v>251</v>
      </c>
      <c r="C69" s="11"/>
    </row>
    <row r="70" spans="2:5" ht="15.6" x14ac:dyDescent="0.3">
      <c r="B70" s="30"/>
      <c r="C70" s="11"/>
    </row>
    <row r="71" spans="2:5" ht="15.6" x14ac:dyDescent="0.3">
      <c r="B71" s="112" t="s">
        <v>3</v>
      </c>
      <c r="C71" s="70" t="s">
        <v>300</v>
      </c>
      <c r="D71" s="112" t="s">
        <v>299</v>
      </c>
      <c r="E71" s="70" t="s">
        <v>301</v>
      </c>
    </row>
    <row r="72" spans="2:5" ht="18" x14ac:dyDescent="0.3">
      <c r="B72" s="14">
        <v>15</v>
      </c>
      <c r="C72" s="24">
        <v>0.12</v>
      </c>
      <c r="D72" s="114">
        <v>2500000</v>
      </c>
      <c r="E72" s="114">
        <f>D72*(1+C72)^B72</f>
        <v>13683914.398142608</v>
      </c>
    </row>
    <row r="73" spans="2:5" ht="15.6" x14ac:dyDescent="0.3">
      <c r="B73" s="11"/>
      <c r="C73" s="11"/>
    </row>
    <row r="74" spans="2:5" ht="18" x14ac:dyDescent="0.35">
      <c r="B74" s="4" t="s">
        <v>199</v>
      </c>
      <c r="C74" s="11"/>
    </row>
    <row r="75" spans="2:5" ht="15.6" x14ac:dyDescent="0.3">
      <c r="B75" s="11"/>
      <c r="C75" s="11"/>
    </row>
    <row r="76" spans="2:5" ht="15.6" x14ac:dyDescent="0.3">
      <c r="B76" s="30" t="s">
        <v>250</v>
      </c>
      <c r="C76" s="11"/>
    </row>
    <row r="77" spans="2:5" ht="15.6" x14ac:dyDescent="0.3">
      <c r="B77" s="11" t="s">
        <v>200</v>
      </c>
      <c r="C77" s="11"/>
    </row>
    <row r="78" spans="2:5" ht="15.6" x14ac:dyDescent="0.3">
      <c r="B78" s="11"/>
      <c r="C78" s="11"/>
    </row>
    <row r="79" spans="2:5" ht="15.6" x14ac:dyDescent="0.3">
      <c r="B79" s="28" t="s">
        <v>249</v>
      </c>
      <c r="C79" s="11"/>
    </row>
    <row r="80" spans="2:5" ht="15.6" x14ac:dyDescent="0.3">
      <c r="B80" s="11" t="s">
        <v>201</v>
      </c>
      <c r="C80" s="11"/>
    </row>
    <row r="81" spans="2:7" ht="15.6" x14ac:dyDescent="0.3">
      <c r="B81" s="11"/>
      <c r="C81" s="11"/>
    </row>
    <row r="82" spans="2:7" ht="15.6" x14ac:dyDescent="0.3">
      <c r="B82" s="112" t="s">
        <v>302</v>
      </c>
      <c r="C82" s="112" t="s">
        <v>303</v>
      </c>
      <c r="D82" s="112" t="s">
        <v>304</v>
      </c>
      <c r="E82" s="112" t="s">
        <v>313</v>
      </c>
    </row>
    <row r="83" spans="2:7" ht="18" x14ac:dyDescent="0.35">
      <c r="B83" s="14">
        <v>365</v>
      </c>
      <c r="C83" s="23">
        <v>5.0000000000000001E-3</v>
      </c>
      <c r="D83" s="116">
        <f>1*(1+C83)^B83</f>
        <v>6.1746527834309033</v>
      </c>
      <c r="E83" s="127">
        <f>D83-1</f>
        <v>5.1746527834309033</v>
      </c>
    </row>
    <row r="84" spans="2:7" ht="15.6" x14ac:dyDescent="0.3">
      <c r="B84" s="11"/>
      <c r="C84" s="11"/>
    </row>
    <row r="85" spans="2:7" ht="15.6" x14ac:dyDescent="0.3">
      <c r="B85" s="30" t="s">
        <v>248</v>
      </c>
      <c r="C85" s="11"/>
    </row>
    <row r="86" spans="2:7" ht="15.6" x14ac:dyDescent="0.3">
      <c r="B86" s="11" t="s">
        <v>202</v>
      </c>
      <c r="C86" s="11"/>
    </row>
    <row r="87" spans="2:7" ht="15.6" x14ac:dyDescent="0.3">
      <c r="C87" s="11"/>
    </row>
    <row r="88" spans="2:7" ht="15.6" x14ac:dyDescent="0.3">
      <c r="B88" s="112" t="s">
        <v>3</v>
      </c>
      <c r="C88" s="70" t="s">
        <v>306</v>
      </c>
      <c r="D88" s="70" t="s">
        <v>305</v>
      </c>
      <c r="E88" s="70" t="s">
        <v>314</v>
      </c>
      <c r="G88" s="30" t="s">
        <v>247</v>
      </c>
    </row>
    <row r="89" spans="2:7" ht="18" x14ac:dyDescent="0.3">
      <c r="B89" s="14">
        <v>1</v>
      </c>
      <c r="C89" s="24">
        <v>7.0000000000000007E-2</v>
      </c>
      <c r="D89" s="24">
        <v>0.18</v>
      </c>
      <c r="E89" s="23">
        <f xml:space="preserve"> (1+D89)/(1+C89)-1</f>
        <v>0.10280373831775691</v>
      </c>
      <c r="G89" s="30" t="s">
        <v>203</v>
      </c>
    </row>
    <row r="90" spans="2:7" ht="15.6" x14ac:dyDescent="0.3">
      <c r="G90" s="30" t="s">
        <v>204</v>
      </c>
    </row>
    <row r="91" spans="2:7" ht="18" x14ac:dyDescent="0.3">
      <c r="B91" s="15"/>
      <c r="C91" s="109"/>
      <c r="D91" s="117"/>
      <c r="E91" s="120"/>
    </row>
    <row r="92" spans="2:7" ht="15.6" x14ac:dyDescent="0.3">
      <c r="B92" s="30" t="s">
        <v>243</v>
      </c>
      <c r="C92" s="11"/>
    </row>
    <row r="93" spans="2:7" ht="15.6" x14ac:dyDescent="0.3">
      <c r="B93" s="11" t="s">
        <v>205</v>
      </c>
      <c r="C93" s="11"/>
    </row>
    <row r="94" spans="2:7" ht="15.6" x14ac:dyDescent="0.3">
      <c r="B94" s="11"/>
      <c r="C94" s="11"/>
    </row>
    <row r="95" spans="2:7" ht="15.6" x14ac:dyDescent="0.3">
      <c r="B95" s="30" t="s">
        <v>244</v>
      </c>
      <c r="C95" s="11"/>
    </row>
    <row r="96" spans="2:7" ht="15.6" x14ac:dyDescent="0.3">
      <c r="B96" s="103" t="s">
        <v>206</v>
      </c>
      <c r="C96" s="11"/>
    </row>
    <row r="97" spans="2:6" ht="15.6" x14ac:dyDescent="0.3">
      <c r="B97" s="11" t="s">
        <v>207</v>
      </c>
      <c r="C97" s="11"/>
    </row>
    <row r="98" spans="2:6" ht="15.6" x14ac:dyDescent="0.3">
      <c r="B98" s="11" t="s">
        <v>208</v>
      </c>
      <c r="C98" s="11"/>
    </row>
    <row r="99" spans="2:6" ht="15.6" x14ac:dyDescent="0.3">
      <c r="B99" s="11"/>
      <c r="C99" s="11"/>
    </row>
    <row r="100" spans="2:6" x14ac:dyDescent="0.3">
      <c r="B100" s="70" t="s">
        <v>305</v>
      </c>
      <c r="C100" s="70" t="s">
        <v>296</v>
      </c>
      <c r="D100" s="70" t="s">
        <v>304</v>
      </c>
    </row>
    <row r="101" spans="2:6" ht="18" x14ac:dyDescent="0.3">
      <c r="B101" s="24">
        <v>0.1</v>
      </c>
      <c r="C101" s="14">
        <v>4</v>
      </c>
      <c r="D101" s="119">
        <f>(1+B101/C101)^C101-1</f>
        <v>0.10381289062499977</v>
      </c>
    </row>
    <row r="102" spans="2:6" ht="18" x14ac:dyDescent="0.3">
      <c r="B102" s="15"/>
      <c r="C102" s="109"/>
      <c r="D102" s="117"/>
      <c r="E102" s="15"/>
      <c r="F102" s="117"/>
    </row>
    <row r="103" spans="2:6" ht="15.6" x14ac:dyDescent="0.3">
      <c r="B103" s="103" t="s">
        <v>245</v>
      </c>
      <c r="C103" s="11"/>
    </row>
    <row r="104" spans="2:6" ht="15.6" x14ac:dyDescent="0.3">
      <c r="B104" s="11" t="s">
        <v>209</v>
      </c>
      <c r="C104" s="11"/>
    </row>
    <row r="105" spans="2:6" ht="15.6" x14ac:dyDescent="0.3">
      <c r="B105" s="11"/>
      <c r="C105" s="11"/>
    </row>
    <row r="106" spans="2:6" ht="15.6" x14ac:dyDescent="0.3">
      <c r="B106" s="122" t="s">
        <v>307</v>
      </c>
      <c r="C106" s="122" t="s">
        <v>308</v>
      </c>
      <c r="F106" s="102" t="s">
        <v>246</v>
      </c>
    </row>
    <row r="107" spans="2:6" ht="15.6" x14ac:dyDescent="0.3">
      <c r="B107" s="125" t="s">
        <v>305</v>
      </c>
      <c r="C107" s="125" t="s">
        <v>305</v>
      </c>
      <c r="D107" s="125" t="s">
        <v>306</v>
      </c>
      <c r="F107" s="103" t="s">
        <v>210</v>
      </c>
    </row>
    <row r="108" spans="2:6" ht="18" x14ac:dyDescent="0.3">
      <c r="B108" s="24">
        <v>0.12</v>
      </c>
      <c r="C108" s="23">
        <v>8.5000000000000006E-2</v>
      </c>
      <c r="D108" s="118">
        <f>(1+B108)/(1+C108)-1</f>
        <v>3.2258064516129226E-2</v>
      </c>
    </row>
    <row r="109" spans="2:6" ht="18" x14ac:dyDescent="0.3">
      <c r="B109" s="11"/>
      <c r="C109" s="109"/>
      <c r="D109" s="15"/>
      <c r="E109" s="121"/>
    </row>
    <row r="110" spans="2:6" ht="18" x14ac:dyDescent="0.3">
      <c r="B110" s="106" t="s">
        <v>211</v>
      </c>
      <c r="C110" s="11"/>
    </row>
    <row r="111" spans="2:6" ht="15.6" x14ac:dyDescent="0.3">
      <c r="B111" s="11"/>
      <c r="C111" s="11"/>
    </row>
    <row r="112" spans="2:6" ht="15.6" x14ac:dyDescent="0.3">
      <c r="B112" s="30" t="s">
        <v>261</v>
      </c>
      <c r="C112" s="11"/>
    </row>
    <row r="113" spans="2:18" ht="15.6" x14ac:dyDescent="0.3">
      <c r="B113" s="11" t="s">
        <v>212</v>
      </c>
      <c r="C113" s="11"/>
    </row>
    <row r="114" spans="2:18" ht="15.6" x14ac:dyDescent="0.3">
      <c r="B114" s="11"/>
      <c r="C114" s="11"/>
    </row>
    <row r="115" spans="2:18" ht="15.6" x14ac:dyDescent="0.3">
      <c r="C115" s="11"/>
      <c r="D115" s="11"/>
      <c r="N115" s="193">
        <v>1</v>
      </c>
      <c r="O115" s="193">
        <v>2</v>
      </c>
      <c r="P115" s="193">
        <v>3</v>
      </c>
      <c r="Q115" s="193">
        <v>4</v>
      </c>
      <c r="R115" s="193">
        <v>5</v>
      </c>
    </row>
    <row r="116" spans="2:18" s="148" customFormat="1" ht="15.6" x14ac:dyDescent="0.3">
      <c r="C116" s="60"/>
      <c r="D116" s="196">
        <v>0.1</v>
      </c>
      <c r="E116" s="196">
        <v>0.1</v>
      </c>
      <c r="F116" s="196">
        <v>0.1</v>
      </c>
      <c r="G116" s="196">
        <v>0.1</v>
      </c>
      <c r="H116" s="196">
        <v>0.1</v>
      </c>
      <c r="I116" s="196">
        <v>0.1</v>
      </c>
      <c r="J116" s="196">
        <v>0.1</v>
      </c>
      <c r="K116" s="196">
        <v>0.1</v>
      </c>
      <c r="L116" s="196">
        <v>0.1</v>
      </c>
      <c r="M116" s="205">
        <v>0.1</v>
      </c>
      <c r="N116" s="196">
        <v>0.1</v>
      </c>
      <c r="O116" s="196">
        <v>0.1</v>
      </c>
      <c r="P116" s="196">
        <v>0.1</v>
      </c>
      <c r="Q116" s="196">
        <v>0.1</v>
      </c>
      <c r="R116" s="196">
        <v>0.1</v>
      </c>
    </row>
    <row r="117" spans="2:18" s="148" customFormat="1" ht="15.6" x14ac:dyDescent="0.3">
      <c r="B117" s="193">
        <f>250*15</f>
        <v>3750</v>
      </c>
      <c r="C117" s="195">
        <v>0</v>
      </c>
      <c r="D117" s="197">
        <v>1</v>
      </c>
      <c r="E117" s="197">
        <v>2</v>
      </c>
      <c r="F117" s="193">
        <v>3</v>
      </c>
      <c r="G117" s="193">
        <v>4</v>
      </c>
      <c r="H117" s="193">
        <v>5</v>
      </c>
      <c r="I117" s="193">
        <v>6</v>
      </c>
      <c r="J117" s="193">
        <v>7</v>
      </c>
      <c r="K117" s="193">
        <v>8</v>
      </c>
      <c r="L117" s="193">
        <v>9</v>
      </c>
      <c r="M117" s="195">
        <v>10</v>
      </c>
      <c r="N117" s="193">
        <v>11</v>
      </c>
      <c r="O117" s="193">
        <v>12</v>
      </c>
      <c r="P117" s="193">
        <v>13</v>
      </c>
      <c r="Q117" s="193">
        <v>14</v>
      </c>
      <c r="R117" s="193">
        <v>15</v>
      </c>
    </row>
    <row r="118" spans="2:18" s="148" customFormat="1" ht="15.6" x14ac:dyDescent="0.3">
      <c r="B118" s="194">
        <f>PV(10%,15,-250)</f>
        <v>1901.5198765770915</v>
      </c>
      <c r="D118" s="198">
        <v>250</v>
      </c>
      <c r="E118" s="198">
        <v>250</v>
      </c>
      <c r="F118" s="202">
        <v>250</v>
      </c>
      <c r="G118" s="202">
        <v>250</v>
      </c>
      <c r="H118" s="202">
        <v>250</v>
      </c>
      <c r="I118" s="202">
        <v>250</v>
      </c>
      <c r="J118" s="202">
        <v>250</v>
      </c>
      <c r="K118" s="202">
        <v>250</v>
      </c>
      <c r="L118" s="202">
        <v>250</v>
      </c>
      <c r="M118" s="206">
        <v>250</v>
      </c>
      <c r="N118" s="202">
        <v>250</v>
      </c>
      <c r="O118" s="202">
        <v>250</v>
      </c>
      <c r="P118" s="202">
        <v>250</v>
      </c>
      <c r="Q118" s="202">
        <v>250</v>
      </c>
      <c r="R118" s="202">
        <v>250</v>
      </c>
    </row>
    <row r="119" spans="2:18" s="148" customFormat="1" ht="15.6" x14ac:dyDescent="0.3">
      <c r="D119" s="199">
        <f>1/(1+D116)^D117</f>
        <v>0.90909090909090906</v>
      </c>
      <c r="E119" s="199">
        <f t="shared" ref="E119:R119" si="0">1/(1+E116)^E117</f>
        <v>0.82644628099173545</v>
      </c>
      <c r="F119" s="199">
        <f t="shared" si="0"/>
        <v>0.75131480090157754</v>
      </c>
      <c r="G119" s="199">
        <f t="shared" si="0"/>
        <v>0.68301345536507052</v>
      </c>
      <c r="H119" s="199">
        <f t="shared" si="0"/>
        <v>0.62092132305915493</v>
      </c>
      <c r="I119" s="199">
        <f t="shared" si="0"/>
        <v>0.56447393005377722</v>
      </c>
      <c r="J119" s="199">
        <f t="shared" si="0"/>
        <v>0.51315811823070645</v>
      </c>
      <c r="K119" s="199">
        <f t="shared" si="0"/>
        <v>0.46650738020973315</v>
      </c>
      <c r="L119" s="199">
        <f t="shared" si="0"/>
        <v>0.42409761837248466</v>
      </c>
      <c r="M119" s="207">
        <f t="shared" si="0"/>
        <v>0.38554328942953148</v>
      </c>
      <c r="N119" s="203">
        <f t="shared" si="0"/>
        <v>0.3504938994813922</v>
      </c>
      <c r="O119" s="203">
        <f t="shared" si="0"/>
        <v>0.31863081771035656</v>
      </c>
      <c r="P119" s="203">
        <f t="shared" si="0"/>
        <v>0.28966437973668779</v>
      </c>
      <c r="Q119" s="203">
        <f t="shared" si="0"/>
        <v>0.26333125430607973</v>
      </c>
      <c r="R119" s="203">
        <f t="shared" si="0"/>
        <v>0.23939204936916339</v>
      </c>
    </row>
    <row r="120" spans="2:18" s="148" customFormat="1" ht="15.6" x14ac:dyDescent="0.3">
      <c r="C120" s="195">
        <v>1</v>
      </c>
      <c r="D120" s="199">
        <f>C120/(1+D116)</f>
        <v>0.90909090909090906</v>
      </c>
      <c r="E120" s="199">
        <f t="shared" ref="E120:R120" si="1">D120/(1+E116)</f>
        <v>0.82644628099173545</v>
      </c>
      <c r="F120" s="199">
        <f t="shared" si="1"/>
        <v>0.75131480090157765</v>
      </c>
      <c r="G120" s="199">
        <f t="shared" si="1"/>
        <v>0.68301345536507052</v>
      </c>
      <c r="H120" s="199">
        <f t="shared" si="1"/>
        <v>0.62092132305915493</v>
      </c>
      <c r="I120" s="199">
        <f t="shared" si="1"/>
        <v>0.56447393005377711</v>
      </c>
      <c r="J120" s="199">
        <f t="shared" si="1"/>
        <v>0.51315811823070645</v>
      </c>
      <c r="K120" s="199">
        <f t="shared" si="1"/>
        <v>0.46650738020973309</v>
      </c>
      <c r="L120" s="199">
        <f t="shared" si="1"/>
        <v>0.42409761837248461</v>
      </c>
      <c r="M120" s="207">
        <f t="shared" si="1"/>
        <v>0.38554328942953142</v>
      </c>
      <c r="N120" s="204">
        <f t="shared" si="1"/>
        <v>0.35049389948139215</v>
      </c>
      <c r="O120" s="204">
        <f t="shared" si="1"/>
        <v>0.31863081771035645</v>
      </c>
      <c r="P120" s="204">
        <f t="shared" si="1"/>
        <v>0.28966437973668768</v>
      </c>
      <c r="Q120" s="204">
        <f t="shared" si="1"/>
        <v>0.26333125430607968</v>
      </c>
      <c r="R120" s="204">
        <f t="shared" si="1"/>
        <v>0.23939204936916333</v>
      </c>
    </row>
    <row r="121" spans="2:18" s="148" customFormat="1" ht="15.6" x14ac:dyDescent="0.3">
      <c r="D121" s="199">
        <f>D118*D120</f>
        <v>227.27272727272725</v>
      </c>
      <c r="E121" s="199">
        <f t="shared" ref="E121:R121" si="2">E118*E120</f>
        <v>206.61157024793386</v>
      </c>
      <c r="F121" s="199">
        <f t="shared" si="2"/>
        <v>187.82870022539441</v>
      </c>
      <c r="G121" s="199">
        <f t="shared" si="2"/>
        <v>170.75336384126763</v>
      </c>
      <c r="H121" s="199">
        <f t="shared" si="2"/>
        <v>155.23033076478873</v>
      </c>
      <c r="I121" s="199">
        <f t="shared" si="2"/>
        <v>141.11848251344426</v>
      </c>
      <c r="J121" s="199">
        <f t="shared" si="2"/>
        <v>128.28952955767662</v>
      </c>
      <c r="K121" s="199">
        <f t="shared" si="2"/>
        <v>116.62684505243327</v>
      </c>
      <c r="L121" s="199">
        <f t="shared" si="2"/>
        <v>106.02440459312115</v>
      </c>
      <c r="M121" s="207">
        <f t="shared" si="2"/>
        <v>96.38582235738285</v>
      </c>
      <c r="N121" s="199">
        <f t="shared" si="2"/>
        <v>87.623474870348034</v>
      </c>
      <c r="O121" s="199">
        <f t="shared" si="2"/>
        <v>79.65770442758911</v>
      </c>
      <c r="P121" s="199">
        <f t="shared" si="2"/>
        <v>72.416094934171923</v>
      </c>
      <c r="Q121" s="199">
        <f t="shared" si="2"/>
        <v>65.832813576519925</v>
      </c>
      <c r="R121" s="199">
        <f t="shared" si="2"/>
        <v>59.848012342290836</v>
      </c>
    </row>
    <row r="122" spans="2:18" s="148" customFormat="1" ht="15.6" x14ac:dyDescent="0.3">
      <c r="D122" s="200">
        <f>SUM(D121:R121)</f>
        <v>1901.5198765770899</v>
      </c>
      <c r="E122" s="60"/>
      <c r="F122" s="60"/>
      <c r="G122" s="60"/>
      <c r="H122" s="60"/>
      <c r="I122" s="60"/>
      <c r="J122" s="60"/>
      <c r="K122" s="60"/>
      <c r="L122" s="60"/>
      <c r="M122" s="60"/>
      <c r="N122" s="208">
        <f>$M$119/(1+N116)^N115</f>
        <v>0.3504938994813922</v>
      </c>
      <c r="O122" s="208">
        <f>$M$119/(1+O116)^O115</f>
        <v>0.31863081771035656</v>
      </c>
      <c r="P122" s="208">
        <f>$M$119/(1+P116)^P115</f>
        <v>0.28966437973668774</v>
      </c>
      <c r="Q122" s="208">
        <f>$M$119/(1+Q116)^Q115</f>
        <v>0.26333125430607973</v>
      </c>
      <c r="R122" s="208">
        <f>$M$119/(1+R116)^R115</f>
        <v>0.23939204936916339</v>
      </c>
    </row>
    <row r="123" spans="2:18" s="148" customFormat="1" ht="15.6" x14ac:dyDescent="0.3">
      <c r="D123" s="201">
        <f>NPV(D116,D118:R118)</f>
        <v>1901.5198765770897</v>
      </c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</row>
    <row r="124" spans="2:18" ht="15.6" x14ac:dyDescent="0.3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2:18" ht="15.6" x14ac:dyDescent="0.3">
      <c r="B125" s="11"/>
      <c r="C125" s="11"/>
    </row>
    <row r="126" spans="2:18" ht="15.6" x14ac:dyDescent="0.3">
      <c r="B126" s="30" t="s">
        <v>262</v>
      </c>
      <c r="C126" s="11"/>
    </row>
    <row r="127" spans="2:18" ht="15.6" x14ac:dyDescent="0.3">
      <c r="B127" s="103" t="s">
        <v>213</v>
      </c>
      <c r="C127" s="11"/>
      <c r="D127" s="104" t="s">
        <v>214</v>
      </c>
    </row>
    <row r="128" spans="2:18" ht="15.6" x14ac:dyDescent="0.3">
      <c r="B128" s="104"/>
      <c r="C128" s="11"/>
    </row>
    <row r="129" spans="2:10" ht="15.6" x14ac:dyDescent="0.3">
      <c r="B129" s="112" t="s">
        <v>3</v>
      </c>
      <c r="C129" s="112" t="s">
        <v>310</v>
      </c>
      <c r="D129" s="112" t="s">
        <v>309</v>
      </c>
      <c r="E129" s="112" t="s">
        <v>311</v>
      </c>
      <c r="H129" s="123"/>
    </row>
    <row r="130" spans="2:10" ht="18" x14ac:dyDescent="0.3">
      <c r="B130" s="14">
        <v>15</v>
      </c>
      <c r="C130" s="24">
        <v>0.1</v>
      </c>
      <c r="D130" s="124">
        <v>250000</v>
      </c>
      <c r="E130" s="128">
        <f>PV(C130,B130,-D130)</f>
        <v>1901519.8765770914</v>
      </c>
    </row>
    <row r="131" spans="2:10" ht="15.6" x14ac:dyDescent="0.3">
      <c r="B131" s="11"/>
      <c r="C131" s="11"/>
    </row>
    <row r="132" spans="2:10" ht="15.6" x14ac:dyDescent="0.3">
      <c r="B132" s="30" t="s">
        <v>263</v>
      </c>
      <c r="C132" s="11"/>
    </row>
    <row r="133" spans="2:10" ht="15.6" x14ac:dyDescent="0.3">
      <c r="B133" s="11" t="s">
        <v>215</v>
      </c>
      <c r="C133" s="11"/>
    </row>
    <row r="134" spans="2:10" ht="15.6" x14ac:dyDescent="0.3">
      <c r="B134" s="11"/>
      <c r="C134" s="11"/>
    </row>
    <row r="135" spans="2:10" ht="15.6" x14ac:dyDescent="0.3">
      <c r="B135" s="30" t="s">
        <v>264</v>
      </c>
      <c r="C135" s="11"/>
    </row>
    <row r="136" spans="2:10" ht="15.6" x14ac:dyDescent="0.3">
      <c r="B136" s="30" t="s">
        <v>217</v>
      </c>
      <c r="C136" s="11"/>
    </row>
    <row r="137" spans="2:10" ht="15.6" x14ac:dyDescent="0.3">
      <c r="B137" s="30" t="s">
        <v>216</v>
      </c>
      <c r="C137" s="11"/>
    </row>
    <row r="138" spans="2:10" ht="15.6" x14ac:dyDescent="0.3">
      <c r="B138" s="30" t="s">
        <v>218</v>
      </c>
      <c r="C138" s="11"/>
    </row>
    <row r="139" spans="2:10" ht="15.6" x14ac:dyDescent="0.3">
      <c r="B139" s="11"/>
      <c r="C139" s="11"/>
      <c r="F139" s="122" t="s">
        <v>326</v>
      </c>
    </row>
    <row r="140" spans="2:10" ht="15.6" x14ac:dyDescent="0.3">
      <c r="B140" s="112" t="s">
        <v>3</v>
      </c>
      <c r="C140" s="112" t="s">
        <v>322</v>
      </c>
      <c r="D140" s="112" t="s">
        <v>321</v>
      </c>
      <c r="E140" s="112" t="s">
        <v>323</v>
      </c>
      <c r="F140" s="112" t="s">
        <v>325</v>
      </c>
      <c r="G140" s="112" t="s">
        <v>324</v>
      </c>
    </row>
    <row r="141" spans="2:10" ht="18" x14ac:dyDescent="0.3">
      <c r="B141" s="14">
        <v>10</v>
      </c>
      <c r="C141" s="24">
        <v>0.08</v>
      </c>
      <c r="D141" s="131">
        <v>100</v>
      </c>
      <c r="E141" s="14">
        <v>20</v>
      </c>
      <c r="F141" s="131">
        <f>FV(C141/12,B141*12,-D141)</f>
        <v>18294.603518170716</v>
      </c>
      <c r="G141" s="131">
        <f>FV(C141/12,B141*12,0,-F141)</f>
        <v>40607.438043975002</v>
      </c>
    </row>
    <row r="142" spans="2:10" ht="18" x14ac:dyDescent="0.3">
      <c r="B142" s="15"/>
      <c r="C142" s="109"/>
      <c r="D142" s="133"/>
      <c r="E142" s="15"/>
      <c r="F142" s="133"/>
      <c r="G142" s="133"/>
    </row>
    <row r="143" spans="2:10" ht="15.6" x14ac:dyDescent="0.3">
      <c r="B143" s="11"/>
      <c r="C143" s="11"/>
      <c r="G143" s="190">
        <v>9599200</v>
      </c>
      <c r="H143" s="191">
        <f>G144/G143-1</f>
        <v>2.4011959329944164</v>
      </c>
      <c r="I143" s="192" t="s">
        <v>327</v>
      </c>
    </row>
    <row r="144" spans="2:10" ht="15.6" x14ac:dyDescent="0.3">
      <c r="B144" s="187">
        <f>FV(8%/12,10*12,-100)</f>
        <v>18294.603518170716</v>
      </c>
      <c r="C144" s="172">
        <f>B264</f>
        <v>18294.60351817085</v>
      </c>
      <c r="E144" s="187">
        <f>FV(8%/12,10*12,0,-B144)</f>
        <v>40607.438043975002</v>
      </c>
      <c r="G144" s="190">
        <f>90691*30*12</f>
        <v>32648760</v>
      </c>
      <c r="H144" s="134"/>
      <c r="I144" s="134"/>
      <c r="J144" s="192" t="s">
        <v>329</v>
      </c>
    </row>
    <row r="145" spans="2:9" ht="15.6" x14ac:dyDescent="0.3">
      <c r="B145" s="188">
        <v>100</v>
      </c>
      <c r="C145" s="172">
        <v>1</v>
      </c>
      <c r="E145" s="189">
        <f>C144*(1+8%/12)^(10*12)</f>
        <v>40607.4380439753</v>
      </c>
      <c r="G145" s="190">
        <f>108502*15*12</f>
        <v>19530360</v>
      </c>
      <c r="H145" s="191">
        <f>G145/G143-1</f>
        <v>1.034582048504042</v>
      </c>
      <c r="I145" s="192" t="s">
        <v>328</v>
      </c>
    </row>
    <row r="146" spans="2:9" ht="15.6" x14ac:dyDescent="0.3">
      <c r="B146" s="188">
        <f t="shared" ref="B146:B177" si="3">B145*(1+8%/12)+100</f>
        <v>200.66666666666666</v>
      </c>
      <c r="C146" s="172">
        <v>2</v>
      </c>
    </row>
    <row r="147" spans="2:9" ht="15.6" x14ac:dyDescent="0.3">
      <c r="B147" s="188">
        <f t="shared" si="3"/>
        <v>302.0044444444444</v>
      </c>
      <c r="C147" s="172">
        <v>3</v>
      </c>
    </row>
    <row r="148" spans="2:9" ht="15.6" x14ac:dyDescent="0.3">
      <c r="B148" s="188">
        <f t="shared" si="3"/>
        <v>404.01780740740736</v>
      </c>
      <c r="C148" s="172">
        <v>4</v>
      </c>
    </row>
    <row r="149" spans="2:9" ht="15.6" x14ac:dyDescent="0.3">
      <c r="B149" s="188">
        <f t="shared" si="3"/>
        <v>506.71125945679006</v>
      </c>
      <c r="C149" s="172">
        <v>5</v>
      </c>
    </row>
    <row r="150" spans="2:9" ht="15.6" x14ac:dyDescent="0.3">
      <c r="B150" s="188">
        <f t="shared" si="3"/>
        <v>610.08933451983535</v>
      </c>
      <c r="C150" s="172">
        <v>6</v>
      </c>
    </row>
    <row r="151" spans="2:9" ht="15.6" x14ac:dyDescent="0.3">
      <c r="B151" s="188">
        <f t="shared" si="3"/>
        <v>714.15659674996755</v>
      </c>
      <c r="C151" s="172">
        <v>7</v>
      </c>
    </row>
    <row r="152" spans="2:9" ht="15.6" x14ac:dyDescent="0.3">
      <c r="B152" s="188">
        <f t="shared" si="3"/>
        <v>818.91764072830063</v>
      </c>
      <c r="C152" s="172">
        <v>8</v>
      </c>
    </row>
    <row r="153" spans="2:9" ht="15.6" x14ac:dyDescent="0.3">
      <c r="B153" s="188">
        <f t="shared" si="3"/>
        <v>924.37709166648926</v>
      </c>
      <c r="C153" s="172">
        <v>9</v>
      </c>
    </row>
    <row r="154" spans="2:9" ht="15.6" x14ac:dyDescent="0.3">
      <c r="B154" s="188">
        <f t="shared" si="3"/>
        <v>1030.5396056109325</v>
      </c>
      <c r="C154" s="172">
        <v>10</v>
      </c>
    </row>
    <row r="155" spans="2:9" ht="15.6" x14ac:dyDescent="0.3">
      <c r="B155" s="188">
        <f t="shared" si="3"/>
        <v>1137.4098696483386</v>
      </c>
      <c r="C155" s="172">
        <v>11</v>
      </c>
    </row>
    <row r="156" spans="2:9" ht="15.6" x14ac:dyDescent="0.3">
      <c r="B156" s="188">
        <f t="shared" si="3"/>
        <v>1244.9926021126607</v>
      </c>
      <c r="C156" s="172">
        <v>12</v>
      </c>
    </row>
    <row r="157" spans="2:9" ht="15.6" x14ac:dyDescent="0.3">
      <c r="B157" s="188">
        <f t="shared" si="3"/>
        <v>1353.2925527934117</v>
      </c>
      <c r="C157" s="172">
        <v>13</v>
      </c>
    </row>
    <row r="158" spans="2:9" ht="15.6" x14ac:dyDescent="0.3">
      <c r="B158" s="188">
        <f t="shared" si="3"/>
        <v>1462.3145031453678</v>
      </c>
      <c r="C158" s="172">
        <v>14</v>
      </c>
    </row>
    <row r="159" spans="2:9" ht="15.6" x14ac:dyDescent="0.3">
      <c r="B159" s="188">
        <f t="shared" si="3"/>
        <v>1572.0632664996701</v>
      </c>
      <c r="C159" s="172">
        <v>15</v>
      </c>
    </row>
    <row r="160" spans="2:9" ht="15.6" x14ac:dyDescent="0.3">
      <c r="B160" s="188">
        <f t="shared" si="3"/>
        <v>1682.5436882763345</v>
      </c>
      <c r="C160" s="172">
        <v>16</v>
      </c>
    </row>
    <row r="161" spans="2:3" ht="15.6" x14ac:dyDescent="0.3">
      <c r="B161" s="188">
        <f t="shared" si="3"/>
        <v>1793.7606461981766</v>
      </c>
      <c r="C161" s="172">
        <v>17</v>
      </c>
    </row>
    <row r="162" spans="2:3" ht="15.6" x14ac:dyDescent="0.3">
      <c r="B162" s="188">
        <f t="shared" si="3"/>
        <v>1905.7190505061642</v>
      </c>
      <c r="C162" s="172">
        <v>18</v>
      </c>
    </row>
    <row r="163" spans="2:3" ht="15.6" x14ac:dyDescent="0.3">
      <c r="B163" s="188">
        <f t="shared" si="3"/>
        <v>2018.4238441762052</v>
      </c>
      <c r="C163" s="172">
        <v>19</v>
      </c>
    </row>
    <row r="164" spans="2:3" ht="15.6" x14ac:dyDescent="0.3">
      <c r="B164" s="188">
        <f t="shared" si="3"/>
        <v>2131.8800031373798</v>
      </c>
      <c r="C164" s="172">
        <v>20</v>
      </c>
    </row>
    <row r="165" spans="2:3" ht="15.6" x14ac:dyDescent="0.3">
      <c r="B165" s="188">
        <f t="shared" si="3"/>
        <v>2246.0925364916288</v>
      </c>
      <c r="C165" s="172">
        <v>21</v>
      </c>
    </row>
    <row r="166" spans="2:3" ht="15.6" x14ac:dyDescent="0.3">
      <c r="B166" s="188">
        <f t="shared" si="3"/>
        <v>2361.066486734906</v>
      </c>
      <c r="C166" s="172">
        <v>22</v>
      </c>
    </row>
    <row r="167" spans="2:3" ht="15.6" x14ac:dyDescent="0.3">
      <c r="B167" s="188">
        <f t="shared" si="3"/>
        <v>2476.8069299798053</v>
      </c>
      <c r="C167" s="172">
        <v>23</v>
      </c>
    </row>
    <row r="168" spans="2:3" ht="15.6" x14ac:dyDescent="0.3">
      <c r="B168" s="188">
        <f t="shared" si="3"/>
        <v>2593.3189761796707</v>
      </c>
      <c r="C168" s="172">
        <v>24</v>
      </c>
    </row>
    <row r="169" spans="2:3" ht="15.6" x14ac:dyDescent="0.3">
      <c r="B169" s="188">
        <f t="shared" si="3"/>
        <v>2710.6077693542015</v>
      </c>
      <c r="C169" s="172">
        <v>25</v>
      </c>
    </row>
    <row r="170" spans="2:3" ht="15.6" x14ac:dyDescent="0.3">
      <c r="B170" s="188">
        <f t="shared" si="3"/>
        <v>2828.6784878165627</v>
      </c>
      <c r="C170" s="172">
        <v>26</v>
      </c>
    </row>
    <row r="171" spans="2:3" ht="15.6" x14ac:dyDescent="0.3">
      <c r="B171" s="188">
        <f t="shared" si="3"/>
        <v>2947.5363444020063</v>
      </c>
      <c r="C171" s="172">
        <v>27</v>
      </c>
    </row>
    <row r="172" spans="2:3" ht="15.6" x14ac:dyDescent="0.3">
      <c r="B172" s="188">
        <f t="shared" si="3"/>
        <v>3067.1865866980193</v>
      </c>
      <c r="C172" s="172">
        <v>28</v>
      </c>
    </row>
    <row r="173" spans="2:3" ht="15.6" x14ac:dyDescent="0.3">
      <c r="B173" s="188">
        <f t="shared" si="3"/>
        <v>3187.6344972760057</v>
      </c>
      <c r="C173" s="172">
        <v>29</v>
      </c>
    </row>
    <row r="174" spans="2:3" ht="15.6" x14ac:dyDescent="0.3">
      <c r="B174" s="188">
        <f t="shared" si="3"/>
        <v>3308.8853939245123</v>
      </c>
      <c r="C174" s="172">
        <v>30</v>
      </c>
    </row>
    <row r="175" spans="2:3" ht="15.6" x14ac:dyDescent="0.3">
      <c r="B175" s="188">
        <f t="shared" si="3"/>
        <v>3430.9446298840089</v>
      </c>
      <c r="C175" s="172">
        <v>31</v>
      </c>
    </row>
    <row r="176" spans="2:3" ht="15.6" x14ac:dyDescent="0.3">
      <c r="B176" s="188">
        <f t="shared" si="3"/>
        <v>3553.8175940832352</v>
      </c>
      <c r="C176" s="172">
        <v>32</v>
      </c>
    </row>
    <row r="177" spans="2:3" ht="15.6" x14ac:dyDescent="0.3">
      <c r="B177" s="188">
        <f t="shared" si="3"/>
        <v>3677.509711377123</v>
      </c>
      <c r="C177" s="172">
        <v>33</v>
      </c>
    </row>
    <row r="178" spans="2:3" ht="15.6" x14ac:dyDescent="0.3">
      <c r="B178" s="188">
        <f t="shared" ref="B178:B209" si="4">B177*(1+8%/12)+100</f>
        <v>3802.0264427863035</v>
      </c>
      <c r="C178" s="172">
        <v>34</v>
      </c>
    </row>
    <row r="179" spans="2:3" ht="15.6" x14ac:dyDescent="0.3">
      <c r="B179" s="188">
        <f t="shared" si="4"/>
        <v>3927.373285738212</v>
      </c>
      <c r="C179" s="172">
        <v>35</v>
      </c>
    </row>
    <row r="180" spans="2:3" ht="15.6" x14ac:dyDescent="0.3">
      <c r="B180" s="188">
        <f t="shared" si="4"/>
        <v>4053.5557743097997</v>
      </c>
      <c r="C180" s="172">
        <v>36</v>
      </c>
    </row>
    <row r="181" spans="2:3" ht="15.6" x14ac:dyDescent="0.3">
      <c r="B181" s="188">
        <f t="shared" si="4"/>
        <v>4180.5794794718649</v>
      </c>
      <c r="C181" s="172">
        <v>37</v>
      </c>
    </row>
    <row r="182" spans="2:3" ht="15.6" x14ac:dyDescent="0.3">
      <c r="B182" s="188">
        <f t="shared" si="4"/>
        <v>4308.4500093350107</v>
      </c>
      <c r="C182" s="172">
        <v>38</v>
      </c>
    </row>
    <row r="183" spans="2:3" ht="15.6" x14ac:dyDescent="0.3">
      <c r="B183" s="188">
        <f t="shared" si="4"/>
        <v>4437.1730093972437</v>
      </c>
      <c r="C183" s="172">
        <v>39</v>
      </c>
    </row>
    <row r="184" spans="2:3" ht="15.6" x14ac:dyDescent="0.3">
      <c r="B184" s="188">
        <f t="shared" si="4"/>
        <v>4566.7541627932251</v>
      </c>
      <c r="C184" s="172">
        <v>40</v>
      </c>
    </row>
    <row r="185" spans="2:3" ht="15.6" x14ac:dyDescent="0.3">
      <c r="B185" s="188">
        <f t="shared" si="4"/>
        <v>4697.1991905451796</v>
      </c>
      <c r="C185" s="172">
        <v>41</v>
      </c>
    </row>
    <row r="186" spans="2:3" ht="15.6" x14ac:dyDescent="0.3">
      <c r="B186" s="188">
        <f t="shared" si="4"/>
        <v>4828.5138518154808</v>
      </c>
      <c r="C186" s="172">
        <v>42</v>
      </c>
    </row>
    <row r="187" spans="2:3" ht="15.6" x14ac:dyDescent="0.3">
      <c r="B187" s="188">
        <f t="shared" si="4"/>
        <v>4960.7039441609168</v>
      </c>
      <c r="C187" s="172">
        <v>43</v>
      </c>
    </row>
    <row r="188" spans="2:3" ht="15.6" x14ac:dyDescent="0.3">
      <c r="B188" s="188">
        <f t="shared" si="4"/>
        <v>5093.7753037886559</v>
      </c>
      <c r="C188" s="172">
        <v>44</v>
      </c>
    </row>
    <row r="189" spans="2:3" ht="15.6" x14ac:dyDescent="0.3">
      <c r="B189" s="188">
        <f t="shared" si="4"/>
        <v>5227.733805813913</v>
      </c>
      <c r="C189" s="172">
        <v>45</v>
      </c>
    </row>
    <row r="190" spans="2:3" ht="15.6" x14ac:dyDescent="0.3">
      <c r="B190" s="188">
        <f t="shared" si="4"/>
        <v>5362.5853645193383</v>
      </c>
      <c r="C190" s="172">
        <v>46</v>
      </c>
    </row>
    <row r="191" spans="2:3" ht="15.6" x14ac:dyDescent="0.3">
      <c r="B191" s="188">
        <f t="shared" si="4"/>
        <v>5498.3359336161338</v>
      </c>
      <c r="C191" s="172">
        <v>47</v>
      </c>
    </row>
    <row r="192" spans="2:3" ht="15.6" x14ac:dyDescent="0.3">
      <c r="B192" s="188">
        <f t="shared" si="4"/>
        <v>5634.9915065069081</v>
      </c>
      <c r="C192" s="172">
        <v>48</v>
      </c>
    </row>
    <row r="193" spans="2:3" ht="15.6" x14ac:dyDescent="0.3">
      <c r="B193" s="188">
        <f t="shared" si="4"/>
        <v>5772.5581165502872</v>
      </c>
      <c r="C193" s="172">
        <v>49</v>
      </c>
    </row>
    <row r="194" spans="2:3" ht="15.6" x14ac:dyDescent="0.3">
      <c r="B194" s="188">
        <f t="shared" si="4"/>
        <v>5911.0418373272887</v>
      </c>
      <c r="C194" s="172">
        <v>50</v>
      </c>
    </row>
    <row r="195" spans="2:3" ht="15.6" x14ac:dyDescent="0.3">
      <c r="B195" s="188">
        <f t="shared" si="4"/>
        <v>6050.4487829094705</v>
      </c>
      <c r="C195" s="172">
        <v>51</v>
      </c>
    </row>
    <row r="196" spans="2:3" ht="15.6" x14ac:dyDescent="0.3">
      <c r="B196" s="188">
        <f t="shared" si="4"/>
        <v>6190.7851081288663</v>
      </c>
      <c r="C196" s="172">
        <v>52</v>
      </c>
    </row>
    <row r="197" spans="2:3" ht="15.6" x14ac:dyDescent="0.3">
      <c r="B197" s="188">
        <f t="shared" si="4"/>
        <v>6332.0570088497252</v>
      </c>
      <c r="C197" s="172">
        <v>53</v>
      </c>
    </row>
    <row r="198" spans="2:3" ht="15.6" x14ac:dyDescent="0.3">
      <c r="B198" s="188">
        <f t="shared" si="4"/>
        <v>6474.2707222420559</v>
      </c>
      <c r="C198" s="172">
        <v>54</v>
      </c>
    </row>
    <row r="199" spans="2:3" ht="15.6" x14ac:dyDescent="0.3">
      <c r="B199" s="188">
        <f t="shared" si="4"/>
        <v>6617.4325270570025</v>
      </c>
      <c r="C199" s="172">
        <v>55</v>
      </c>
    </row>
    <row r="200" spans="2:3" ht="15.6" x14ac:dyDescent="0.3">
      <c r="B200" s="188">
        <f t="shared" si="4"/>
        <v>6761.5487439040489</v>
      </c>
      <c r="C200" s="172">
        <v>56</v>
      </c>
    </row>
    <row r="201" spans="2:3" ht="15.6" x14ac:dyDescent="0.3">
      <c r="B201" s="188">
        <f t="shared" si="4"/>
        <v>6906.6257355300759</v>
      </c>
      <c r="C201" s="172">
        <v>57</v>
      </c>
    </row>
    <row r="202" spans="2:3" ht="15.6" x14ac:dyDescent="0.3">
      <c r="B202" s="188">
        <f t="shared" si="4"/>
        <v>7052.6699071002759</v>
      </c>
      <c r="C202" s="172">
        <v>58</v>
      </c>
    </row>
    <row r="203" spans="2:3" ht="15.6" x14ac:dyDescent="0.3">
      <c r="B203" s="188">
        <f t="shared" si="4"/>
        <v>7199.6877064809441</v>
      </c>
      <c r="C203" s="172">
        <v>59</v>
      </c>
    </row>
    <row r="204" spans="2:3" ht="15.6" x14ac:dyDescent="0.3">
      <c r="B204" s="188">
        <f t="shared" si="4"/>
        <v>7347.6856245241497</v>
      </c>
      <c r="C204" s="172">
        <v>60</v>
      </c>
    </row>
    <row r="205" spans="2:3" ht="15.6" x14ac:dyDescent="0.3">
      <c r="B205" s="188">
        <f t="shared" si="4"/>
        <v>7496.6701953543106</v>
      </c>
      <c r="C205" s="172">
        <v>61</v>
      </c>
    </row>
    <row r="206" spans="2:3" ht="15.6" x14ac:dyDescent="0.3">
      <c r="B206" s="188">
        <f t="shared" si="4"/>
        <v>7646.6479966566721</v>
      </c>
      <c r="C206" s="172">
        <v>62</v>
      </c>
    </row>
    <row r="207" spans="2:3" ht="15.6" x14ac:dyDescent="0.3">
      <c r="B207" s="188">
        <f t="shared" si="4"/>
        <v>7797.6256499677165</v>
      </c>
      <c r="C207" s="172">
        <v>63</v>
      </c>
    </row>
    <row r="208" spans="2:3" ht="15.6" x14ac:dyDescent="0.3">
      <c r="B208" s="188">
        <f t="shared" si="4"/>
        <v>7949.609820967501</v>
      </c>
      <c r="C208" s="172">
        <v>64</v>
      </c>
    </row>
    <row r="209" spans="2:3" ht="15.6" x14ac:dyDescent="0.3">
      <c r="B209" s="188">
        <f t="shared" si="4"/>
        <v>8102.6072197739504</v>
      </c>
      <c r="C209" s="172">
        <v>65</v>
      </c>
    </row>
    <row r="210" spans="2:3" ht="15.6" x14ac:dyDescent="0.3">
      <c r="B210" s="188">
        <f t="shared" ref="B210:B241" si="5">B209*(1+8%/12)+100</f>
        <v>8256.6246012391093</v>
      </c>
      <c r="C210" s="172">
        <v>66</v>
      </c>
    </row>
    <row r="211" spans="2:3" ht="15.6" x14ac:dyDescent="0.3">
      <c r="B211" s="188">
        <f t="shared" si="5"/>
        <v>8411.6687652473702</v>
      </c>
      <c r="C211" s="172">
        <v>67</v>
      </c>
    </row>
    <row r="212" spans="2:3" ht="15.6" x14ac:dyDescent="0.3">
      <c r="B212" s="188">
        <f t="shared" si="5"/>
        <v>8567.7465570156855</v>
      </c>
      <c r="C212" s="172">
        <v>68</v>
      </c>
    </row>
    <row r="213" spans="2:3" ht="15.6" x14ac:dyDescent="0.3">
      <c r="B213" s="188">
        <f t="shared" si="5"/>
        <v>8724.8648673957887</v>
      </c>
      <c r="C213" s="172">
        <v>69</v>
      </c>
    </row>
    <row r="214" spans="2:3" ht="15.6" x14ac:dyDescent="0.3">
      <c r="B214" s="188">
        <f t="shared" si="5"/>
        <v>8883.0306331784268</v>
      </c>
      <c r="C214" s="172">
        <v>70</v>
      </c>
    </row>
    <row r="215" spans="2:3" ht="15.6" x14ac:dyDescent="0.3">
      <c r="B215" s="188">
        <f t="shared" si="5"/>
        <v>9042.2508373996152</v>
      </c>
      <c r="C215" s="172">
        <v>71</v>
      </c>
    </row>
    <row r="216" spans="2:3" ht="15.6" x14ac:dyDescent="0.3">
      <c r="B216" s="188">
        <f t="shared" si="5"/>
        <v>9202.5325096489451</v>
      </c>
      <c r="C216" s="172">
        <v>72</v>
      </c>
    </row>
    <row r="217" spans="2:3" ht="15.6" x14ac:dyDescent="0.3">
      <c r="B217" s="188">
        <f t="shared" si="5"/>
        <v>9363.8827263799376</v>
      </c>
      <c r="C217" s="172">
        <v>73</v>
      </c>
    </row>
    <row r="218" spans="2:3" ht="15.6" x14ac:dyDescent="0.3">
      <c r="B218" s="188">
        <f t="shared" si="5"/>
        <v>9526.3086112224701</v>
      </c>
      <c r="C218" s="172">
        <v>74</v>
      </c>
    </row>
    <row r="219" spans="2:3" ht="15.6" x14ac:dyDescent="0.3">
      <c r="B219" s="188">
        <f t="shared" si="5"/>
        <v>9689.8173352972863</v>
      </c>
      <c r="C219" s="172">
        <v>75</v>
      </c>
    </row>
    <row r="220" spans="2:3" ht="15.6" x14ac:dyDescent="0.3">
      <c r="B220" s="188">
        <f t="shared" si="5"/>
        <v>9854.4161175326008</v>
      </c>
      <c r="C220" s="172">
        <v>76</v>
      </c>
    </row>
    <row r="221" spans="2:3" ht="15.6" x14ac:dyDescent="0.3">
      <c r="B221" s="188">
        <f t="shared" si="5"/>
        <v>10020.112224982817</v>
      </c>
      <c r="C221" s="172">
        <v>77</v>
      </c>
    </row>
    <row r="222" spans="2:3" ht="15.6" x14ac:dyDescent="0.3">
      <c r="B222" s="188">
        <f t="shared" si="5"/>
        <v>10186.912973149369</v>
      </c>
      <c r="C222" s="172">
        <v>78</v>
      </c>
    </row>
    <row r="223" spans="2:3" ht="15.6" x14ac:dyDescent="0.3">
      <c r="B223" s="188">
        <f t="shared" si="5"/>
        <v>10354.825726303698</v>
      </c>
      <c r="C223" s="172">
        <v>79</v>
      </c>
    </row>
    <row r="224" spans="2:3" ht="15.6" x14ac:dyDescent="0.3">
      <c r="B224" s="188">
        <f t="shared" si="5"/>
        <v>10523.857897812388</v>
      </c>
      <c r="C224" s="172">
        <v>80</v>
      </c>
    </row>
    <row r="225" spans="2:3" ht="15.6" x14ac:dyDescent="0.3">
      <c r="B225" s="188">
        <f t="shared" si="5"/>
        <v>10694.016950464469</v>
      </c>
      <c r="C225" s="172">
        <v>81</v>
      </c>
    </row>
    <row r="226" spans="2:3" ht="15.6" x14ac:dyDescent="0.3">
      <c r="B226" s="188">
        <f t="shared" si="5"/>
        <v>10865.310396800898</v>
      </c>
      <c r="C226" s="172">
        <v>82</v>
      </c>
    </row>
    <row r="227" spans="2:3" ht="15.6" x14ac:dyDescent="0.3">
      <c r="B227" s="188">
        <f t="shared" si="5"/>
        <v>11037.745799446237</v>
      </c>
      <c r="C227" s="172">
        <v>83</v>
      </c>
    </row>
    <row r="228" spans="2:3" ht="15.6" x14ac:dyDescent="0.3">
      <c r="B228" s="188">
        <f t="shared" si="5"/>
        <v>11211.330771442545</v>
      </c>
      <c r="C228" s="172">
        <v>84</v>
      </c>
    </row>
    <row r="229" spans="2:3" ht="15.6" x14ac:dyDescent="0.3">
      <c r="B229" s="188">
        <f t="shared" si="5"/>
        <v>11386.072976585494</v>
      </c>
      <c r="C229" s="172">
        <v>85</v>
      </c>
    </row>
    <row r="230" spans="2:3" ht="15.6" x14ac:dyDescent="0.3">
      <c r="B230" s="188">
        <f t="shared" si="5"/>
        <v>11561.980129762729</v>
      </c>
      <c r="C230" s="172">
        <v>86</v>
      </c>
    </row>
    <row r="231" spans="2:3" ht="15.6" x14ac:dyDescent="0.3">
      <c r="B231" s="188">
        <f t="shared" si="5"/>
        <v>11739.05999729448</v>
      </c>
      <c r="C231" s="172">
        <v>87</v>
      </c>
    </row>
    <row r="232" spans="2:3" ht="15.6" x14ac:dyDescent="0.3">
      <c r="B232" s="188">
        <f t="shared" si="5"/>
        <v>11917.320397276442</v>
      </c>
      <c r="C232" s="172">
        <v>88</v>
      </c>
    </row>
    <row r="233" spans="2:3" ht="15.6" x14ac:dyDescent="0.3">
      <c r="B233" s="188">
        <f t="shared" si="5"/>
        <v>12096.769199924951</v>
      </c>
      <c r="C233" s="172">
        <v>89</v>
      </c>
    </row>
    <row r="234" spans="2:3" ht="15.6" x14ac:dyDescent="0.3">
      <c r="B234" s="188">
        <f t="shared" si="5"/>
        <v>12277.414327924449</v>
      </c>
      <c r="C234" s="172">
        <v>90</v>
      </c>
    </row>
    <row r="235" spans="2:3" ht="15.6" x14ac:dyDescent="0.3">
      <c r="B235" s="188">
        <f t="shared" si="5"/>
        <v>12459.263756777278</v>
      </c>
      <c r="C235" s="172">
        <v>91</v>
      </c>
    </row>
    <row r="236" spans="2:3" ht="15.6" x14ac:dyDescent="0.3">
      <c r="B236" s="188">
        <f t="shared" si="5"/>
        <v>12642.325515155793</v>
      </c>
      <c r="C236" s="172">
        <v>92</v>
      </c>
    </row>
    <row r="237" spans="2:3" ht="15.6" x14ac:dyDescent="0.3">
      <c r="B237" s="188">
        <f t="shared" si="5"/>
        <v>12826.607685256831</v>
      </c>
      <c r="C237" s="172">
        <v>93</v>
      </c>
    </row>
    <row r="238" spans="2:3" ht="15.6" x14ac:dyDescent="0.3">
      <c r="B238" s="188">
        <f t="shared" si="5"/>
        <v>13012.118403158542</v>
      </c>
      <c r="C238" s="172">
        <v>94</v>
      </c>
    </row>
    <row r="239" spans="2:3" ht="15.6" x14ac:dyDescent="0.3">
      <c r="B239" s="188">
        <f t="shared" si="5"/>
        <v>13198.865859179597</v>
      </c>
      <c r="C239" s="172">
        <v>95</v>
      </c>
    </row>
    <row r="240" spans="2:3" ht="15.6" x14ac:dyDescent="0.3">
      <c r="B240" s="188">
        <f t="shared" si="5"/>
        <v>13386.858298240793</v>
      </c>
      <c r="C240" s="172">
        <v>96</v>
      </c>
    </row>
    <row r="241" spans="2:3" ht="15.6" x14ac:dyDescent="0.3">
      <c r="B241" s="188">
        <f t="shared" si="5"/>
        <v>13576.104020229064</v>
      </c>
      <c r="C241" s="172">
        <v>97</v>
      </c>
    </row>
    <row r="242" spans="2:3" ht="15.6" x14ac:dyDescent="0.3">
      <c r="B242" s="188">
        <f t="shared" ref="B242:B264" si="6">B241*(1+8%/12)+100</f>
        <v>13766.611380363924</v>
      </c>
      <c r="C242" s="172">
        <v>98</v>
      </c>
    </row>
    <row r="243" spans="2:3" ht="15.6" x14ac:dyDescent="0.3">
      <c r="B243" s="188">
        <f t="shared" si="6"/>
        <v>13958.388789566348</v>
      </c>
      <c r="C243" s="172">
        <v>99</v>
      </c>
    </row>
    <row r="244" spans="2:3" ht="15.6" x14ac:dyDescent="0.3">
      <c r="B244" s="188">
        <f t="shared" si="6"/>
        <v>14151.444714830122</v>
      </c>
      <c r="C244" s="172">
        <v>100</v>
      </c>
    </row>
    <row r="245" spans="2:3" ht="15.6" x14ac:dyDescent="0.3">
      <c r="B245" s="188">
        <f t="shared" si="6"/>
        <v>14345.787679595656</v>
      </c>
      <c r="C245" s="172">
        <v>101</v>
      </c>
    </row>
    <row r="246" spans="2:3" ht="15.6" x14ac:dyDescent="0.3">
      <c r="B246" s="188">
        <f t="shared" si="6"/>
        <v>14541.426264126292</v>
      </c>
      <c r="C246" s="172">
        <v>102</v>
      </c>
    </row>
    <row r="247" spans="2:3" ht="15.6" x14ac:dyDescent="0.3">
      <c r="B247" s="188">
        <f t="shared" si="6"/>
        <v>14738.369105887134</v>
      </c>
      <c r="C247" s="172">
        <v>103</v>
      </c>
    </row>
    <row r="248" spans="2:3" ht="15.6" x14ac:dyDescent="0.3">
      <c r="B248" s="188">
        <f t="shared" si="6"/>
        <v>14936.624899926381</v>
      </c>
      <c r="C248" s="172">
        <v>104</v>
      </c>
    </row>
    <row r="249" spans="2:3" ht="15.6" x14ac:dyDescent="0.3">
      <c r="B249" s="188">
        <f t="shared" si="6"/>
        <v>15136.202399259222</v>
      </c>
      <c r="C249" s="172">
        <v>105</v>
      </c>
    </row>
    <row r="250" spans="2:3" ht="15.6" x14ac:dyDescent="0.3">
      <c r="B250" s="188">
        <f t="shared" si="6"/>
        <v>15337.110415254283</v>
      </c>
      <c r="C250" s="172">
        <v>106</v>
      </c>
    </row>
    <row r="251" spans="2:3" ht="15.6" x14ac:dyDescent="0.3">
      <c r="B251" s="188">
        <f t="shared" si="6"/>
        <v>15539.357818022643</v>
      </c>
      <c r="C251" s="172">
        <v>107</v>
      </c>
    </row>
    <row r="252" spans="2:3" ht="15.6" x14ac:dyDescent="0.3">
      <c r="B252" s="188">
        <f t="shared" si="6"/>
        <v>15742.95353680946</v>
      </c>
      <c r="C252" s="172">
        <v>108</v>
      </c>
    </row>
    <row r="253" spans="2:3" ht="15.6" x14ac:dyDescent="0.3">
      <c r="B253" s="188">
        <f t="shared" si="6"/>
        <v>15947.906560388188</v>
      </c>
      <c r="C253" s="172">
        <v>109</v>
      </c>
    </row>
    <row r="254" spans="2:3" ht="15.6" x14ac:dyDescent="0.3">
      <c r="B254" s="188">
        <f t="shared" si="6"/>
        <v>16154.225937457442</v>
      </c>
      <c r="C254" s="172">
        <v>110</v>
      </c>
    </row>
    <row r="255" spans="2:3" ht="15.6" x14ac:dyDescent="0.3">
      <c r="B255" s="188">
        <f t="shared" si="6"/>
        <v>16361.92077704049</v>
      </c>
      <c r="C255" s="172">
        <v>111</v>
      </c>
    </row>
    <row r="256" spans="2:3" ht="15.6" x14ac:dyDescent="0.3">
      <c r="B256" s="188">
        <f t="shared" si="6"/>
        <v>16571.000248887427</v>
      </c>
      <c r="C256" s="172">
        <v>112</v>
      </c>
    </row>
    <row r="257" spans="2:6" ht="15.6" x14ac:dyDescent="0.3">
      <c r="B257" s="188">
        <f t="shared" si="6"/>
        <v>16781.473583880008</v>
      </c>
      <c r="C257" s="172">
        <v>113</v>
      </c>
    </row>
    <row r="258" spans="2:6" ht="15.6" x14ac:dyDescent="0.3">
      <c r="B258" s="188">
        <f t="shared" si="6"/>
        <v>16993.350074439208</v>
      </c>
      <c r="C258" s="172">
        <v>114</v>
      </c>
    </row>
    <row r="259" spans="2:6" ht="15.6" x14ac:dyDescent="0.3">
      <c r="B259" s="188">
        <f t="shared" si="6"/>
        <v>17206.639074935469</v>
      </c>
      <c r="C259" s="172">
        <v>115</v>
      </c>
    </row>
    <row r="260" spans="2:6" ht="15.6" x14ac:dyDescent="0.3">
      <c r="B260" s="188">
        <f t="shared" si="6"/>
        <v>17421.350002101703</v>
      </c>
      <c r="C260" s="172">
        <v>116</v>
      </c>
    </row>
    <row r="261" spans="2:6" ht="15.6" x14ac:dyDescent="0.3">
      <c r="B261" s="188">
        <f t="shared" si="6"/>
        <v>17637.492335449046</v>
      </c>
      <c r="C261" s="172">
        <v>117</v>
      </c>
    </row>
    <row r="262" spans="2:6" ht="15.6" x14ac:dyDescent="0.3">
      <c r="B262" s="188">
        <f t="shared" si="6"/>
        <v>17855.075617685372</v>
      </c>
      <c r="C262" s="172">
        <v>118</v>
      </c>
    </row>
    <row r="263" spans="2:6" ht="15.6" x14ac:dyDescent="0.3">
      <c r="B263" s="188">
        <f t="shared" si="6"/>
        <v>18074.109455136608</v>
      </c>
      <c r="C263" s="172">
        <v>119</v>
      </c>
    </row>
    <row r="264" spans="2:6" ht="15.6" x14ac:dyDescent="0.3">
      <c r="B264" s="188">
        <f t="shared" si="6"/>
        <v>18294.60351817085</v>
      </c>
      <c r="C264" s="172">
        <v>120</v>
      </c>
    </row>
    <row r="265" spans="2:6" ht="15.6" x14ac:dyDescent="0.3">
      <c r="B265" s="11"/>
      <c r="C265" s="11"/>
    </row>
    <row r="266" spans="2:6" ht="18" x14ac:dyDescent="0.3">
      <c r="B266" s="15"/>
      <c r="C266" s="109"/>
      <c r="D266" s="129"/>
      <c r="E266" s="130"/>
    </row>
    <row r="267" spans="2:6" ht="15.6" x14ac:dyDescent="0.3">
      <c r="B267" s="30" t="s">
        <v>265</v>
      </c>
      <c r="C267" s="11"/>
    </row>
    <row r="268" spans="2:6" ht="15.6" x14ac:dyDescent="0.3">
      <c r="B268" s="11" t="s">
        <v>219</v>
      </c>
      <c r="C268" s="11"/>
    </row>
    <row r="269" spans="2:6" ht="15.6" x14ac:dyDescent="0.3">
      <c r="B269" s="11"/>
      <c r="C269" s="11"/>
    </row>
    <row r="270" spans="2:6" ht="15.6" x14ac:dyDescent="0.3">
      <c r="B270" s="29" t="s">
        <v>266</v>
      </c>
      <c r="C270" s="11"/>
    </row>
    <row r="271" spans="2:6" ht="15" customHeight="1" x14ac:dyDescent="0.3">
      <c r="B271" s="11"/>
      <c r="C271" s="11"/>
    </row>
    <row r="272" spans="2:6" ht="15" customHeight="1" x14ac:dyDescent="0.3">
      <c r="B272" s="112" t="s">
        <v>3</v>
      </c>
      <c r="C272" s="112" t="s">
        <v>330</v>
      </c>
      <c r="D272" s="112" t="s">
        <v>332</v>
      </c>
      <c r="E272" s="112" t="s">
        <v>120</v>
      </c>
      <c r="F272" s="90" t="s">
        <v>131</v>
      </c>
    </row>
    <row r="273" spans="2:6" ht="18" x14ac:dyDescent="0.3">
      <c r="B273" s="14">
        <v>20</v>
      </c>
      <c r="C273" s="114">
        <v>7000000</v>
      </c>
      <c r="D273" s="24">
        <v>0.12</v>
      </c>
      <c r="E273" s="136">
        <v>12</v>
      </c>
      <c r="F273" s="67">
        <f>PMT(D273/E273,E273*B273,-C273)</f>
        <v>77076.029349872697</v>
      </c>
    </row>
    <row r="274" spans="2:6" ht="15.6" x14ac:dyDescent="0.3">
      <c r="B274" s="103"/>
      <c r="C274" s="11"/>
    </row>
    <row r="275" spans="2:6" ht="15.6" x14ac:dyDescent="0.3">
      <c r="B275" s="30" t="s">
        <v>267</v>
      </c>
      <c r="C275" s="11"/>
    </row>
    <row r="276" spans="2:6" ht="15.6" x14ac:dyDescent="0.3">
      <c r="B276" s="30" t="s">
        <v>220</v>
      </c>
      <c r="C276" s="11"/>
    </row>
    <row r="277" spans="2:6" ht="15.6" x14ac:dyDescent="0.3">
      <c r="B277" s="30"/>
      <c r="C277" s="11"/>
    </row>
    <row r="278" spans="2:6" ht="15.6" x14ac:dyDescent="0.3">
      <c r="B278" s="30" t="s">
        <v>335</v>
      </c>
      <c r="C278" s="11"/>
    </row>
    <row r="279" spans="2:6" ht="15.6" x14ac:dyDescent="0.3">
      <c r="B279" s="11"/>
      <c r="C279" s="11"/>
    </row>
    <row r="280" spans="2:6" ht="15.6" x14ac:dyDescent="0.3">
      <c r="B280" s="112" t="s">
        <v>3</v>
      </c>
      <c r="C280" s="112" t="s">
        <v>330</v>
      </c>
      <c r="D280" s="112" t="s">
        <v>332</v>
      </c>
      <c r="E280" s="112" t="s">
        <v>120</v>
      </c>
      <c r="F280" s="90" t="s">
        <v>131</v>
      </c>
    </row>
    <row r="281" spans="2:6" ht="18" x14ac:dyDescent="0.3">
      <c r="B281" s="136" t="s">
        <v>333</v>
      </c>
      <c r="C281" s="114">
        <v>7000000</v>
      </c>
      <c r="D281" s="24">
        <v>0.12</v>
      </c>
      <c r="E281" s="136">
        <v>12</v>
      </c>
      <c r="F281" s="67">
        <f>C281 * (D281/E281)</f>
        <v>70000</v>
      </c>
    </row>
    <row r="282" spans="2:6" ht="18" x14ac:dyDescent="0.3">
      <c r="B282" s="15"/>
      <c r="C282" s="117"/>
      <c r="D282" s="109"/>
      <c r="E282" s="137"/>
      <c r="F282" s="84"/>
    </row>
    <row r="283" spans="2:6" ht="18" x14ac:dyDescent="0.3">
      <c r="B283" s="106" t="s">
        <v>221</v>
      </c>
      <c r="C283" s="11"/>
    </row>
    <row r="284" spans="2:6" ht="15.6" x14ac:dyDescent="0.3">
      <c r="B284" s="11"/>
      <c r="C284" s="11"/>
    </row>
    <row r="285" spans="2:6" ht="15.6" x14ac:dyDescent="0.3">
      <c r="B285" s="30" t="s">
        <v>268</v>
      </c>
      <c r="C285" s="11"/>
    </row>
    <row r="286" spans="2:6" ht="15.6" x14ac:dyDescent="0.3">
      <c r="B286" s="11" t="s">
        <v>222</v>
      </c>
      <c r="C286" s="11"/>
    </row>
    <row r="287" spans="2:6" ht="15.6" x14ac:dyDescent="0.3">
      <c r="B287" s="11"/>
      <c r="C287" s="11"/>
    </row>
    <row r="288" spans="2:6" ht="15.6" x14ac:dyDescent="0.3">
      <c r="B288" s="30" t="s">
        <v>269</v>
      </c>
      <c r="C288" s="11"/>
    </row>
    <row r="289" spans="2:7" ht="18.600000000000001" customHeight="1" x14ac:dyDescent="0.3">
      <c r="B289" s="11"/>
      <c r="C289" s="11"/>
    </row>
    <row r="290" spans="2:7" ht="18.600000000000001" customHeight="1" x14ac:dyDescent="0.3">
      <c r="B290" s="112" t="s">
        <v>149</v>
      </c>
      <c r="C290" s="112" t="s">
        <v>133</v>
      </c>
      <c r="D290" s="112" t="s">
        <v>153</v>
      </c>
      <c r="E290" s="112" t="s">
        <v>156</v>
      </c>
      <c r="F290" s="138" t="s">
        <v>334</v>
      </c>
    </row>
    <row r="291" spans="2:7" ht="18" x14ac:dyDescent="0.35">
      <c r="B291" s="14">
        <v>1000</v>
      </c>
      <c r="C291" s="14">
        <v>3</v>
      </c>
      <c r="D291" s="24">
        <v>0.05</v>
      </c>
      <c r="E291" s="14">
        <v>900</v>
      </c>
      <c r="F291" s="126">
        <f>RATE(C291,D291*B291,-E291,B291)</f>
        <v>8.9468026327162928E-2</v>
      </c>
    </row>
    <row r="292" spans="2:7" ht="15.6" x14ac:dyDescent="0.3">
      <c r="C292" s="137"/>
      <c r="D292" s="137"/>
      <c r="E292" s="139"/>
      <c r="F292" s="137"/>
      <c r="G292" s="140"/>
    </row>
    <row r="293" spans="2:7" ht="15.6" x14ac:dyDescent="0.3">
      <c r="B293" s="185">
        <f>RATE(3,5%*1000,-900,1000)</f>
        <v>8.9468026327162928E-2</v>
      </c>
      <c r="C293" s="179">
        <v>1</v>
      </c>
      <c r="D293" s="179">
        <v>2</v>
      </c>
      <c r="E293" s="179">
        <v>3</v>
      </c>
      <c r="F293" s="184">
        <v>8.9469999999999994E-2</v>
      </c>
      <c r="G293" s="140"/>
    </row>
    <row r="294" spans="2:7" ht="15.6" x14ac:dyDescent="0.3">
      <c r="B294" s="27"/>
      <c r="C294" s="179">
        <f>D291*B291</f>
        <v>50</v>
      </c>
      <c r="D294" s="179">
        <f>C294</f>
        <v>50</v>
      </c>
      <c r="E294" s="183">
        <f>B291+D294</f>
        <v>1050</v>
      </c>
      <c r="F294" s="137"/>
      <c r="G294" s="140"/>
    </row>
    <row r="295" spans="2:7" ht="15.6" x14ac:dyDescent="0.3">
      <c r="B295" s="186">
        <v>1</v>
      </c>
      <c r="C295" s="180">
        <f>B295/(1+ $F293)</f>
        <v>0.91787750006884083</v>
      </c>
      <c r="D295" s="180">
        <f>C295/(1+ $F293)</f>
        <v>0.84249910513262494</v>
      </c>
      <c r="E295" s="180">
        <f>D295/(1+ $F293)</f>
        <v>0.7733109724293693</v>
      </c>
      <c r="F295" s="137"/>
      <c r="G295" s="140"/>
    </row>
    <row r="296" spans="2:7" ht="15.6" x14ac:dyDescent="0.3">
      <c r="B296" s="27"/>
      <c r="C296" s="181">
        <f>C295*C294</f>
        <v>45.893875003442041</v>
      </c>
      <c r="D296" s="181">
        <f t="shared" ref="D296:E296" si="7">D295*D294</f>
        <v>42.124955256631246</v>
      </c>
      <c r="E296" s="181">
        <f t="shared" si="7"/>
        <v>811.97652105083773</v>
      </c>
      <c r="F296" s="137"/>
      <c r="G296" s="140"/>
    </row>
    <row r="297" spans="2:7" ht="15.6" x14ac:dyDescent="0.3">
      <c r="B297" s="27"/>
      <c r="C297" s="182">
        <f>SUM(C296:E296)</f>
        <v>899.99535131091102</v>
      </c>
      <c r="D297" s="137"/>
      <c r="E297" s="139"/>
      <c r="F297" s="137"/>
      <c r="G297" s="140"/>
    </row>
    <row r="298" spans="2:7" ht="15.6" x14ac:dyDescent="0.3">
      <c r="B298" s="11"/>
      <c r="C298" s="11"/>
    </row>
    <row r="299" spans="2:7" ht="15.6" x14ac:dyDescent="0.3">
      <c r="B299" s="11" t="s">
        <v>271</v>
      </c>
      <c r="C299" s="11"/>
    </row>
    <row r="300" spans="2:7" ht="15.6" x14ac:dyDescent="0.3">
      <c r="B300" s="11"/>
      <c r="C300" s="11"/>
    </row>
    <row r="301" spans="2:7" ht="15.6" x14ac:dyDescent="0.3">
      <c r="B301" s="30" t="s">
        <v>270</v>
      </c>
      <c r="C301" s="11"/>
    </row>
    <row r="302" spans="2:7" ht="15.6" x14ac:dyDescent="0.3">
      <c r="B302" s="11"/>
      <c r="C302" s="11"/>
    </row>
    <row r="303" spans="2:7" ht="15.6" x14ac:dyDescent="0.3">
      <c r="B303" s="112" t="s">
        <v>156</v>
      </c>
      <c r="C303" s="112" t="s">
        <v>133</v>
      </c>
      <c r="D303" s="125" t="s">
        <v>336</v>
      </c>
      <c r="E303" s="138" t="s">
        <v>334</v>
      </c>
      <c r="F303" s="112" t="s">
        <v>149</v>
      </c>
    </row>
    <row r="304" spans="2:7" ht="18" x14ac:dyDescent="0.35">
      <c r="B304" s="14">
        <v>1100</v>
      </c>
      <c r="C304" s="14">
        <v>4</v>
      </c>
      <c r="D304" s="14">
        <v>100</v>
      </c>
      <c r="E304" s="126">
        <v>0.12</v>
      </c>
      <c r="F304" s="14">
        <f>FV(E304,C304,D304,-B304)</f>
        <v>1252.9384960000002</v>
      </c>
    </row>
    <row r="305" spans="2:15" ht="15.6" x14ac:dyDescent="0.3">
      <c r="B305" s="137"/>
      <c r="C305" s="137"/>
      <c r="D305" s="137"/>
      <c r="E305" s="140"/>
      <c r="F305" s="137"/>
    </row>
    <row r="306" spans="2:15" ht="15.6" x14ac:dyDescent="0.3">
      <c r="B306" s="143">
        <f>F304</f>
        <v>1252.9384960000002</v>
      </c>
      <c r="C306" s="137">
        <v>1</v>
      </c>
      <c r="D306" s="137">
        <v>2</v>
      </c>
      <c r="E306" s="137">
        <v>3</v>
      </c>
      <c r="F306" s="137">
        <v>4</v>
      </c>
      <c r="G306" s="146">
        <v>1252.9384960000004</v>
      </c>
    </row>
    <row r="307" spans="2:15" ht="15.6" x14ac:dyDescent="0.3">
      <c r="B307" s="27"/>
      <c r="C307" s="137">
        <v>100</v>
      </c>
      <c r="D307" s="137">
        <v>100</v>
      </c>
      <c r="E307" s="137">
        <v>100</v>
      </c>
      <c r="F307" s="137">
        <f>100+G306</f>
        <v>1352.9384960000004</v>
      </c>
      <c r="G307" s="137"/>
    </row>
    <row r="308" spans="2:15" ht="15.6" x14ac:dyDescent="0.3">
      <c r="B308" s="27">
        <v>1</v>
      </c>
      <c r="C308" s="142">
        <f>1/(1+ 12%)^C306</f>
        <v>0.89285714285714279</v>
      </c>
      <c r="D308" s="142">
        <f t="shared" ref="D308:F308" si="8">1/(1+ 12%)^D306</f>
        <v>0.79719387755102034</v>
      </c>
      <c r="E308" s="142">
        <f t="shared" si="8"/>
        <v>0.71178024781341087</v>
      </c>
      <c r="F308" s="142">
        <f t="shared" si="8"/>
        <v>0.63551807840483121</v>
      </c>
      <c r="G308" s="137"/>
    </row>
    <row r="309" spans="2:15" ht="15.6" x14ac:dyDescent="0.3">
      <c r="B309" s="27"/>
      <c r="C309" s="145">
        <f>C308*C307</f>
        <v>89.285714285714278</v>
      </c>
      <c r="D309" s="145">
        <f t="shared" ref="D309:F309" si="9">D308*D307</f>
        <v>79.719387755102034</v>
      </c>
      <c r="E309" s="145">
        <f t="shared" si="9"/>
        <v>71.178024781341094</v>
      </c>
      <c r="F309" s="145">
        <f t="shared" si="9"/>
        <v>859.81687317784269</v>
      </c>
      <c r="G309" s="137"/>
    </row>
    <row r="310" spans="2:15" ht="15.6" x14ac:dyDescent="0.3">
      <c r="B310" s="27"/>
      <c r="C310" s="144">
        <f>SUM(C309:F309)</f>
        <v>1100</v>
      </c>
      <c r="D310" s="137"/>
      <c r="E310" s="139"/>
      <c r="F310" s="137"/>
      <c r="G310" s="137"/>
    </row>
    <row r="311" spans="2:15" ht="15.6" x14ac:dyDescent="0.3">
      <c r="B311" s="11"/>
      <c r="C311" s="11"/>
    </row>
    <row r="312" spans="2:15" ht="15.6" x14ac:dyDescent="0.3">
      <c r="B312" s="30" t="s">
        <v>272</v>
      </c>
      <c r="C312" s="11"/>
    </row>
    <row r="313" spans="2:15" ht="15.6" x14ac:dyDescent="0.3">
      <c r="B313" s="11" t="s">
        <v>223</v>
      </c>
      <c r="C313" s="11"/>
    </row>
    <row r="314" spans="2:15" ht="15.6" x14ac:dyDescent="0.3">
      <c r="B314" s="11"/>
      <c r="C314" s="11"/>
    </row>
    <row r="315" spans="2:15" ht="15.6" x14ac:dyDescent="0.3">
      <c r="B315" s="30" t="s">
        <v>273</v>
      </c>
      <c r="C315" s="11"/>
    </row>
    <row r="316" spans="2:15" ht="15.6" x14ac:dyDescent="0.3">
      <c r="B316" s="11"/>
      <c r="C316" s="11"/>
    </row>
    <row r="317" spans="2:15" ht="15.6" x14ac:dyDescent="0.3">
      <c r="B317" s="112" t="s">
        <v>149</v>
      </c>
      <c r="C317" s="112" t="s">
        <v>133</v>
      </c>
      <c r="D317" s="112" t="s">
        <v>153</v>
      </c>
      <c r="E317" s="112" t="s">
        <v>338</v>
      </c>
      <c r="F317" s="68" t="s">
        <v>337</v>
      </c>
      <c r="G317" s="112" t="s">
        <v>339</v>
      </c>
    </row>
    <row r="318" spans="2:15" ht="18" x14ac:dyDescent="0.35">
      <c r="B318" s="14">
        <v>1000</v>
      </c>
      <c r="C318" s="14">
        <v>7</v>
      </c>
      <c r="D318" s="24">
        <v>0.12</v>
      </c>
      <c r="E318" s="14">
        <v>2</v>
      </c>
      <c r="F318" s="127">
        <v>0.1</v>
      </c>
      <c r="G318" s="14">
        <f>-PV(F318/E318,C318*E318,D318*B318/E318,B318)</f>
        <v>1098.9864094008963</v>
      </c>
    </row>
    <row r="319" spans="2:15" ht="15.6" x14ac:dyDescent="0.3">
      <c r="B319" s="11"/>
      <c r="C319" s="11"/>
    </row>
    <row r="320" spans="2:15" ht="15.6" x14ac:dyDescent="0.3">
      <c r="B320" s="172">
        <v>1</v>
      </c>
      <c r="C320" s="172">
        <v>2</v>
      </c>
      <c r="D320" s="172">
        <v>3</v>
      </c>
      <c r="E320" s="172">
        <v>4</v>
      </c>
      <c r="F320" s="172">
        <v>5</v>
      </c>
      <c r="G320" s="172">
        <v>6</v>
      </c>
      <c r="H320" s="172">
        <v>7</v>
      </c>
      <c r="I320" s="172">
        <v>8</v>
      </c>
      <c r="J320" s="172">
        <v>9</v>
      </c>
      <c r="K320" s="172">
        <v>10</v>
      </c>
      <c r="L320" s="172">
        <v>11</v>
      </c>
      <c r="M320" s="172">
        <v>12</v>
      </c>
      <c r="N320" s="172">
        <v>13</v>
      </c>
      <c r="O320" s="172">
        <v>14</v>
      </c>
    </row>
    <row r="321" spans="2:17" ht="15.6" x14ac:dyDescent="0.3">
      <c r="B321" s="172">
        <f>B318*D318/E318</f>
        <v>60</v>
      </c>
      <c r="C321" s="172">
        <f>B321</f>
        <v>60</v>
      </c>
      <c r="D321" s="172">
        <f t="shared" ref="D321:N321" si="10">C321</f>
        <v>60</v>
      </c>
      <c r="E321" s="172">
        <f t="shared" si="10"/>
        <v>60</v>
      </c>
      <c r="F321" s="172">
        <f t="shared" si="10"/>
        <v>60</v>
      </c>
      <c r="G321" s="172">
        <f t="shared" si="10"/>
        <v>60</v>
      </c>
      <c r="H321" s="172">
        <f t="shared" si="10"/>
        <v>60</v>
      </c>
      <c r="I321" s="172">
        <f t="shared" si="10"/>
        <v>60</v>
      </c>
      <c r="J321" s="172">
        <f t="shared" si="10"/>
        <v>60</v>
      </c>
      <c r="K321" s="172">
        <f t="shared" si="10"/>
        <v>60</v>
      </c>
      <c r="L321" s="172">
        <f t="shared" si="10"/>
        <v>60</v>
      </c>
      <c r="M321" s="172">
        <f t="shared" si="10"/>
        <v>60</v>
      </c>
      <c r="N321" s="172">
        <f t="shared" si="10"/>
        <v>60</v>
      </c>
      <c r="O321" s="173">
        <f>N321+B318</f>
        <v>1060</v>
      </c>
    </row>
    <row r="322" spans="2:17" ht="15.6" x14ac:dyDescent="0.3">
      <c r="B322" s="172">
        <f>B321/(1+0.05)^B320</f>
        <v>57.142857142857139</v>
      </c>
      <c r="C322" s="172">
        <f t="shared" ref="C322:O322" si="11">C321/(1+0.05)^C320</f>
        <v>54.42176870748299</v>
      </c>
      <c r="D322" s="172">
        <f t="shared" si="11"/>
        <v>51.830255911888557</v>
      </c>
      <c r="E322" s="172">
        <f t="shared" si="11"/>
        <v>49.362148487512918</v>
      </c>
      <c r="F322" s="172">
        <f t="shared" si="11"/>
        <v>47.011569988107539</v>
      </c>
      <c r="G322" s="172">
        <f t="shared" si="11"/>
        <v>44.77292379819766</v>
      </c>
      <c r="H322" s="172">
        <f t="shared" si="11"/>
        <v>42.640879807807288</v>
      </c>
      <c r="I322" s="172">
        <f t="shared" si="11"/>
        <v>40.610361721721233</v>
      </c>
      <c r="J322" s="172">
        <f t="shared" si="11"/>
        <v>38.676534973067838</v>
      </c>
      <c r="K322" s="172">
        <f t="shared" si="11"/>
        <v>36.834795212445556</v>
      </c>
      <c r="L322" s="172">
        <f t="shared" si="11"/>
        <v>35.080757345186242</v>
      </c>
      <c r="M322" s="172">
        <f t="shared" si="11"/>
        <v>33.410245090653568</v>
      </c>
      <c r="N322" s="172">
        <f t="shared" si="11"/>
        <v>31.81928103871768</v>
      </c>
      <c r="O322" s="172">
        <f t="shared" si="11"/>
        <v>535.37203017524996</v>
      </c>
    </row>
    <row r="323" spans="2:17" ht="15.6" x14ac:dyDescent="0.3">
      <c r="B323" s="11"/>
      <c r="C323" s="11"/>
    </row>
    <row r="324" spans="2:17" ht="15.6" x14ac:dyDescent="0.3">
      <c r="B324" s="172">
        <f>SUM(B322:O322)</f>
        <v>1098.9864094008963</v>
      </c>
      <c r="C324" s="11"/>
    </row>
    <row r="325" spans="2:17" ht="15.6" x14ac:dyDescent="0.3">
      <c r="B325" s="178">
        <f>B324/B318-1</f>
        <v>9.8986409400896314E-2</v>
      </c>
      <c r="C325" s="11"/>
    </row>
    <row r="326" spans="2:17" ht="15.6" x14ac:dyDescent="0.3">
      <c r="B326" s="11"/>
      <c r="C326" s="11"/>
    </row>
    <row r="327" spans="2:17" ht="15.6" x14ac:dyDescent="0.3">
      <c r="B327" s="30" t="s">
        <v>274</v>
      </c>
      <c r="C327" s="11"/>
    </row>
    <row r="328" spans="2:17" ht="15.6" x14ac:dyDescent="0.3">
      <c r="B328" s="11" t="s">
        <v>224</v>
      </c>
      <c r="C328" s="11"/>
    </row>
    <row r="329" spans="2:17" ht="15.6" x14ac:dyDescent="0.3">
      <c r="B329" s="11"/>
      <c r="C329" s="11"/>
    </row>
    <row r="330" spans="2:17" ht="15.6" x14ac:dyDescent="0.3">
      <c r="B330" s="30" t="s">
        <v>275</v>
      </c>
      <c r="C330" s="11"/>
    </row>
    <row r="331" spans="2:17" ht="15.6" x14ac:dyDescent="0.3">
      <c r="B331" s="30"/>
      <c r="C331" s="11"/>
      <c r="G331" s="122" t="s">
        <v>177</v>
      </c>
    </row>
    <row r="332" spans="2:17" ht="15.6" x14ac:dyDescent="0.3">
      <c r="B332" s="112" t="s">
        <v>149</v>
      </c>
      <c r="C332" s="112" t="s">
        <v>133</v>
      </c>
      <c r="D332" s="112" t="s">
        <v>153</v>
      </c>
      <c r="E332" s="112" t="s">
        <v>338</v>
      </c>
      <c r="F332" s="112" t="s">
        <v>340</v>
      </c>
      <c r="G332" s="68" t="s">
        <v>337</v>
      </c>
    </row>
    <row r="333" spans="2:17" ht="18" x14ac:dyDescent="0.35">
      <c r="B333" s="14">
        <v>1000</v>
      </c>
      <c r="C333" s="14">
        <v>7</v>
      </c>
      <c r="D333" s="24">
        <v>0.12</v>
      </c>
      <c r="E333" s="14">
        <v>2</v>
      </c>
      <c r="F333" s="14">
        <v>950</v>
      </c>
      <c r="G333" s="110">
        <f>RATE(C333*E333,D333*B333/E333,-F333,B333)*E333</f>
        <v>0.13113235484231398</v>
      </c>
      <c r="Q333" s="177"/>
    </row>
    <row r="334" spans="2:17" ht="15.6" x14ac:dyDescent="0.3">
      <c r="B334" s="30"/>
      <c r="C334" s="11"/>
      <c r="Q334" s="175" t="s">
        <v>341</v>
      </c>
    </row>
    <row r="335" spans="2:17" ht="15.6" x14ac:dyDescent="0.3">
      <c r="B335" s="172">
        <v>1</v>
      </c>
      <c r="C335" s="172">
        <v>2</v>
      </c>
      <c r="D335" s="172">
        <v>3</v>
      </c>
      <c r="E335" s="172">
        <v>4</v>
      </c>
      <c r="F335" s="172">
        <v>5</v>
      </c>
      <c r="G335" s="172">
        <v>6</v>
      </c>
      <c r="H335" s="172">
        <v>7</v>
      </c>
      <c r="I335" s="172">
        <v>8</v>
      </c>
      <c r="J335" s="172">
        <v>9</v>
      </c>
      <c r="K335" s="172">
        <v>10</v>
      </c>
      <c r="L335" s="172">
        <v>11</v>
      </c>
      <c r="M335" s="172">
        <v>12</v>
      </c>
      <c r="N335" s="172">
        <v>13</v>
      </c>
      <c r="O335" s="172">
        <v>14</v>
      </c>
      <c r="Q335" s="176">
        <v>0.13113235435089543</v>
      </c>
    </row>
    <row r="336" spans="2:17" ht="15.6" x14ac:dyDescent="0.3">
      <c r="B336" s="172">
        <f>B333*D333/E333</f>
        <v>60</v>
      </c>
      <c r="C336" s="172">
        <f>B336</f>
        <v>60</v>
      </c>
      <c r="D336" s="172">
        <f t="shared" ref="D336:N336" si="12">C336</f>
        <v>60</v>
      </c>
      <c r="E336" s="172">
        <f t="shared" si="12"/>
        <v>60</v>
      </c>
      <c r="F336" s="172">
        <f t="shared" si="12"/>
        <v>60</v>
      </c>
      <c r="G336" s="172">
        <f t="shared" si="12"/>
        <v>60</v>
      </c>
      <c r="H336" s="172">
        <f t="shared" si="12"/>
        <v>60</v>
      </c>
      <c r="I336" s="172">
        <f t="shared" si="12"/>
        <v>60</v>
      </c>
      <c r="J336" s="172">
        <f t="shared" si="12"/>
        <v>60</v>
      </c>
      <c r="K336" s="172">
        <f t="shared" si="12"/>
        <v>60</v>
      </c>
      <c r="L336" s="172">
        <f t="shared" si="12"/>
        <v>60</v>
      </c>
      <c r="M336" s="172">
        <f t="shared" si="12"/>
        <v>60</v>
      </c>
      <c r="N336" s="172">
        <f t="shared" si="12"/>
        <v>60</v>
      </c>
      <c r="O336" s="173">
        <f>N336+B333</f>
        <v>1060</v>
      </c>
    </row>
    <row r="337" spans="1:17" ht="15.6" x14ac:dyDescent="0.3">
      <c r="B337" s="172">
        <f>B336/(1+$Q335/2)^B335</f>
        <v>56.308093561157463</v>
      </c>
      <c r="C337" s="172">
        <f t="shared" ref="C337:O337" si="13">C336/(1+$Q335/2)^C335</f>
        <v>52.843356674867714</v>
      </c>
      <c r="D337" s="172">
        <f t="shared" si="13"/>
        <v>49.591811195567765</v>
      </c>
      <c r="E337" s="172">
        <f t="shared" si="13"/>
        <v>46.540339077788104</v>
      </c>
      <c r="F337" s="172">
        <f t="shared" si="13"/>
        <v>43.676629452668088</v>
      </c>
      <c r="G337" s="172">
        <f t="shared" si="13"/>
        <v>40.98912896094734</v>
      </c>
      <c r="H337" s="172">
        <f t="shared" si="13"/>
        <v>38.466995142056199</v>
      </c>
      <c r="I337" s="172">
        <f t="shared" si="13"/>
        <v>36.100052691258171</v>
      </c>
      <c r="J337" s="172">
        <f t="shared" si="13"/>
        <v>33.878752408367987</v>
      </c>
      <c r="K337" s="172">
        <f t="shared" si="13"/>
        <v>31.794132672427896</v>
      </c>
      <c r="L337" s="172">
        <f t="shared" si="13"/>
        <v>29.837783286915389</v>
      </c>
      <c r="M337" s="172">
        <f t="shared" si="13"/>
        <v>28.001811549619539</v>
      </c>
      <c r="N337" s="172">
        <f t="shared" si="13"/>
        <v>26.278810410297943</v>
      </c>
      <c r="O337" s="172">
        <f t="shared" si="13"/>
        <v>435.6923050484761</v>
      </c>
      <c r="P337" s="11"/>
    </row>
    <row r="338" spans="1:17" ht="15.6" x14ac:dyDescent="0.3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</row>
    <row r="339" spans="1:17" ht="15.6" x14ac:dyDescent="0.3">
      <c r="B339" s="174">
        <f>SUM(B337:O337)</f>
        <v>950.00000213241572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</row>
    <row r="340" spans="1:17" ht="15.6" x14ac:dyDescent="0.3">
      <c r="B340" s="11"/>
      <c r="C340" s="11"/>
    </row>
    <row r="341" spans="1:17" ht="15.6" x14ac:dyDescent="0.3">
      <c r="B341" s="11"/>
      <c r="C341" s="11"/>
    </row>
    <row r="342" spans="1:17" ht="18" x14ac:dyDescent="0.3">
      <c r="B342" s="106" t="s">
        <v>225</v>
      </c>
      <c r="C342" s="11"/>
    </row>
    <row r="343" spans="1:17" ht="15.6" x14ac:dyDescent="0.3">
      <c r="B343" s="11"/>
      <c r="C343" s="11"/>
    </row>
    <row r="344" spans="1:17" ht="15.6" x14ac:dyDescent="0.3">
      <c r="B344" s="30" t="s">
        <v>276</v>
      </c>
      <c r="C344" s="11"/>
    </row>
    <row r="345" spans="1:17" ht="15.6" x14ac:dyDescent="0.3">
      <c r="B345" s="11" t="s">
        <v>226</v>
      </c>
      <c r="C345" s="11"/>
    </row>
    <row r="346" spans="1:17" ht="15.6" x14ac:dyDescent="0.3">
      <c r="B346" s="11" t="s">
        <v>227</v>
      </c>
      <c r="L346" s="152"/>
    </row>
    <row r="347" spans="1:17" ht="15.6" x14ac:dyDescent="0.3">
      <c r="B347" s="165"/>
      <c r="C347" s="161"/>
      <c r="D347" s="162"/>
      <c r="E347" s="163"/>
      <c r="F347" s="163"/>
      <c r="G347" s="164"/>
      <c r="H347" s="164"/>
      <c r="I347" s="169"/>
      <c r="J347" s="153"/>
      <c r="K347" s="170"/>
      <c r="L347" s="171"/>
      <c r="M347" s="152"/>
      <c r="N347" s="170"/>
      <c r="O347" s="153"/>
      <c r="P347" s="153"/>
      <c r="Q347" s="153"/>
    </row>
    <row r="348" spans="1:17" s="10" customFormat="1" ht="15.6" x14ac:dyDescent="0.3">
      <c r="B348" s="166" t="s">
        <v>86</v>
      </c>
      <c r="C348" s="166"/>
      <c r="D348" s="226">
        <v>0</v>
      </c>
      <c r="E348" s="226">
        <v>1</v>
      </c>
      <c r="F348" s="226">
        <v>2</v>
      </c>
      <c r="G348" s="226">
        <v>3</v>
      </c>
      <c r="H348" s="226">
        <v>4</v>
      </c>
      <c r="I348" s="226">
        <v>5</v>
      </c>
      <c r="J348" s="226">
        <v>6</v>
      </c>
      <c r="K348" s="226">
        <v>7</v>
      </c>
      <c r="L348" s="226">
        <v>8</v>
      </c>
      <c r="M348" s="226">
        <v>9</v>
      </c>
      <c r="N348" s="226">
        <v>10</v>
      </c>
      <c r="O348" s="226">
        <v>11</v>
      </c>
      <c r="P348" s="226">
        <v>12</v>
      </c>
      <c r="Q348" s="222"/>
    </row>
    <row r="349" spans="1:17" s="10" customFormat="1" ht="15.6" x14ac:dyDescent="0.3">
      <c r="A349" s="219"/>
      <c r="B349" s="167" t="s">
        <v>110</v>
      </c>
      <c r="C349" s="168" t="s">
        <v>228</v>
      </c>
      <c r="D349" s="227">
        <f>C356</f>
        <v>100</v>
      </c>
      <c r="E349" s="228">
        <f>D349-E350</f>
        <v>95.856319240600428</v>
      </c>
      <c r="F349" s="228">
        <f t="shared" ref="F349:P349" si="14">E349-F350</f>
        <v>91.884339383559038</v>
      </c>
      <c r="G349" s="228">
        <f t="shared" si="14"/>
        <v>88.076945691621091</v>
      </c>
      <c r="H349" s="228">
        <f t="shared" si="14"/>
        <v>84.427318239530578</v>
      </c>
      <c r="I349" s="228">
        <f t="shared" si="14"/>
        <v>80.928919697962101</v>
      </c>
      <c r="J349" s="228">
        <f t="shared" si="14"/>
        <v>77.575483623647713</v>
      </c>
      <c r="K349" s="228">
        <f t="shared" si="14"/>
        <v>74.361003234723455</v>
      </c>
      <c r="L349" s="228">
        <f t="shared" si="14"/>
        <v>71.27972065118972</v>
      </c>
      <c r="M349" s="228">
        <f t="shared" si="14"/>
        <v>68.326116581212602</v>
      </c>
      <c r="N349" s="228">
        <f t="shared" si="14"/>
        <v>65.494900434791973</v>
      </c>
      <c r="O349" s="228">
        <f t="shared" si="14"/>
        <v>62.78100084708759</v>
      </c>
      <c r="P349" s="228">
        <f t="shared" si="14"/>
        <v>60.179556594428334</v>
      </c>
      <c r="Q349" s="223"/>
    </row>
    <row r="350" spans="1:17" s="10" customFormat="1" ht="15.6" x14ac:dyDescent="0.3">
      <c r="B350" s="167" t="s">
        <v>99</v>
      </c>
      <c r="C350" s="168" t="s">
        <v>229</v>
      </c>
      <c r="D350" s="229"/>
      <c r="E350" s="228">
        <f>E352-E351</f>
        <v>4.1436807593995759</v>
      </c>
      <c r="F350" s="228">
        <f t="shared" ref="F350:P350" si="15">F352-F351</f>
        <v>3.9719798570413918</v>
      </c>
      <c r="G350" s="228">
        <f t="shared" si="15"/>
        <v>3.8073936919379427</v>
      </c>
      <c r="H350" s="228">
        <f t="shared" si="15"/>
        <v>3.6496274520905185</v>
      </c>
      <c r="I350" s="228">
        <f t="shared" si="15"/>
        <v>3.4983985415684771</v>
      </c>
      <c r="J350" s="228">
        <f t="shared" si="15"/>
        <v>3.3534360743143914</v>
      </c>
      <c r="K350" s="228">
        <f t="shared" si="15"/>
        <v>3.2144803889242599</v>
      </c>
      <c r="L350" s="228">
        <f t="shared" si="15"/>
        <v>3.0812825835337314</v>
      </c>
      <c r="M350" s="228">
        <f t="shared" si="15"/>
        <v>2.953604069977116</v>
      </c>
      <c r="N350" s="228">
        <f t="shared" si="15"/>
        <v>2.8312161464206298</v>
      </c>
      <c r="O350" s="228">
        <f t="shared" si="15"/>
        <v>2.7138995877043843</v>
      </c>
      <c r="P350" s="228">
        <f t="shared" si="15"/>
        <v>2.6014442526592525</v>
      </c>
      <c r="Q350" s="224"/>
    </row>
    <row r="351" spans="1:17" s="10" customFormat="1" ht="15.6" x14ac:dyDescent="0.3">
      <c r="B351" s="167" t="s">
        <v>100</v>
      </c>
      <c r="C351" s="168" t="s">
        <v>229</v>
      </c>
      <c r="D351" s="229"/>
      <c r="E351" s="230">
        <f>D349*$E356</f>
        <v>12</v>
      </c>
      <c r="F351" s="230">
        <f t="shared" ref="F351:P351" si="16">E349*$E356</f>
        <v>11.502758308872052</v>
      </c>
      <c r="G351" s="230">
        <f t="shared" si="16"/>
        <v>11.026120726027084</v>
      </c>
      <c r="H351" s="230">
        <f t="shared" si="16"/>
        <v>10.56923348299453</v>
      </c>
      <c r="I351" s="230">
        <f t="shared" si="16"/>
        <v>10.13127818874367</v>
      </c>
      <c r="J351" s="230">
        <f t="shared" si="16"/>
        <v>9.7114703637554509</v>
      </c>
      <c r="K351" s="230">
        <f t="shared" si="16"/>
        <v>9.3090580348377259</v>
      </c>
      <c r="L351" s="230">
        <f t="shared" si="16"/>
        <v>8.9233203881668146</v>
      </c>
      <c r="M351" s="230">
        <f t="shared" si="16"/>
        <v>8.5535664781427663</v>
      </c>
      <c r="N351" s="230">
        <f t="shared" si="16"/>
        <v>8.199133989745512</v>
      </c>
      <c r="O351" s="230">
        <f t="shared" si="16"/>
        <v>7.8593880521750368</v>
      </c>
      <c r="P351" s="230">
        <f t="shared" si="16"/>
        <v>7.5337201016505109</v>
      </c>
      <c r="Q351" s="222"/>
    </row>
    <row r="352" spans="1:17" s="10" customFormat="1" ht="15.6" x14ac:dyDescent="0.3">
      <c r="B352" s="167" t="s">
        <v>101</v>
      </c>
      <c r="C352" s="168" t="s">
        <v>229</v>
      </c>
      <c r="D352" s="229"/>
      <c r="E352" s="231">
        <f>PMT($E356,$D356,-$D349)</f>
        <v>16.143680759399576</v>
      </c>
      <c r="F352" s="231">
        <f>PMT($E356,$D356,-E349)</f>
        <v>15.474738165913443</v>
      </c>
      <c r="G352" s="231">
        <f t="shared" ref="G352:P352" si="17">PMT($E356,$D356,-F349)</f>
        <v>14.833514417965027</v>
      </c>
      <c r="H352" s="231">
        <f t="shared" si="17"/>
        <v>14.218860935085049</v>
      </c>
      <c r="I352" s="231">
        <f t="shared" si="17"/>
        <v>13.629676730312147</v>
      </c>
      <c r="J352" s="231">
        <f t="shared" si="17"/>
        <v>13.064906438069842</v>
      </c>
      <c r="K352" s="231">
        <f t="shared" si="17"/>
        <v>12.523538423761986</v>
      </c>
      <c r="L352" s="231">
        <f t="shared" si="17"/>
        <v>12.004602971700546</v>
      </c>
      <c r="M352" s="231">
        <f t="shared" si="17"/>
        <v>11.507170548119882</v>
      </c>
      <c r="N352" s="231">
        <f t="shared" si="17"/>
        <v>11.030350136166142</v>
      </c>
      <c r="O352" s="231">
        <f t="shared" si="17"/>
        <v>10.573287639879421</v>
      </c>
      <c r="P352" s="231">
        <f t="shared" si="17"/>
        <v>10.135164354309763</v>
      </c>
      <c r="Q352" s="225"/>
    </row>
    <row r="353" spans="2:8" ht="15.6" x14ac:dyDescent="0.3">
      <c r="B353" s="30"/>
      <c r="C353" s="11"/>
    </row>
    <row r="354" spans="2:8" ht="15.6" x14ac:dyDescent="0.3">
      <c r="B354" s="30"/>
      <c r="C354" s="68" t="s">
        <v>159</v>
      </c>
      <c r="D354" s="112" t="s">
        <v>176</v>
      </c>
      <c r="E354" s="68" t="s">
        <v>130</v>
      </c>
    </row>
    <row r="355" spans="2:8" ht="15.6" x14ac:dyDescent="0.3">
      <c r="B355" s="30"/>
      <c r="C355" s="87" t="s">
        <v>182</v>
      </c>
      <c r="D355" s="87" t="s">
        <v>3</v>
      </c>
      <c r="E355" s="87" t="s">
        <v>183</v>
      </c>
    </row>
    <row r="356" spans="2:8" ht="18" x14ac:dyDescent="0.3">
      <c r="B356" s="30"/>
      <c r="C356" s="9">
        <v>100</v>
      </c>
      <c r="D356" s="14">
        <v>12</v>
      </c>
      <c r="E356" s="24">
        <v>0.12</v>
      </c>
    </row>
    <row r="357" spans="2:8" ht="15.6" x14ac:dyDescent="0.3">
      <c r="B357" s="11"/>
      <c r="C357" s="11"/>
    </row>
    <row r="358" spans="2:8" ht="15.6" x14ac:dyDescent="0.3">
      <c r="B358" s="30" t="s">
        <v>277</v>
      </c>
      <c r="C358" s="11"/>
    </row>
    <row r="359" spans="2:8" ht="15.6" x14ac:dyDescent="0.3">
      <c r="B359" s="11" t="s">
        <v>230</v>
      </c>
      <c r="C359" s="11"/>
    </row>
    <row r="360" spans="2:8" ht="15.6" x14ac:dyDescent="0.3">
      <c r="B360" s="11"/>
      <c r="C360" s="11"/>
    </row>
    <row r="361" spans="2:8" ht="15.6" x14ac:dyDescent="0.3">
      <c r="B361" s="30" t="s">
        <v>278</v>
      </c>
      <c r="C361" s="11"/>
    </row>
    <row r="362" spans="2:8" ht="15.6" x14ac:dyDescent="0.3">
      <c r="B362" s="30" t="s">
        <v>231</v>
      </c>
      <c r="C362" s="11"/>
    </row>
    <row r="363" spans="2:8" ht="15.6" x14ac:dyDescent="0.3">
      <c r="B363" s="30" t="s">
        <v>232</v>
      </c>
      <c r="C363" s="11"/>
    </row>
    <row r="364" spans="2:8" ht="15.6" x14ac:dyDescent="0.3">
      <c r="B364" s="30" t="s">
        <v>233</v>
      </c>
      <c r="C364" s="11"/>
    </row>
    <row r="365" spans="2:8" ht="15.6" x14ac:dyDescent="0.3">
      <c r="B365" s="30"/>
      <c r="C365" s="11"/>
    </row>
    <row r="366" spans="2:8" ht="15.6" x14ac:dyDescent="0.3">
      <c r="B366" s="30"/>
      <c r="C366" s="68" t="s">
        <v>159</v>
      </c>
      <c r="D366" s="112" t="s">
        <v>176</v>
      </c>
      <c r="E366" s="68" t="s">
        <v>130</v>
      </c>
      <c r="F366" s="211" t="s">
        <v>129</v>
      </c>
      <c r="G366" s="212" t="s">
        <v>345</v>
      </c>
    </row>
    <row r="367" spans="2:8" ht="15.6" x14ac:dyDescent="0.3">
      <c r="B367" s="30"/>
      <c r="C367" s="87" t="s">
        <v>182</v>
      </c>
      <c r="D367" s="87" t="s">
        <v>3</v>
      </c>
      <c r="E367" s="100" t="s">
        <v>183</v>
      </c>
      <c r="F367" s="87" t="s">
        <v>344</v>
      </c>
      <c r="G367" s="209" t="s">
        <v>342</v>
      </c>
      <c r="H367" s="209" t="s">
        <v>343</v>
      </c>
    </row>
    <row r="368" spans="2:8" ht="18" x14ac:dyDescent="0.3">
      <c r="B368" s="11"/>
      <c r="C368" s="135">
        <v>1000</v>
      </c>
      <c r="D368" s="14">
        <v>2</v>
      </c>
      <c r="E368" s="24">
        <v>0.16</v>
      </c>
      <c r="F368" s="216">
        <f xml:space="preserve"> PMT(E368/12,D368*12,-C368)</f>
        <v>48.963110517610048</v>
      </c>
      <c r="G368" s="135">
        <f>F368*12*2</f>
        <v>1175.114652422641</v>
      </c>
      <c r="H368" s="9">
        <f>G368-C368</f>
        <v>175.11465242264103</v>
      </c>
    </row>
    <row r="369" spans="1:10" ht="15.6" x14ac:dyDescent="0.3">
      <c r="B369" s="11"/>
      <c r="C369" s="11"/>
    </row>
    <row r="370" spans="1:10" ht="15.6" x14ac:dyDescent="0.3">
      <c r="B370" s="30" t="s">
        <v>279</v>
      </c>
      <c r="C370" s="11"/>
    </row>
    <row r="371" spans="1:10" ht="15.6" x14ac:dyDescent="0.3">
      <c r="B371" s="11" t="s">
        <v>234</v>
      </c>
      <c r="C371" s="11"/>
    </row>
    <row r="372" spans="1:10" ht="15.6" x14ac:dyDescent="0.3">
      <c r="B372" s="156" t="s">
        <v>235</v>
      </c>
      <c r="C372" s="152"/>
      <c r="D372" s="153"/>
      <c r="E372" s="152"/>
      <c r="I372" s="157"/>
    </row>
    <row r="373" spans="1:10" ht="15.6" x14ac:dyDescent="0.3">
      <c r="A373" s="150"/>
      <c r="B373" s="154"/>
      <c r="C373" s="151"/>
      <c r="D373" s="151"/>
      <c r="E373" s="151"/>
      <c r="F373" s="151"/>
      <c r="G373" s="151"/>
      <c r="H373" s="151"/>
      <c r="I373" s="151"/>
      <c r="J373" s="151"/>
    </row>
    <row r="374" spans="1:10" s="10" customFormat="1" ht="15.6" x14ac:dyDescent="0.3">
      <c r="A374" s="219"/>
      <c r="B374" s="155" t="s">
        <v>86</v>
      </c>
      <c r="C374" s="158"/>
      <c r="D374" s="232">
        <v>0</v>
      </c>
      <c r="E374" s="232">
        <v>1</v>
      </c>
      <c r="F374" s="232">
        <v>2</v>
      </c>
      <c r="G374" s="232">
        <v>3</v>
      </c>
      <c r="H374" s="232">
        <v>4</v>
      </c>
      <c r="I374" s="232">
        <v>5</v>
      </c>
      <c r="J374" s="220"/>
    </row>
    <row r="375" spans="1:10" s="10" customFormat="1" ht="15.6" x14ac:dyDescent="0.3">
      <c r="A375" s="219"/>
      <c r="B375" s="149" t="s">
        <v>110</v>
      </c>
      <c r="C375" s="159" t="s">
        <v>228</v>
      </c>
      <c r="D375" s="233">
        <f>C382</f>
        <v>10</v>
      </c>
      <c r="E375" s="234">
        <f>D375-E376</f>
        <v>8.6651600278462446</v>
      </c>
      <c r="F375" s="234">
        <f t="shared" ref="F375:I375" si="18">E375-F376</f>
        <v>7.1300940598694265</v>
      </c>
      <c r="G375" s="234">
        <f t="shared" si="18"/>
        <v>5.364768196696085</v>
      </c>
      <c r="H375" s="234">
        <f t="shared" si="18"/>
        <v>3.3346434540467427</v>
      </c>
      <c r="I375" s="233">
        <f t="shared" si="18"/>
        <v>0.99999999999999911</v>
      </c>
      <c r="J375" s="220"/>
    </row>
    <row r="376" spans="1:10" s="10" customFormat="1" ht="15.6" x14ac:dyDescent="0.3">
      <c r="A376" s="219"/>
      <c r="B376" s="149" t="s">
        <v>99</v>
      </c>
      <c r="C376" s="159" t="s">
        <v>229</v>
      </c>
      <c r="D376" s="235"/>
      <c r="E376" s="236">
        <f>E378-E377</f>
        <v>1.3348399721537549</v>
      </c>
      <c r="F376" s="236">
        <f t="shared" ref="F376:I376" si="19">F378-F377</f>
        <v>1.5350659679768184</v>
      </c>
      <c r="G376" s="236">
        <f t="shared" si="19"/>
        <v>1.7653258631733411</v>
      </c>
      <c r="H376" s="236">
        <f t="shared" si="19"/>
        <v>2.0301247426493423</v>
      </c>
      <c r="I376" s="236">
        <f t="shared" si="19"/>
        <v>2.3346434540467436</v>
      </c>
      <c r="J376" s="220"/>
    </row>
    <row r="377" spans="1:10" s="10" customFormat="1" ht="15.6" x14ac:dyDescent="0.3">
      <c r="B377" s="149" t="s">
        <v>100</v>
      </c>
      <c r="C377" s="159" t="s">
        <v>229</v>
      </c>
      <c r="D377" s="235"/>
      <c r="E377" s="237">
        <f>D375*$E382</f>
        <v>1.5</v>
      </c>
      <c r="F377" s="238">
        <f t="shared" ref="F377:I377" si="20">E375*$E382</f>
        <v>1.2997740041769366</v>
      </c>
      <c r="G377" s="238">
        <f t="shared" si="20"/>
        <v>1.0695141089804139</v>
      </c>
      <c r="H377" s="238">
        <f t="shared" si="20"/>
        <v>0.80471522950441277</v>
      </c>
      <c r="I377" s="238">
        <f t="shared" si="20"/>
        <v>0.50019651810701138</v>
      </c>
      <c r="J377" s="220"/>
    </row>
    <row r="378" spans="1:10" s="10" customFormat="1" ht="15.6" x14ac:dyDescent="0.3">
      <c r="B378" s="30" t="s">
        <v>101</v>
      </c>
      <c r="C378" s="160" t="s">
        <v>229</v>
      </c>
      <c r="D378" s="239"/>
      <c r="E378" s="240">
        <f>PMT($E382,$D382,-$C382,$F382)</f>
        <v>2.8348399721537549</v>
      </c>
      <c r="F378" s="240">
        <f t="shared" ref="F378:I378" si="21">PMT($E382,$D382,-$C382,$F382)</f>
        <v>2.8348399721537549</v>
      </c>
      <c r="G378" s="240">
        <f t="shared" si="21"/>
        <v>2.8348399721537549</v>
      </c>
      <c r="H378" s="240">
        <f t="shared" si="21"/>
        <v>2.8348399721537549</v>
      </c>
      <c r="I378" s="240">
        <f t="shared" si="21"/>
        <v>2.8348399721537549</v>
      </c>
      <c r="J378" s="221"/>
    </row>
    <row r="379" spans="1:10" ht="15.6" x14ac:dyDescent="0.3">
      <c r="B379" s="30"/>
      <c r="C379" s="160"/>
      <c r="D379" s="147"/>
      <c r="E379" s="41"/>
      <c r="F379" s="41"/>
      <c r="G379" s="41"/>
      <c r="H379" s="41"/>
      <c r="I379" s="41"/>
    </row>
    <row r="380" spans="1:10" ht="15.6" x14ac:dyDescent="0.3">
      <c r="B380" s="11"/>
      <c r="C380" s="85" t="s">
        <v>159</v>
      </c>
      <c r="D380" s="86" t="s">
        <v>176</v>
      </c>
      <c r="E380" s="85" t="s">
        <v>130</v>
      </c>
      <c r="F380" s="85" t="s">
        <v>159</v>
      </c>
    </row>
    <row r="381" spans="1:10" ht="15.6" x14ac:dyDescent="0.3">
      <c r="B381" s="11"/>
      <c r="C381" s="51" t="s">
        <v>346</v>
      </c>
      <c r="D381" s="51" t="s">
        <v>3</v>
      </c>
      <c r="E381" s="51" t="s">
        <v>183</v>
      </c>
      <c r="F381" s="87" t="s">
        <v>347</v>
      </c>
      <c r="G381" s="51" t="s">
        <v>348</v>
      </c>
    </row>
    <row r="382" spans="1:10" ht="18" x14ac:dyDescent="0.35">
      <c r="B382" s="11"/>
      <c r="C382" s="14">
        <v>10</v>
      </c>
      <c r="D382" s="14">
        <v>5</v>
      </c>
      <c r="E382" s="24">
        <v>0.15</v>
      </c>
      <c r="F382" s="14">
        <v>1</v>
      </c>
      <c r="G382" s="217">
        <f>SUM(E378:I378)</f>
        <v>14.174199860768775</v>
      </c>
      <c r="H382" s="210"/>
    </row>
    <row r="383" spans="1:10" ht="15.6" x14ac:dyDescent="0.3">
      <c r="B383" s="11"/>
      <c r="C383" s="48"/>
      <c r="D383" s="48"/>
      <c r="E383" s="73"/>
      <c r="F383" s="48"/>
    </row>
    <row r="384" spans="1:10" ht="15.6" x14ac:dyDescent="0.3">
      <c r="B384" s="107" t="s">
        <v>280</v>
      </c>
      <c r="C384" s="11"/>
    </row>
    <row r="385" spans="2:9" ht="15.6" x14ac:dyDescent="0.3">
      <c r="B385" s="11" t="s">
        <v>236</v>
      </c>
      <c r="C385" s="11"/>
    </row>
    <row r="386" spans="2:9" ht="15.6" x14ac:dyDescent="0.3">
      <c r="B386" s="11" t="s">
        <v>237</v>
      </c>
      <c r="C386" s="11"/>
    </row>
    <row r="387" spans="2:9" ht="15.6" x14ac:dyDescent="0.3">
      <c r="B387" s="103" t="s">
        <v>238</v>
      </c>
      <c r="C387" s="11"/>
    </row>
    <row r="388" spans="2:9" ht="15.6" x14ac:dyDescent="0.3">
      <c r="B388" s="11"/>
      <c r="C388" s="11"/>
    </row>
    <row r="389" spans="2:9" ht="15.6" x14ac:dyDescent="0.3">
      <c r="B389" s="30" t="s">
        <v>281</v>
      </c>
      <c r="C389" s="11"/>
    </row>
    <row r="390" spans="2:9" ht="15.6" x14ac:dyDescent="0.3">
      <c r="B390" s="103" t="s">
        <v>239</v>
      </c>
      <c r="C390" s="11"/>
    </row>
    <row r="391" spans="2:9" ht="15.6" x14ac:dyDescent="0.3">
      <c r="B391" s="11" t="s">
        <v>240</v>
      </c>
      <c r="C391" s="11"/>
    </row>
    <row r="392" spans="2:9" ht="15.6" x14ac:dyDescent="0.3">
      <c r="B392" s="11" t="s">
        <v>241</v>
      </c>
      <c r="C392" s="11"/>
    </row>
    <row r="393" spans="2:9" ht="15.6" x14ac:dyDescent="0.3">
      <c r="C393" s="11"/>
    </row>
    <row r="394" spans="2:9" x14ac:dyDescent="0.3">
      <c r="B394" s="85" t="s">
        <v>159</v>
      </c>
      <c r="C394" s="86" t="s">
        <v>176</v>
      </c>
      <c r="D394" s="86" t="s">
        <v>176</v>
      </c>
      <c r="E394" s="85" t="s">
        <v>130</v>
      </c>
      <c r="F394" s="85" t="s">
        <v>353</v>
      </c>
      <c r="G394" s="211" t="s">
        <v>129</v>
      </c>
      <c r="H394" s="213" t="s">
        <v>349</v>
      </c>
    </row>
    <row r="395" spans="2:9" ht="15.6" x14ac:dyDescent="0.3">
      <c r="B395" s="51" t="s">
        <v>346</v>
      </c>
      <c r="C395" s="51" t="s">
        <v>3</v>
      </c>
      <c r="D395" s="51" t="s">
        <v>350</v>
      </c>
      <c r="E395" s="51" t="s">
        <v>183</v>
      </c>
      <c r="F395" s="87" t="s">
        <v>347</v>
      </c>
      <c r="G395" s="51" t="s">
        <v>351</v>
      </c>
      <c r="H395" s="51" t="s">
        <v>352</v>
      </c>
      <c r="I395" s="51" t="s">
        <v>292</v>
      </c>
    </row>
    <row r="396" spans="2:9" ht="18" x14ac:dyDescent="0.35">
      <c r="B396" s="14">
        <v>3000</v>
      </c>
      <c r="C396" s="14">
        <v>4</v>
      </c>
      <c r="D396" s="14">
        <v>4</v>
      </c>
      <c r="E396" s="24">
        <v>0.1</v>
      </c>
      <c r="F396" s="14"/>
      <c r="G396" s="217">
        <f>PMT(E396/D396,C396*D396,-B396,0)</f>
        <v>229.79696581795406</v>
      </c>
      <c r="H396" s="218">
        <f>G396*C396*D396</f>
        <v>3676.751453087265</v>
      </c>
      <c r="I396" s="217">
        <f>H396-B396</f>
        <v>676.75145308726496</v>
      </c>
    </row>
    <row r="397" spans="2:9" ht="18" x14ac:dyDescent="0.35">
      <c r="B397" s="14">
        <v>3000</v>
      </c>
      <c r="C397" s="14">
        <v>3</v>
      </c>
      <c r="D397" s="14">
        <v>12</v>
      </c>
      <c r="E397" s="24">
        <v>0.11</v>
      </c>
      <c r="F397" s="14">
        <v>500</v>
      </c>
      <c r="G397" s="217">
        <f xml:space="preserve"> PMT(E397/D397,C397*D397,-B397,F397)</f>
        <v>86.430126125838427</v>
      </c>
      <c r="H397" s="218">
        <f>G397*C397*D397+F397</f>
        <v>3611.484540530183</v>
      </c>
      <c r="I397" s="217">
        <f>H397-B397</f>
        <v>611.48454053018304</v>
      </c>
    </row>
  </sheetData>
  <phoneticPr fontId="4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7694-C248-4EA0-98CF-7D868B1C6CF6}">
  <dimension ref="B1:AE92"/>
  <sheetViews>
    <sheetView zoomScale="85" zoomScaleNormal="85" workbookViewId="0">
      <selection activeCell="R73" sqref="R73"/>
    </sheetView>
  </sheetViews>
  <sheetFormatPr defaultRowHeight="15.6" x14ac:dyDescent="0.3"/>
  <cols>
    <col min="1" max="1" width="4.5546875" style="11" customWidth="1"/>
    <col min="2" max="2" width="12.33203125" style="11" customWidth="1"/>
    <col min="3" max="3" width="9.5546875" style="11" customWidth="1"/>
    <col min="4" max="4" width="11.5546875" style="11" customWidth="1"/>
    <col min="5" max="5" width="11" style="11" customWidth="1"/>
    <col min="6" max="6" width="12.6640625" style="11" customWidth="1"/>
    <col min="7" max="7" width="11.5546875" style="11" customWidth="1"/>
    <col min="8" max="8" width="12.33203125" style="11" customWidth="1"/>
    <col min="9" max="9" width="11.88671875" style="11" customWidth="1"/>
    <col min="10" max="10" width="9.77734375" style="11" customWidth="1"/>
    <col min="11" max="11" width="10.33203125" style="11" customWidth="1"/>
    <col min="12" max="12" width="10.5546875" style="11" customWidth="1"/>
    <col min="13" max="13" width="9.5546875" style="11" customWidth="1"/>
    <col min="14" max="17" width="8.77734375" style="11" customWidth="1"/>
    <col min="18" max="31" width="9.77734375" style="11" customWidth="1"/>
    <col min="32" max="16384" width="8.88671875" style="11"/>
  </cols>
  <sheetData>
    <row r="1" spans="2:17" ht="22.8" x14ac:dyDescent="0.3">
      <c r="B1" s="214" t="s">
        <v>397</v>
      </c>
    </row>
    <row r="3" spans="2:17" x14ac:dyDescent="0.3">
      <c r="B3" s="215" t="s">
        <v>392</v>
      </c>
    </row>
    <row r="4" spans="2:17" x14ac:dyDescent="0.3">
      <c r="B4" s="215"/>
    </row>
    <row r="5" spans="2:17" x14ac:dyDescent="0.3">
      <c r="B5" s="215" t="s">
        <v>361</v>
      </c>
    </row>
    <row r="6" spans="2:17" x14ac:dyDescent="0.3">
      <c r="B6" s="215" t="s">
        <v>371</v>
      </c>
    </row>
    <row r="7" spans="2:17" x14ac:dyDescent="0.3">
      <c r="B7" s="215"/>
    </row>
    <row r="8" spans="2:17" s="93" customFormat="1" ht="14.4" x14ac:dyDescent="0.3">
      <c r="B8" s="245">
        <v>0</v>
      </c>
      <c r="C8" s="93">
        <v>1</v>
      </c>
      <c r="D8" s="93">
        <v>2</v>
      </c>
      <c r="E8" s="93">
        <v>3</v>
      </c>
      <c r="F8" s="93">
        <v>4</v>
      </c>
      <c r="G8" s="93">
        <v>5</v>
      </c>
      <c r="H8" s="93">
        <v>6</v>
      </c>
    </row>
    <row r="9" spans="2:17" s="93" customFormat="1" ht="14.4" x14ac:dyDescent="0.3">
      <c r="B9" s="243">
        <v>10</v>
      </c>
      <c r="C9" s="243">
        <f>$C10*B9+B9</f>
        <v>13.076604967535117</v>
      </c>
      <c r="D9" s="243">
        <f t="shared" ref="D9:H9" si="0">$C10*C9+C9</f>
        <v>17.09975974769641</v>
      </c>
      <c r="E9" s="243">
        <f t="shared" si="0"/>
        <v>22.360680326038391</v>
      </c>
      <c r="F9" s="243">
        <f t="shared" si="0"/>
        <v>29.240178342893838</v>
      </c>
      <c r="G9" s="243">
        <f t="shared" si="0"/>
        <v>38.236226137029831</v>
      </c>
      <c r="H9" s="247">
        <f t="shared" si="0"/>
        <v>50.000002464328034</v>
      </c>
      <c r="Q9" s="244"/>
    </row>
    <row r="10" spans="2:17" s="93" customFormat="1" ht="14.4" x14ac:dyDescent="0.3">
      <c r="B10" s="245"/>
      <c r="C10" s="248">
        <v>0.30766049675351165</v>
      </c>
      <c r="D10" s="244"/>
      <c r="E10" s="244"/>
      <c r="F10" s="244"/>
      <c r="G10" s="244"/>
    </row>
    <row r="12" spans="2:17" x14ac:dyDescent="0.3">
      <c r="B12" s="69" t="s">
        <v>364</v>
      </c>
      <c r="C12" s="69" t="s">
        <v>135</v>
      </c>
      <c r="D12" s="69" t="s">
        <v>365</v>
      </c>
      <c r="E12" s="69" t="s">
        <v>366</v>
      </c>
    </row>
    <row r="13" spans="2:17" s="93" customFormat="1" ht="14.4" x14ac:dyDescent="0.3">
      <c r="B13" s="87" t="s">
        <v>3</v>
      </c>
      <c r="C13" s="87" t="s">
        <v>354</v>
      </c>
      <c r="D13" s="87" t="s">
        <v>355</v>
      </c>
      <c r="E13" s="87" t="s">
        <v>356</v>
      </c>
    </row>
    <row r="14" spans="2:17" x14ac:dyDescent="0.3">
      <c r="B14" s="259">
        <v>6</v>
      </c>
      <c r="C14" s="261">
        <v>10</v>
      </c>
      <c r="D14" s="261">
        <v>50</v>
      </c>
      <c r="E14" s="260">
        <f xml:space="preserve"> (D14/ C14) ^ (1 / B14) - 1</f>
        <v>0.3076604860118306</v>
      </c>
      <c r="G14" s="45"/>
    </row>
    <row r="16" spans="2:17" x14ac:dyDescent="0.3">
      <c r="B16" s="215" t="s">
        <v>393</v>
      </c>
      <c r="Q16" s="241"/>
    </row>
    <row r="17" spans="2:31" x14ac:dyDescent="0.3">
      <c r="B17" s="11" t="s">
        <v>315</v>
      </c>
    </row>
    <row r="18" spans="2:31" x14ac:dyDescent="0.3">
      <c r="B18" s="11" t="s">
        <v>316</v>
      </c>
      <c r="P18" s="241"/>
    </row>
    <row r="19" spans="2:31" x14ac:dyDescent="0.3">
      <c r="P19" s="241"/>
    </row>
    <row r="20" spans="2:31" x14ac:dyDescent="0.3">
      <c r="B20" s="11" t="s">
        <v>368</v>
      </c>
      <c r="P20" s="241"/>
    </row>
    <row r="21" spans="2:31" x14ac:dyDescent="0.3">
      <c r="B21" s="11" t="s">
        <v>369</v>
      </c>
      <c r="P21" s="241"/>
    </row>
    <row r="22" spans="2:31" x14ac:dyDescent="0.3">
      <c r="B22" s="11" t="s">
        <v>370</v>
      </c>
      <c r="P22" s="241"/>
    </row>
    <row r="23" spans="2:31" x14ac:dyDescent="0.3">
      <c r="P23" s="241"/>
    </row>
    <row r="24" spans="2:31" x14ac:dyDescent="0.3">
      <c r="B24" s="11">
        <v>30</v>
      </c>
      <c r="C24" s="11">
        <v>31</v>
      </c>
      <c r="D24" s="11">
        <v>32</v>
      </c>
      <c r="E24" s="11">
        <v>33</v>
      </c>
      <c r="F24" s="11">
        <v>34</v>
      </c>
      <c r="G24" s="11">
        <v>35</v>
      </c>
      <c r="H24" s="11">
        <v>36</v>
      </c>
      <c r="I24" s="11">
        <v>37</v>
      </c>
      <c r="J24" s="11">
        <v>38</v>
      </c>
      <c r="K24" s="11">
        <v>39</v>
      </c>
      <c r="L24" s="11">
        <v>40</v>
      </c>
      <c r="M24" s="11">
        <v>41</v>
      </c>
      <c r="N24" s="11">
        <v>42</v>
      </c>
      <c r="O24" s="11">
        <v>43</v>
      </c>
      <c r="P24" s="11">
        <v>44</v>
      </c>
      <c r="Q24" s="11">
        <v>45</v>
      </c>
      <c r="R24" s="11">
        <v>46</v>
      </c>
      <c r="S24" s="11">
        <v>47</v>
      </c>
      <c r="T24" s="11">
        <v>48</v>
      </c>
      <c r="U24" s="11">
        <v>49</v>
      </c>
      <c r="V24" s="11">
        <v>50</v>
      </c>
      <c r="W24" s="11">
        <v>51</v>
      </c>
      <c r="X24" s="11">
        <v>52</v>
      </c>
      <c r="Y24" s="11">
        <v>53</v>
      </c>
      <c r="Z24" s="11">
        <v>54</v>
      </c>
      <c r="AA24" s="11">
        <v>55</v>
      </c>
      <c r="AB24" s="11">
        <v>56</v>
      </c>
      <c r="AC24" s="11">
        <v>57</v>
      </c>
      <c r="AD24" s="11">
        <v>58</v>
      </c>
      <c r="AE24" s="11">
        <v>59</v>
      </c>
    </row>
    <row r="25" spans="2:31" s="242" customFormat="1" ht="13.8" x14ac:dyDescent="0.3">
      <c r="B25" s="246">
        <v>3089.6016855452949</v>
      </c>
      <c r="C25" s="242">
        <f t="shared" ref="C25:AE25" si="1">$B$25+(B25*$C$26+B25)</f>
        <v>6426.3715059342139</v>
      </c>
      <c r="D25" s="242">
        <f t="shared" si="1"/>
        <v>10030.082911954247</v>
      </c>
      <c r="E25" s="242">
        <f t="shared" si="1"/>
        <v>13922.091230455881</v>
      </c>
      <c r="F25" s="242">
        <f t="shared" si="1"/>
        <v>18125.460214437648</v>
      </c>
      <c r="G25" s="242">
        <f t="shared" si="1"/>
        <v>22665.098717137953</v>
      </c>
      <c r="H25" s="242">
        <f t="shared" si="1"/>
        <v>27567.908300054285</v>
      </c>
      <c r="I25" s="242">
        <f t="shared" si="1"/>
        <v>32862.942649603923</v>
      </c>
      <c r="J25" s="242">
        <f t="shared" si="1"/>
        <v>38581.579747117532</v>
      </c>
      <c r="K25" s="242">
        <f t="shared" si="1"/>
        <v>44757.707812432236</v>
      </c>
      <c r="L25" s="242">
        <f t="shared" si="1"/>
        <v>51427.926122972116</v>
      </c>
      <c r="M25" s="242">
        <f t="shared" si="1"/>
        <v>58631.761898355187</v>
      </c>
      <c r="N25" s="242">
        <f t="shared" si="1"/>
        <v>66411.904535768903</v>
      </c>
      <c r="O25" s="242">
        <f t="shared" si="1"/>
        <v>74814.458584175707</v>
      </c>
      <c r="P25" s="242">
        <f t="shared" si="1"/>
        <v>83889.216956455057</v>
      </c>
      <c r="Q25" s="242">
        <f t="shared" si="1"/>
        <v>93689.955998516758</v>
      </c>
      <c r="R25" s="242">
        <f t="shared" si="1"/>
        <v>104274.75416394339</v>
      </c>
      <c r="S25" s="242">
        <f t="shared" si="1"/>
        <v>115706.33618260415</v>
      </c>
      <c r="T25" s="242">
        <f t="shared" si="1"/>
        <v>128052.44476275778</v>
      </c>
      <c r="U25" s="242">
        <f t="shared" si="1"/>
        <v>141386.24202932368</v>
      </c>
      <c r="V25" s="242">
        <f t="shared" si="1"/>
        <v>155786.74307721487</v>
      </c>
      <c r="W25" s="242">
        <f t="shared" si="1"/>
        <v>171339.28420893734</v>
      </c>
      <c r="X25" s="242">
        <f t="shared" si="1"/>
        <v>188136.02863119764</v>
      </c>
      <c r="Y25" s="242">
        <f t="shared" si="1"/>
        <v>206276.51260723875</v>
      </c>
      <c r="Z25" s="242">
        <f t="shared" si="1"/>
        <v>225868.23530136314</v>
      </c>
      <c r="AA25" s="242">
        <f t="shared" si="1"/>
        <v>247027.29581101748</v>
      </c>
      <c r="AB25" s="242">
        <f t="shared" si="1"/>
        <v>269879.08116144419</v>
      </c>
      <c r="AC25" s="242">
        <f t="shared" si="1"/>
        <v>294559.00933990499</v>
      </c>
      <c r="AD25" s="242">
        <f t="shared" si="1"/>
        <v>321213.33177264268</v>
      </c>
      <c r="AE25" s="246">
        <f t="shared" si="1"/>
        <v>349999.99999999936</v>
      </c>
    </row>
    <row r="26" spans="2:31" x14ac:dyDescent="0.3">
      <c r="C26" s="241">
        <v>0.08</v>
      </c>
      <c r="P26" s="241"/>
    </row>
    <row r="27" spans="2:31" x14ac:dyDescent="0.3">
      <c r="C27" s="241"/>
      <c r="P27" s="241"/>
    </row>
    <row r="28" spans="2:31" x14ac:dyDescent="0.3">
      <c r="D28" s="69" t="s">
        <v>364</v>
      </c>
      <c r="E28" s="69" t="s">
        <v>365</v>
      </c>
      <c r="F28" s="69" t="s">
        <v>363</v>
      </c>
      <c r="G28" s="69" t="s">
        <v>362</v>
      </c>
      <c r="H28" s="69" t="s">
        <v>129</v>
      </c>
    </row>
    <row r="29" spans="2:31" s="93" customFormat="1" ht="14.4" x14ac:dyDescent="0.3">
      <c r="B29" s="87" t="s">
        <v>3</v>
      </c>
      <c r="C29" s="87" t="s">
        <v>357</v>
      </c>
      <c r="D29" s="87" t="s">
        <v>360</v>
      </c>
      <c r="E29" s="87" t="s">
        <v>359</v>
      </c>
      <c r="F29" s="87" t="s">
        <v>358</v>
      </c>
      <c r="G29" s="87" t="s">
        <v>127</v>
      </c>
    </row>
    <row r="30" spans="2:31" x14ac:dyDescent="0.3">
      <c r="B30" s="257">
        <v>30</v>
      </c>
      <c r="C30" s="257">
        <v>60</v>
      </c>
      <c r="D30" s="257">
        <f>C30-B30</f>
        <v>30</v>
      </c>
      <c r="E30" s="256">
        <v>350000</v>
      </c>
      <c r="F30" s="254">
        <v>0.08</v>
      </c>
      <c r="G30" s="255">
        <f>(E30*F30)/((1+F30)^D30-1)</f>
        <v>3089.6016855452958</v>
      </c>
      <c r="H30" s="255">
        <f>PMT(F30,D30,0,-E30)</f>
        <v>3089.6016855453004</v>
      </c>
    </row>
    <row r="32" spans="2:31" x14ac:dyDescent="0.3">
      <c r="B32" s="215" t="s">
        <v>394</v>
      </c>
    </row>
    <row r="33" spans="2:20" x14ac:dyDescent="0.3">
      <c r="B33" s="11" t="s">
        <v>317</v>
      </c>
    </row>
    <row r="34" spans="2:20" x14ac:dyDescent="0.3">
      <c r="B34" s="11" t="s">
        <v>318</v>
      </c>
    </row>
    <row r="36" spans="2:20" x14ac:dyDescent="0.3">
      <c r="B36" s="11" t="s">
        <v>372</v>
      </c>
    </row>
    <row r="37" spans="2:20" x14ac:dyDescent="0.3">
      <c r="B37" s="11" t="s">
        <v>373</v>
      </c>
    </row>
    <row r="38" spans="2:20" x14ac:dyDescent="0.3">
      <c r="B38" s="11" t="s">
        <v>374</v>
      </c>
    </row>
    <row r="40" spans="2:20" x14ac:dyDescent="0.3">
      <c r="B40" s="69" t="s">
        <v>135</v>
      </c>
      <c r="C40" s="69" t="s">
        <v>364</v>
      </c>
      <c r="D40" s="69"/>
      <c r="E40" s="69" t="s">
        <v>363</v>
      </c>
      <c r="F40" s="69" t="s">
        <v>362</v>
      </c>
      <c r="G40" s="69" t="s">
        <v>129</v>
      </c>
      <c r="H40" s="69" t="s">
        <v>365</v>
      </c>
      <c r="S40" s="241"/>
      <c r="T40" s="46"/>
    </row>
    <row r="41" spans="2:20" x14ac:dyDescent="0.3">
      <c r="B41" s="87" t="s">
        <v>346</v>
      </c>
      <c r="C41" s="87" t="s">
        <v>3</v>
      </c>
      <c r="D41" s="87" t="s">
        <v>367</v>
      </c>
      <c r="E41" s="87" t="s">
        <v>130</v>
      </c>
      <c r="F41" s="87" t="s">
        <v>127</v>
      </c>
      <c r="G41" s="93"/>
      <c r="H41" s="87" t="s">
        <v>359</v>
      </c>
      <c r="I41" s="87" t="s">
        <v>292</v>
      </c>
      <c r="S41" s="241"/>
      <c r="T41" s="46"/>
    </row>
    <row r="42" spans="2:20" x14ac:dyDescent="0.3">
      <c r="B42" s="256">
        <v>8000000</v>
      </c>
      <c r="C42" s="257">
        <v>20</v>
      </c>
      <c r="D42" s="258">
        <v>12</v>
      </c>
      <c r="E42" s="254">
        <v>0.1</v>
      </c>
      <c r="F42" s="255">
        <f>(B42*(E42/D42))/(1-(1+E42/D42)^(-C42*D42))</f>
        <v>77201.731605920737</v>
      </c>
      <c r="G42" s="255">
        <f>PMT(E42/D42,C42*D42,-B42,0)</f>
        <v>77201.731605920635</v>
      </c>
      <c r="H42" s="256">
        <f>G42*(C42*D42)</f>
        <v>18528415.585420951</v>
      </c>
      <c r="I42" s="256">
        <f>H42-B42</f>
        <v>10528415.585420951</v>
      </c>
      <c r="S42" s="241"/>
      <c r="T42" s="46"/>
    </row>
    <row r="43" spans="2:20" ht="18" x14ac:dyDescent="0.3">
      <c r="B43" s="15"/>
      <c r="C43" s="15"/>
      <c r="D43" s="109"/>
      <c r="S43" s="241"/>
      <c r="T43" s="46"/>
    </row>
    <row r="44" spans="2:20" x14ac:dyDescent="0.3">
      <c r="B44" s="215" t="s">
        <v>395</v>
      </c>
      <c r="S44" s="241"/>
      <c r="T44" s="46"/>
    </row>
    <row r="45" spans="2:20" x14ac:dyDescent="0.3">
      <c r="B45" s="11" t="s">
        <v>319</v>
      </c>
      <c r="S45" s="241"/>
      <c r="T45" s="46"/>
    </row>
    <row r="46" spans="2:20" x14ac:dyDescent="0.3">
      <c r="B46" s="11" t="s">
        <v>320</v>
      </c>
      <c r="S46" s="241"/>
      <c r="T46" s="46"/>
    </row>
    <row r="47" spans="2:20" x14ac:dyDescent="0.3">
      <c r="S47" s="241"/>
      <c r="T47" s="46"/>
    </row>
    <row r="48" spans="2:20" x14ac:dyDescent="0.3">
      <c r="B48" s="11" t="s">
        <v>381</v>
      </c>
      <c r="S48" s="241"/>
      <c r="T48" s="46"/>
    </row>
    <row r="49" spans="2:20" x14ac:dyDescent="0.3">
      <c r="B49" s="11" t="s">
        <v>382</v>
      </c>
      <c r="S49" s="241"/>
      <c r="T49" s="46"/>
    </row>
    <row r="50" spans="2:20" x14ac:dyDescent="0.3">
      <c r="B50" s="11" t="s">
        <v>383</v>
      </c>
      <c r="S50" s="241"/>
      <c r="T50" s="46"/>
    </row>
    <row r="51" spans="2:20" x14ac:dyDescent="0.3">
      <c r="B51" s="11" t="s">
        <v>384</v>
      </c>
      <c r="F51" s="278" t="s">
        <v>365</v>
      </c>
      <c r="G51" s="279"/>
      <c r="H51" s="280"/>
      <c r="I51" s="281" t="s">
        <v>135</v>
      </c>
      <c r="J51" s="281"/>
      <c r="K51" s="281"/>
      <c r="S51" s="241"/>
      <c r="T51" s="46"/>
    </row>
    <row r="52" spans="2:20" x14ac:dyDescent="0.3">
      <c r="F52" s="272" t="s">
        <v>375</v>
      </c>
      <c r="G52" s="273"/>
      <c r="H52" s="274"/>
      <c r="I52" s="272" t="s">
        <v>376</v>
      </c>
      <c r="J52" s="273"/>
      <c r="K52" s="274"/>
      <c r="L52" s="132"/>
      <c r="S52" s="241"/>
      <c r="T52" s="46"/>
    </row>
    <row r="53" spans="2:20" x14ac:dyDescent="0.3">
      <c r="B53" s="250" t="s">
        <v>377</v>
      </c>
      <c r="C53" s="250" t="s">
        <v>306</v>
      </c>
      <c r="D53" s="250" t="s">
        <v>378</v>
      </c>
      <c r="E53" s="8" t="s">
        <v>379</v>
      </c>
      <c r="F53" s="253">
        <v>1</v>
      </c>
      <c r="G53" s="253">
        <v>2</v>
      </c>
      <c r="H53" s="253">
        <v>3</v>
      </c>
      <c r="I53" s="253">
        <v>1</v>
      </c>
      <c r="J53" s="253">
        <v>2</v>
      </c>
      <c r="K53" s="253">
        <v>3</v>
      </c>
      <c r="L53" s="253" t="s">
        <v>134</v>
      </c>
      <c r="S53" s="241"/>
      <c r="T53" s="46"/>
    </row>
    <row r="54" spans="2:20" s="249" customFormat="1" x14ac:dyDescent="0.3">
      <c r="B54" s="254">
        <v>0.01</v>
      </c>
      <c r="C54" s="254">
        <v>0.06</v>
      </c>
      <c r="D54" s="254">
        <v>0.04</v>
      </c>
      <c r="E54" s="254">
        <f>B54+C54+D54</f>
        <v>0.10999999999999999</v>
      </c>
      <c r="F54" s="255">
        <v>2000</v>
      </c>
      <c r="G54" s="255">
        <v>5000</v>
      </c>
      <c r="H54" s="255">
        <v>10000</v>
      </c>
      <c r="I54" s="255">
        <f>F54/(1+$E$54)^F53</f>
        <v>1801.801801801802</v>
      </c>
      <c r="J54" s="255">
        <f>G54/(1+$E$54)^G53</f>
        <v>4058.112166220275</v>
      </c>
      <c r="K54" s="255">
        <f>H54/(1+$E$54)^H53</f>
        <v>7311.9138130095052</v>
      </c>
      <c r="L54" s="255">
        <f>SUM(I54:K54)</f>
        <v>13171.827781031581</v>
      </c>
      <c r="S54" s="251"/>
      <c r="T54" s="252"/>
    </row>
    <row r="55" spans="2:20" x14ac:dyDescent="0.3">
      <c r="S55" s="241"/>
      <c r="T55" s="46"/>
    </row>
    <row r="56" spans="2:20" x14ac:dyDescent="0.3">
      <c r="B56" s="11" t="s">
        <v>385</v>
      </c>
      <c r="I56" s="275" t="s">
        <v>380</v>
      </c>
      <c r="J56" s="276"/>
      <c r="K56" s="277"/>
      <c r="S56" s="241"/>
      <c r="T56" s="46"/>
    </row>
    <row r="57" spans="2:20" x14ac:dyDescent="0.3">
      <c r="B57" s="11" t="s">
        <v>386</v>
      </c>
      <c r="I57" s="253">
        <v>1</v>
      </c>
      <c r="J57" s="253">
        <v>2</v>
      </c>
      <c r="K57" s="253">
        <v>3</v>
      </c>
      <c r="S57" s="241"/>
      <c r="T57" s="46"/>
    </row>
    <row r="58" spans="2:20" x14ac:dyDescent="0.3">
      <c r="B58" s="11" t="s">
        <v>387</v>
      </c>
      <c r="I58" s="255">
        <f>PV($E$54,F53,,-F54)</f>
        <v>1801.801801801802</v>
      </c>
      <c r="J58" s="255">
        <f>PV($E$54,G53,,-G54)</f>
        <v>4058.112166220275</v>
      </c>
      <c r="K58" s="255">
        <f>PV($E$54,H53,,-H54)</f>
        <v>7311.9138130095052</v>
      </c>
      <c r="S58" s="241"/>
      <c r="T58" s="46"/>
    </row>
    <row r="59" spans="2:20" x14ac:dyDescent="0.3">
      <c r="S59" s="241"/>
      <c r="T59" s="46"/>
    </row>
    <row r="60" spans="2:20" x14ac:dyDescent="0.3">
      <c r="B60" s="215" t="s">
        <v>396</v>
      </c>
      <c r="S60" s="241"/>
      <c r="T60" s="46"/>
    </row>
    <row r="61" spans="2:20" x14ac:dyDescent="0.3">
      <c r="S61" s="241"/>
      <c r="T61" s="46"/>
    </row>
    <row r="62" spans="2:20" x14ac:dyDescent="0.3">
      <c r="B62" s="11" t="s">
        <v>390</v>
      </c>
      <c r="F62" s="283" t="s">
        <v>17</v>
      </c>
      <c r="G62" s="283" t="s">
        <v>388</v>
      </c>
      <c r="H62" s="283" t="s">
        <v>389</v>
      </c>
      <c r="I62" s="283" t="s">
        <v>176</v>
      </c>
      <c r="J62" s="284" t="s">
        <v>3</v>
      </c>
      <c r="K62" s="284" t="s">
        <v>388</v>
      </c>
      <c r="L62" s="284" t="s">
        <v>389</v>
      </c>
      <c r="M62" s="283" t="s">
        <v>126</v>
      </c>
      <c r="S62" s="241"/>
      <c r="T62" s="46"/>
    </row>
    <row r="63" spans="2:20" x14ac:dyDescent="0.3">
      <c r="B63" s="11" t="s">
        <v>391</v>
      </c>
      <c r="F63" s="11">
        <v>100</v>
      </c>
      <c r="G63" s="241">
        <v>0.11</v>
      </c>
      <c r="H63" s="141">
        <v>0.115</v>
      </c>
      <c r="I63" s="11">
        <v>12</v>
      </c>
      <c r="J63" s="20">
        <v>1</v>
      </c>
      <c r="K63" s="282">
        <f>FV(G63/I63,I63*J63,,-F63)</f>
        <v>111.57188361952149</v>
      </c>
      <c r="L63" s="282">
        <f>FV(H63,J63,,-F63)</f>
        <v>111.5</v>
      </c>
      <c r="M63" s="282">
        <f>K63-L63</f>
        <v>7.1883619521486253E-2</v>
      </c>
      <c r="S63" s="241"/>
      <c r="T63" s="46"/>
    </row>
    <row r="64" spans="2:20" x14ac:dyDescent="0.3">
      <c r="F64" s="11">
        <v>200</v>
      </c>
      <c r="G64" s="241">
        <v>0.11</v>
      </c>
      <c r="H64" s="141">
        <v>0.115</v>
      </c>
      <c r="I64" s="11">
        <v>12</v>
      </c>
      <c r="J64" s="20">
        <v>2</v>
      </c>
      <c r="K64" s="282">
        <f t="shared" ref="K64:K92" si="2">FV(G64/I64,I64*J64,,-F64)</f>
        <v>248.96570428816088</v>
      </c>
      <c r="L64" s="282">
        <f t="shared" ref="L64:L92" si="3">FV(H64,J64,,-F64)</f>
        <v>248.64500000000001</v>
      </c>
      <c r="M64" s="282">
        <f t="shared" ref="M64:M92" si="4">K64-L64</f>
        <v>0.3207042881608686</v>
      </c>
      <c r="S64" s="241"/>
      <c r="T64" s="46"/>
    </row>
    <row r="65" spans="6:20" x14ac:dyDescent="0.3">
      <c r="F65" s="11">
        <v>300</v>
      </c>
      <c r="G65" s="241">
        <v>0.11</v>
      </c>
      <c r="H65" s="141">
        <v>0.115</v>
      </c>
      <c r="I65" s="11">
        <v>12</v>
      </c>
      <c r="J65" s="20">
        <v>3</v>
      </c>
      <c r="K65" s="282">
        <f t="shared" si="2"/>
        <v>416.6635887613632</v>
      </c>
      <c r="L65" s="282">
        <f t="shared" si="3"/>
        <v>415.85876250000001</v>
      </c>
      <c r="M65" s="282">
        <f t="shared" si="4"/>
        <v>0.80482626136318913</v>
      </c>
      <c r="S65" s="241"/>
      <c r="T65" s="46"/>
    </row>
    <row r="66" spans="6:20" x14ac:dyDescent="0.3">
      <c r="F66" s="11">
        <v>400</v>
      </c>
      <c r="G66" s="241">
        <v>0.11</v>
      </c>
      <c r="H66" s="141">
        <v>0.115</v>
      </c>
      <c r="I66" s="11">
        <v>12</v>
      </c>
      <c r="J66" s="20">
        <v>4</v>
      </c>
      <c r="K66" s="282">
        <f t="shared" si="2"/>
        <v>619.83921911699952</v>
      </c>
      <c r="L66" s="282">
        <f t="shared" si="3"/>
        <v>618.24336025000002</v>
      </c>
      <c r="M66" s="282">
        <f t="shared" si="4"/>
        <v>1.5958588669994924</v>
      </c>
      <c r="S66" s="241"/>
      <c r="T66" s="46"/>
    </row>
    <row r="67" spans="6:20" x14ac:dyDescent="0.3">
      <c r="F67" s="11">
        <v>500</v>
      </c>
      <c r="G67" s="241">
        <v>0.11</v>
      </c>
      <c r="H67" s="141">
        <v>0.115</v>
      </c>
      <c r="I67" s="11">
        <v>12</v>
      </c>
      <c r="J67" s="20">
        <v>5</v>
      </c>
      <c r="K67" s="282">
        <f t="shared" si="2"/>
        <v>864.45786522671199</v>
      </c>
      <c r="L67" s="282">
        <f t="shared" si="3"/>
        <v>861.67668334843756</v>
      </c>
      <c r="M67" s="282">
        <f t="shared" si="4"/>
        <v>2.781181878274424</v>
      </c>
      <c r="S67" s="241"/>
      <c r="T67" s="46"/>
    </row>
    <row r="68" spans="6:20" x14ac:dyDescent="0.3">
      <c r="F68" s="11">
        <v>600</v>
      </c>
      <c r="G68" s="241">
        <v>0.11</v>
      </c>
      <c r="H68" s="141">
        <v>0.115</v>
      </c>
      <c r="I68" s="11">
        <v>12</v>
      </c>
      <c r="J68" s="20">
        <v>6</v>
      </c>
      <c r="K68" s="282">
        <f t="shared" si="2"/>
        <v>1157.3903079966558</v>
      </c>
      <c r="L68" s="282">
        <f t="shared" si="3"/>
        <v>1152.9234023202096</v>
      </c>
      <c r="M68" s="282">
        <f t="shared" si="4"/>
        <v>4.4669056764462312</v>
      </c>
      <c r="S68" s="241"/>
      <c r="T68" s="46"/>
    </row>
    <row r="69" spans="6:20" x14ac:dyDescent="0.3">
      <c r="F69" s="11">
        <v>700</v>
      </c>
      <c r="G69" s="241">
        <v>0.11</v>
      </c>
      <c r="H69" s="141">
        <v>0.115</v>
      </c>
      <c r="I69" s="11">
        <v>12</v>
      </c>
      <c r="J69" s="20">
        <v>7</v>
      </c>
      <c r="K69" s="282">
        <f t="shared" si="2"/>
        <v>1506.5425287052585</v>
      </c>
      <c r="L69" s="282">
        <f t="shared" si="3"/>
        <v>1499.7611925182059</v>
      </c>
      <c r="M69" s="282">
        <f t="shared" si="4"/>
        <v>6.7813361870526023</v>
      </c>
      <c r="S69" s="241"/>
      <c r="T69" s="46"/>
    </row>
    <row r="70" spans="6:20" x14ac:dyDescent="0.3">
      <c r="F70" s="11">
        <v>800</v>
      </c>
      <c r="G70" s="241">
        <v>0.11</v>
      </c>
      <c r="H70" s="141">
        <v>0.115</v>
      </c>
      <c r="I70" s="11">
        <v>12</v>
      </c>
      <c r="J70" s="20">
        <v>8</v>
      </c>
      <c r="K70" s="282">
        <f t="shared" si="2"/>
        <v>1921.0032877778588</v>
      </c>
      <c r="L70" s="282">
        <f t="shared" si="3"/>
        <v>1911.124262466057</v>
      </c>
      <c r="M70" s="282">
        <f t="shared" si="4"/>
        <v>9.8790253118017972</v>
      </c>
      <c r="S70" s="241"/>
      <c r="T70" s="46"/>
    </row>
    <row r="71" spans="6:20" x14ac:dyDescent="0.3">
      <c r="F71" s="11">
        <v>900</v>
      </c>
      <c r="G71" s="241">
        <v>0.11</v>
      </c>
      <c r="H71" s="141">
        <v>0.115</v>
      </c>
      <c r="I71" s="11">
        <v>12</v>
      </c>
      <c r="J71" s="20">
        <v>9</v>
      </c>
      <c r="K71" s="282">
        <f t="shared" si="2"/>
        <v>2411.2119966375312</v>
      </c>
      <c r="L71" s="282">
        <f t="shared" si="3"/>
        <v>2397.2664967308601</v>
      </c>
      <c r="M71" s="282">
        <f t="shared" si="4"/>
        <v>13.945499906671103</v>
      </c>
      <c r="S71" s="241"/>
      <c r="T71" s="46"/>
    </row>
    <row r="72" spans="6:20" x14ac:dyDescent="0.3">
      <c r="F72" s="11">
        <v>1000</v>
      </c>
      <c r="G72" s="241">
        <v>0.11</v>
      </c>
      <c r="H72" s="141">
        <v>0.115</v>
      </c>
      <c r="I72" s="11">
        <v>12</v>
      </c>
      <c r="J72" s="20">
        <v>10</v>
      </c>
      <c r="K72" s="282">
        <f t="shared" si="2"/>
        <v>2989.1496030092953</v>
      </c>
      <c r="L72" s="282">
        <f t="shared" si="3"/>
        <v>2969.9468265054543</v>
      </c>
      <c r="M72" s="282">
        <f t="shared" si="4"/>
        <v>19.202776503841051</v>
      </c>
      <c r="S72" s="241"/>
      <c r="T72" s="46"/>
    </row>
    <row r="73" spans="6:20" x14ac:dyDescent="0.3">
      <c r="F73" s="11">
        <v>1100</v>
      </c>
      <c r="G73" s="241">
        <v>0.11</v>
      </c>
      <c r="H73" s="141">
        <v>0.115</v>
      </c>
      <c r="I73" s="11">
        <v>12</v>
      </c>
      <c r="J73" s="20">
        <v>11</v>
      </c>
      <c r="K73" s="282">
        <f t="shared" si="2"/>
        <v>3668.5555679112103</v>
      </c>
      <c r="L73" s="282">
        <f t="shared" si="3"/>
        <v>3642.6397827089399</v>
      </c>
      <c r="M73" s="282">
        <f t="shared" si="4"/>
        <v>25.915785202270399</v>
      </c>
      <c r="S73" s="241"/>
      <c r="T73" s="46"/>
    </row>
    <row r="74" spans="6:20" x14ac:dyDescent="0.3">
      <c r="F74" s="11">
        <v>1200</v>
      </c>
      <c r="G74" s="241">
        <v>0.11</v>
      </c>
      <c r="H74" s="141">
        <v>0.115</v>
      </c>
      <c r="I74" s="11">
        <v>12</v>
      </c>
      <c r="J74" s="20">
        <v>12</v>
      </c>
      <c r="K74" s="282">
        <f t="shared" si="2"/>
        <v>4465.1744168153127</v>
      </c>
      <c r="L74" s="282">
        <f t="shared" si="3"/>
        <v>4430.7745720586927</v>
      </c>
      <c r="M74" s="282">
        <f t="shared" si="4"/>
        <v>34.399844756620041</v>
      </c>
      <c r="S74" s="241"/>
      <c r="T74" s="46"/>
    </row>
    <row r="75" spans="6:20" x14ac:dyDescent="0.3">
      <c r="F75" s="11">
        <v>1300</v>
      </c>
      <c r="G75" s="241">
        <v>0.11</v>
      </c>
      <c r="H75" s="141">
        <v>0.115</v>
      </c>
      <c r="I75" s="11">
        <v>12</v>
      </c>
      <c r="J75" s="20">
        <v>13</v>
      </c>
      <c r="K75" s="282">
        <f t="shared" si="2"/>
        <v>5397.0358040493147</v>
      </c>
      <c r="L75" s="282">
        <f t="shared" si="3"/>
        <v>5352.0064518325626</v>
      </c>
      <c r="M75" s="282">
        <f t="shared" si="4"/>
        <v>45.029352216752159</v>
      </c>
      <c r="S75" s="241"/>
      <c r="T75" s="46"/>
    </row>
    <row r="76" spans="6:20" x14ac:dyDescent="0.3">
      <c r="F76" s="11">
        <v>1400</v>
      </c>
      <c r="G76" s="241">
        <v>0.11</v>
      </c>
      <c r="H76" s="141">
        <v>0.115</v>
      </c>
      <c r="I76" s="11">
        <v>12</v>
      </c>
      <c r="J76" s="20">
        <v>14</v>
      </c>
      <c r="K76" s="282">
        <f t="shared" si="2"/>
        <v>6484.7725451360966</v>
      </c>
      <c r="L76" s="282">
        <f t="shared" si="3"/>
        <v>6426.5246702389468</v>
      </c>
      <c r="M76" s="282">
        <f t="shared" si="4"/>
        <v>58.247874897149813</v>
      </c>
      <c r="S76" s="241"/>
      <c r="T76" s="46"/>
    </row>
    <row r="77" spans="6:20" x14ac:dyDescent="0.3">
      <c r="F77" s="11">
        <v>1500</v>
      </c>
      <c r="G77" s="241">
        <v>0.11</v>
      </c>
      <c r="H77" s="141">
        <v>0.115</v>
      </c>
      <c r="I77" s="11">
        <v>12</v>
      </c>
      <c r="J77" s="20">
        <v>15</v>
      </c>
      <c r="K77" s="282">
        <f t="shared" si="2"/>
        <v>7751.9816539820649</v>
      </c>
      <c r="L77" s="282">
        <f t="shared" si="3"/>
        <v>7677.4017935533129</v>
      </c>
      <c r="M77" s="282">
        <f t="shared" si="4"/>
        <v>74.579860428751999</v>
      </c>
    </row>
    <row r="78" spans="6:20" x14ac:dyDescent="0.3">
      <c r="F78" s="11">
        <v>1600</v>
      </c>
      <c r="G78" s="241">
        <v>0.11</v>
      </c>
      <c r="H78" s="141">
        <v>0.115</v>
      </c>
      <c r="I78" s="11">
        <v>12</v>
      </c>
      <c r="J78" s="20">
        <v>16</v>
      </c>
      <c r="K78" s="282">
        <f t="shared" si="2"/>
        <v>9225.6340791333587</v>
      </c>
      <c r="L78" s="282">
        <f t="shared" si="3"/>
        <v>9130.9898664660759</v>
      </c>
      <c r="M78" s="282">
        <f t="shared" si="4"/>
        <v>94.644212667282773</v>
      </c>
    </row>
    <row r="79" spans="6:20" x14ac:dyDescent="0.3">
      <c r="F79" s="11">
        <v>1700</v>
      </c>
      <c r="G79" s="241">
        <v>0.11</v>
      </c>
      <c r="H79" s="141">
        <v>0.115</v>
      </c>
      <c r="I79" s="11">
        <v>12</v>
      </c>
      <c r="J79" s="20">
        <v>17</v>
      </c>
      <c r="K79" s="282">
        <f t="shared" si="2"/>
        <v>10936.539575304432</v>
      </c>
      <c r="L79" s="282">
        <f t="shared" si="3"/>
        <v>10817.369557429029</v>
      </c>
      <c r="M79" s="282">
        <f t="shared" si="4"/>
        <v>119.17001787540357</v>
      </c>
    </row>
    <row r="80" spans="6:20" x14ac:dyDescent="0.3">
      <c r="F80" s="11">
        <v>1800</v>
      </c>
      <c r="G80" s="241">
        <v>0.11</v>
      </c>
      <c r="H80" s="141">
        <v>0.115</v>
      </c>
      <c r="I80" s="11">
        <v>12</v>
      </c>
      <c r="J80" s="20">
        <v>18</v>
      </c>
      <c r="K80" s="282">
        <f t="shared" si="2"/>
        <v>12919.87398384166</v>
      </c>
      <c r="L80" s="282">
        <f t="shared" si="3"/>
        <v>12770.859236329448</v>
      </c>
      <c r="M80" s="282">
        <f t="shared" si="4"/>
        <v>149.01474751221213</v>
      </c>
    </row>
    <row r="81" spans="6:13" x14ac:dyDescent="0.3">
      <c r="F81" s="11">
        <v>1900</v>
      </c>
      <c r="G81" s="241">
        <v>0.11</v>
      </c>
      <c r="H81" s="141">
        <v>0.115</v>
      </c>
      <c r="I81" s="11">
        <v>12</v>
      </c>
      <c r="J81" s="20">
        <v>19</v>
      </c>
      <c r="K81" s="282">
        <f t="shared" si="2"/>
        <v>15215.777140876238</v>
      </c>
      <c r="L81" s="282">
        <f t="shared" si="3"/>
        <v>15030.591828979965</v>
      </c>
      <c r="M81" s="282">
        <f t="shared" si="4"/>
        <v>185.18531189627356</v>
      </c>
    </row>
    <row r="82" spans="6:13" x14ac:dyDescent="0.3">
      <c r="F82" s="11">
        <v>2000</v>
      </c>
      <c r="G82" s="241">
        <v>0.11</v>
      </c>
      <c r="H82" s="141">
        <v>0.115</v>
      </c>
      <c r="I82" s="11">
        <v>12</v>
      </c>
      <c r="J82" s="20">
        <v>20</v>
      </c>
      <c r="K82" s="282">
        <f t="shared" si="2"/>
        <v>17870.030698341248</v>
      </c>
      <c r="L82" s="282">
        <f t="shared" si="3"/>
        <v>17641.168304539642</v>
      </c>
      <c r="M82" s="282">
        <f t="shared" si="4"/>
        <v>228.86239380160623</v>
      </c>
    </row>
    <row r="83" spans="6:13" x14ac:dyDescent="0.3">
      <c r="F83" s="11">
        <v>2100</v>
      </c>
      <c r="G83" s="241">
        <v>0.11</v>
      </c>
      <c r="H83" s="141">
        <v>0.115</v>
      </c>
      <c r="I83" s="11">
        <v>12</v>
      </c>
      <c r="J83" s="20">
        <v>21</v>
      </c>
      <c r="K83" s="282">
        <f t="shared" si="2"/>
        <v>20934.826346202368</v>
      </c>
      <c r="L83" s="282">
        <f t="shared" si="3"/>
        <v>20653.397792539788</v>
      </c>
      <c r="M83" s="282">
        <f t="shared" si="4"/>
        <v>281.42855366257936</v>
      </c>
    </row>
    <row r="84" spans="6:13" x14ac:dyDescent="0.3">
      <c r="F84" s="11">
        <v>2200</v>
      </c>
      <c r="G84" s="241">
        <v>0.11</v>
      </c>
      <c r="H84" s="141">
        <v>0.115</v>
      </c>
      <c r="I84" s="11">
        <v>12</v>
      </c>
      <c r="J84" s="20">
        <v>22</v>
      </c>
      <c r="K84" s="282">
        <f t="shared" si="2"/>
        <v>24469.636281549716</v>
      </c>
      <c r="L84" s="282">
        <f t="shared" si="3"/>
        <v>24125.135611952428</v>
      </c>
      <c r="M84" s="282">
        <f t="shared" si="4"/>
        <v>344.50066959728792</v>
      </c>
    </row>
    <row r="85" spans="6:13" x14ac:dyDescent="0.3">
      <c r="F85" s="11">
        <v>2300</v>
      </c>
      <c r="G85" s="241">
        <v>0.11</v>
      </c>
      <c r="H85" s="141">
        <v>0.115</v>
      </c>
      <c r="I85" s="11">
        <v>12</v>
      </c>
      <c r="J85" s="20">
        <v>23</v>
      </c>
      <c r="K85" s="282">
        <f t="shared" si="2"/>
        <v>28542.199301178618</v>
      </c>
      <c r="L85" s="282">
        <f t="shared" si="3"/>
        <v>28122.231944023635</v>
      </c>
      <c r="M85" s="282">
        <f t="shared" si="4"/>
        <v>419.96735715498289</v>
      </c>
    </row>
    <row r="86" spans="6:13" x14ac:dyDescent="0.3">
      <c r="F86" s="11">
        <v>2400</v>
      </c>
      <c r="G86" s="241">
        <v>0.11</v>
      </c>
      <c r="H86" s="141">
        <v>0.115</v>
      </c>
      <c r="I86" s="11">
        <v>12</v>
      </c>
      <c r="J86" s="20">
        <v>24</v>
      </c>
      <c r="K86" s="282">
        <f t="shared" si="2"/>
        <v>33229.637620969952</v>
      </c>
      <c r="L86" s="282">
        <f t="shared" si="3"/>
        <v>32719.605514003157</v>
      </c>
      <c r="M86" s="282">
        <f t="shared" si="4"/>
        <v>510.03210696679525</v>
      </c>
    </row>
    <row r="87" spans="6:13" x14ac:dyDescent="0.3">
      <c r="F87" s="11">
        <v>2500</v>
      </c>
      <c r="G87" s="241">
        <v>0.11</v>
      </c>
      <c r="H87" s="141">
        <v>0.115</v>
      </c>
      <c r="I87" s="11">
        <v>12</v>
      </c>
      <c r="J87" s="20">
        <v>25</v>
      </c>
      <c r="K87" s="282">
        <f t="shared" si="2"/>
        <v>38619.721472559715</v>
      </c>
      <c r="L87" s="282">
        <f t="shared" si="3"/>
        <v>38002.458487618249</v>
      </c>
      <c r="M87" s="282">
        <f t="shared" si="4"/>
        <v>617.26298494146613</v>
      </c>
    </row>
    <row r="88" spans="6:13" x14ac:dyDescent="0.3">
      <c r="F88" s="11">
        <v>2600</v>
      </c>
      <c r="G88" s="241">
        <v>0.11</v>
      </c>
      <c r="H88" s="141">
        <v>0.115</v>
      </c>
      <c r="I88" s="11">
        <v>12</v>
      </c>
      <c r="J88" s="20">
        <v>26</v>
      </c>
      <c r="K88" s="282">
        <f t="shared" si="2"/>
        <v>44812.300723369568</v>
      </c>
      <c r="L88" s="282">
        <f t="shared" si="3"/>
        <v>44067.650862242124</v>
      </c>
      <c r="M88" s="282">
        <f t="shared" si="4"/>
        <v>744.64986112744373</v>
      </c>
    </row>
    <row r="89" spans="6:13" x14ac:dyDescent="0.3">
      <c r="F89" s="11">
        <v>2700</v>
      </c>
      <c r="G89" s="241">
        <v>0.11</v>
      </c>
      <c r="H89" s="141">
        <v>0.115</v>
      </c>
      <c r="I89" s="11">
        <v>12</v>
      </c>
      <c r="J89" s="20">
        <v>27</v>
      </c>
      <c r="K89" s="282">
        <f t="shared" si="2"/>
        <v>51920.92524147356</v>
      </c>
      <c r="L89" s="282">
        <f t="shared" si="3"/>
        <v>51025.254969530739</v>
      </c>
      <c r="M89" s="282">
        <f t="shared" si="4"/>
        <v>895.67027194282127</v>
      </c>
    </row>
    <row r="90" spans="6:13" x14ac:dyDescent="0.3">
      <c r="F90" s="11">
        <v>2800</v>
      </c>
      <c r="G90" s="241">
        <v>0.11</v>
      </c>
      <c r="H90" s="141">
        <v>0.115</v>
      </c>
      <c r="I90" s="11">
        <v>12</v>
      </c>
      <c r="J90" s="20">
        <v>28</v>
      </c>
      <c r="K90" s="282">
        <f t="shared" si="2"/>
        <v>60074.678517358429</v>
      </c>
      <c r="L90" s="282">
        <f t="shared" si="3"/>
        <v>59000.313338842585</v>
      </c>
      <c r="M90" s="282">
        <f t="shared" si="4"/>
        <v>1074.3651785158436</v>
      </c>
    </row>
    <row r="91" spans="6:13" x14ac:dyDescent="0.3">
      <c r="F91" s="11">
        <v>2900</v>
      </c>
      <c r="G91" s="241">
        <v>0.11</v>
      </c>
      <c r="H91" s="141">
        <v>0.115</v>
      </c>
      <c r="I91" s="11">
        <v>12</v>
      </c>
      <c r="J91" s="20">
        <v>29</v>
      </c>
      <c r="K91" s="282">
        <f t="shared" si="2"/>
        <v>69420.252200195566</v>
      </c>
      <c r="L91" s="282">
        <f t="shared" si="3"/>
        <v>68134.826136124102</v>
      </c>
      <c r="M91" s="282">
        <f t="shared" si="4"/>
        <v>1285.4260640714638</v>
      </c>
    </row>
    <row r="92" spans="6:13" x14ac:dyDescent="0.3">
      <c r="F92" s="11">
        <v>3000</v>
      </c>
      <c r="G92" s="241">
        <v>0.11</v>
      </c>
      <c r="H92" s="141">
        <v>0.115</v>
      </c>
      <c r="I92" s="11">
        <v>12</v>
      </c>
      <c r="J92" s="20">
        <v>30</v>
      </c>
      <c r="K92" s="282">
        <f t="shared" si="2"/>
        <v>80124.292751565998</v>
      </c>
      <c r="L92" s="282">
        <f t="shared" si="3"/>
        <v>78589.997732874181</v>
      </c>
      <c r="M92" s="282">
        <f t="shared" si="4"/>
        <v>1534.2950186918169</v>
      </c>
    </row>
  </sheetData>
  <mergeCells count="5">
    <mergeCell ref="I52:K52"/>
    <mergeCell ref="I56:K56"/>
    <mergeCell ref="F51:H51"/>
    <mergeCell ref="I51:K51"/>
    <mergeCell ref="F52:H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685D-CF06-41B1-81F8-37386D9E476B}">
  <dimension ref="B2:P128"/>
  <sheetViews>
    <sheetView topLeftCell="A115" zoomScaleNormal="100" workbookViewId="0">
      <selection activeCell="C103" sqref="C103"/>
    </sheetView>
  </sheetViews>
  <sheetFormatPr defaultRowHeight="15.6" x14ac:dyDescent="0.3"/>
  <cols>
    <col min="1" max="1" width="8.88671875" style="287"/>
    <col min="2" max="2" width="31.21875" style="287" customWidth="1"/>
    <col min="3" max="3" width="12.44140625" style="287" customWidth="1"/>
    <col min="4" max="9" width="9" style="287" bestFit="1" customWidth="1"/>
    <col min="10" max="16384" width="8.88671875" style="287"/>
  </cols>
  <sheetData>
    <row r="2" spans="2:3" ht="17.399999999999999" x14ac:dyDescent="0.3">
      <c r="C2" s="330" t="s">
        <v>463</v>
      </c>
    </row>
    <row r="4" spans="2:3" x14ac:dyDescent="0.3">
      <c r="B4" s="287" t="s">
        <v>402</v>
      </c>
    </row>
    <row r="6" spans="2:3" x14ac:dyDescent="0.3">
      <c r="B6" s="287" t="s">
        <v>403</v>
      </c>
    </row>
    <row r="8" spans="2:3" x14ac:dyDescent="0.3">
      <c r="B8" s="287" t="s">
        <v>774</v>
      </c>
    </row>
    <row r="9" spans="2:3" x14ac:dyDescent="0.3">
      <c r="B9" s="287" t="s">
        <v>404</v>
      </c>
    </row>
    <row r="11" spans="2:3" x14ac:dyDescent="0.3">
      <c r="B11" s="287" t="s">
        <v>775</v>
      </c>
    </row>
    <row r="12" spans="2:3" x14ac:dyDescent="0.3">
      <c r="B12" s="287" t="s">
        <v>405</v>
      </c>
    </row>
    <row r="14" spans="2:3" x14ac:dyDescent="0.3">
      <c r="B14" s="287" t="s">
        <v>776</v>
      </c>
    </row>
    <row r="15" spans="2:3" x14ac:dyDescent="0.3">
      <c r="B15" s="287" t="s">
        <v>406</v>
      </c>
    </row>
    <row r="17" spans="2:2" x14ac:dyDescent="0.3">
      <c r="B17" s="287" t="s">
        <v>777</v>
      </c>
    </row>
    <row r="18" spans="2:2" x14ac:dyDescent="0.3">
      <c r="B18" s="287" t="s">
        <v>407</v>
      </c>
    </row>
    <row r="20" spans="2:2" x14ac:dyDescent="0.3">
      <c r="B20" s="18" t="s">
        <v>778</v>
      </c>
    </row>
    <row r="21" spans="2:2" x14ac:dyDescent="0.3">
      <c r="B21" s="287" t="s">
        <v>400</v>
      </c>
    </row>
    <row r="22" spans="2:2" x14ac:dyDescent="0.3">
      <c r="B22" s="287" t="s">
        <v>401</v>
      </c>
    </row>
    <row r="24" spans="2:2" x14ac:dyDescent="0.3">
      <c r="B24" s="303" t="s">
        <v>408</v>
      </c>
    </row>
    <row r="26" spans="2:2" x14ac:dyDescent="0.3">
      <c r="B26" s="287" t="s">
        <v>409</v>
      </c>
    </row>
    <row r="27" spans="2:2" x14ac:dyDescent="0.3">
      <c r="B27" s="287" t="s">
        <v>410</v>
      </c>
    </row>
    <row r="29" spans="2:2" x14ac:dyDescent="0.3">
      <c r="B29" s="107" t="s">
        <v>411</v>
      </c>
    </row>
    <row r="31" spans="2:2" x14ac:dyDescent="0.3">
      <c r="B31" s="30" t="s">
        <v>422</v>
      </c>
    </row>
    <row r="33" spans="2:16" x14ac:dyDescent="0.3">
      <c r="B33" s="287" t="s">
        <v>420</v>
      </c>
    </row>
    <row r="34" spans="2:16" x14ac:dyDescent="0.3">
      <c r="B34" s="287" t="s">
        <v>419</v>
      </c>
    </row>
    <row r="35" spans="2:16" ht="16.2" thickBot="1" x14ac:dyDescent="0.35"/>
    <row r="36" spans="2:16" ht="16.2" thickBot="1" x14ac:dyDescent="0.35">
      <c r="B36" s="292" t="s">
        <v>412</v>
      </c>
      <c r="C36" s="293">
        <v>0</v>
      </c>
      <c r="D36" s="293">
        <v>1</v>
      </c>
      <c r="E36" s="293">
        <v>2</v>
      </c>
      <c r="F36" s="293">
        <v>3</v>
      </c>
      <c r="G36" s="293">
        <v>4</v>
      </c>
      <c r="H36" s="293">
        <v>5</v>
      </c>
      <c r="I36" s="293">
        <v>6</v>
      </c>
      <c r="J36" s="293">
        <v>7</v>
      </c>
    </row>
    <row r="37" spans="2:16" ht="16.2" thickBot="1" x14ac:dyDescent="0.35">
      <c r="B37" s="290" t="s">
        <v>414</v>
      </c>
      <c r="C37" s="291">
        <v>-100</v>
      </c>
      <c r="D37" s="291">
        <v>10</v>
      </c>
      <c r="E37" s="291">
        <v>15</v>
      </c>
      <c r="F37" s="291">
        <v>20</v>
      </c>
      <c r="G37" s="291">
        <v>25</v>
      </c>
      <c r="H37" s="291">
        <v>35</v>
      </c>
      <c r="I37" s="291">
        <v>50</v>
      </c>
      <c r="J37" s="291">
        <v>50</v>
      </c>
    </row>
    <row r="38" spans="2:16" ht="16.2" thickBot="1" x14ac:dyDescent="0.35">
      <c r="B38" s="290" t="s">
        <v>415</v>
      </c>
      <c r="C38" s="294">
        <v>0.1</v>
      </c>
      <c r="D38" s="294">
        <v>0.1</v>
      </c>
      <c r="E38" s="294">
        <v>0.1</v>
      </c>
      <c r="F38" s="294">
        <v>0.1</v>
      </c>
      <c r="G38" s="294">
        <v>0.1</v>
      </c>
      <c r="H38" s="294">
        <v>0.1</v>
      </c>
      <c r="I38" s="294">
        <v>0.1</v>
      </c>
      <c r="J38" s="294">
        <v>0.1</v>
      </c>
    </row>
    <row r="39" spans="2:16" ht="16.2" thickBot="1" x14ac:dyDescent="0.35">
      <c r="B39" s="290" t="s">
        <v>416</v>
      </c>
      <c r="C39" s="306">
        <v>1</v>
      </c>
      <c r="D39" s="306">
        <f>C39/(1+D38)</f>
        <v>0.90909090909090906</v>
      </c>
      <c r="E39" s="306">
        <f>D39/(1+E38)</f>
        <v>0.82644628099173545</v>
      </c>
      <c r="F39" s="306">
        <f>E39/(1+F38)</f>
        <v>0.75131480090157765</v>
      </c>
      <c r="G39" s="306">
        <f>F39/(1+G38)</f>
        <v>0.68301345536507052</v>
      </c>
      <c r="H39" s="306">
        <f>G39/(1+H38)</f>
        <v>0.62092132305915493</v>
      </c>
      <c r="I39" s="306">
        <f>H39/(1+I38)</f>
        <v>0.56447393005377711</v>
      </c>
      <c r="J39" s="306">
        <f>I39/(1+J38)</f>
        <v>0.51315811823070645</v>
      </c>
      <c r="L39" s="312" t="s">
        <v>453</v>
      </c>
    </row>
    <row r="40" spans="2:16" ht="16.2" thickBot="1" x14ac:dyDescent="0.35">
      <c r="B40" s="311" t="s">
        <v>417</v>
      </c>
      <c r="C40" s="310">
        <f>C37/(1+C38)^C36</f>
        <v>-100</v>
      </c>
      <c r="D40" s="310">
        <f>D37/(1+D38)^D36</f>
        <v>9.0909090909090899</v>
      </c>
      <c r="E40" s="310">
        <f>E37/(1+E38)^E36</f>
        <v>12.396694214876032</v>
      </c>
      <c r="F40" s="310">
        <f>F37/(1+F38)^F36</f>
        <v>15.02629601803155</v>
      </c>
      <c r="G40" s="310">
        <f>G37/(1+G38)^G36</f>
        <v>17.075336384126764</v>
      </c>
      <c r="H40" s="310">
        <f>H37/(1+H38)^H36</f>
        <v>21.732246307070422</v>
      </c>
      <c r="I40" s="310">
        <f>I37/(1+I38)^I36</f>
        <v>28.22369650268886</v>
      </c>
      <c r="J40" s="310">
        <f>J37/(1+J38)^J36</f>
        <v>25.657905911535323</v>
      </c>
      <c r="L40" s="312" t="s">
        <v>452</v>
      </c>
    </row>
    <row r="41" spans="2:16" ht="16.2" thickBot="1" x14ac:dyDescent="0.35">
      <c r="B41" s="311" t="s">
        <v>417</v>
      </c>
      <c r="C41" s="310">
        <f>C37*C39</f>
        <v>-100</v>
      </c>
      <c r="D41" s="310">
        <f>D37*D39</f>
        <v>9.0909090909090899</v>
      </c>
      <c r="E41" s="310">
        <f>E37*E39</f>
        <v>12.396694214876032</v>
      </c>
      <c r="F41" s="310">
        <f>F37*F39</f>
        <v>15.026296018031553</v>
      </c>
      <c r="G41" s="310">
        <f>G37*G39</f>
        <v>17.075336384126764</v>
      </c>
      <c r="H41" s="310">
        <f>H37*H39</f>
        <v>21.732246307070422</v>
      </c>
      <c r="I41" s="310">
        <f>I37*I39</f>
        <v>28.223696502688856</v>
      </c>
      <c r="J41" s="310">
        <f>J37*J39</f>
        <v>25.657905911535323</v>
      </c>
      <c r="L41" s="312" t="s">
        <v>451</v>
      </c>
      <c r="P41" s="296"/>
    </row>
    <row r="42" spans="2:16" ht="16.2" thickBot="1" x14ac:dyDescent="0.35">
      <c r="B42" s="300" t="s">
        <v>418</v>
      </c>
      <c r="C42" s="308">
        <f>SUM(C40:J40)</f>
        <v>29.20308442923805</v>
      </c>
      <c r="D42" s="309"/>
      <c r="E42" s="314" t="s">
        <v>455</v>
      </c>
      <c r="F42" s="309"/>
      <c r="G42" s="309"/>
      <c r="P42" s="296"/>
    </row>
    <row r="44" spans="2:16" x14ac:dyDescent="0.3">
      <c r="B44" s="18" t="s">
        <v>421</v>
      </c>
    </row>
    <row r="45" spans="2:16" ht="16.2" thickBot="1" x14ac:dyDescent="0.35">
      <c r="B45" s="18"/>
    </row>
    <row r="46" spans="2:16" ht="16.2" thickBot="1" x14ac:dyDescent="0.35">
      <c r="B46" s="292" t="s">
        <v>412</v>
      </c>
      <c r="C46" s="293">
        <v>0</v>
      </c>
      <c r="D46" s="293">
        <v>1</v>
      </c>
      <c r="E46" s="293">
        <v>2</v>
      </c>
      <c r="F46" s="293">
        <v>3</v>
      </c>
      <c r="G46" s="293">
        <v>4</v>
      </c>
      <c r="H46" s="293">
        <v>5</v>
      </c>
      <c r="I46" s="293">
        <v>6</v>
      </c>
      <c r="J46" s="293">
        <v>7</v>
      </c>
    </row>
    <row r="47" spans="2:16" ht="16.2" thickBot="1" x14ac:dyDescent="0.35">
      <c r="B47" s="290" t="s">
        <v>414</v>
      </c>
      <c r="C47" s="291">
        <v>-100</v>
      </c>
      <c r="D47" s="291">
        <v>10</v>
      </c>
      <c r="E47" s="291">
        <v>15</v>
      </c>
      <c r="F47" s="291">
        <v>20</v>
      </c>
      <c r="G47" s="291">
        <v>25</v>
      </c>
      <c r="H47" s="291">
        <v>35</v>
      </c>
      <c r="I47" s="291">
        <v>50</v>
      </c>
      <c r="J47" s="291">
        <v>50</v>
      </c>
    </row>
    <row r="48" spans="2:16" ht="16.2" thickBot="1" x14ac:dyDescent="0.35">
      <c r="B48" s="290" t="s">
        <v>415</v>
      </c>
      <c r="C48" s="294">
        <v>0.1</v>
      </c>
      <c r="D48" s="309"/>
      <c r="E48" s="309"/>
      <c r="F48" s="309"/>
      <c r="G48" s="309"/>
    </row>
    <row r="49" spans="2:10" ht="16.2" thickBot="1" x14ac:dyDescent="0.35">
      <c r="B49" s="300" t="s">
        <v>418</v>
      </c>
      <c r="C49" s="313">
        <f>C47+NPV(C48,D47:J47)</f>
        <v>29.203084429238032</v>
      </c>
      <c r="D49" s="309"/>
      <c r="E49" s="312" t="s">
        <v>454</v>
      </c>
      <c r="F49" s="309"/>
      <c r="G49" s="309"/>
    </row>
    <row r="50" spans="2:10" x14ac:dyDescent="0.3">
      <c r="B50" s="18"/>
    </row>
    <row r="51" spans="2:10" x14ac:dyDescent="0.3">
      <c r="B51" s="18"/>
    </row>
    <row r="53" spans="2:10" x14ac:dyDescent="0.3">
      <c r="B53" s="11" t="s">
        <v>423</v>
      </c>
    </row>
    <row r="54" spans="2:10" ht="15" customHeight="1" x14ac:dyDescent="0.3"/>
    <row r="55" spans="2:10" ht="17.399999999999999" x14ac:dyDescent="0.3">
      <c r="B55" s="1" t="s">
        <v>424</v>
      </c>
    </row>
    <row r="56" spans="2:10" ht="17.399999999999999" x14ac:dyDescent="0.3">
      <c r="B56" s="1"/>
    </row>
    <row r="57" spans="2:10" x14ac:dyDescent="0.3">
      <c r="B57" s="286" t="s">
        <v>425</v>
      </c>
    </row>
    <row r="58" spans="2:10" ht="16.2" thickBot="1" x14ac:dyDescent="0.35"/>
    <row r="59" spans="2:10" ht="16.2" thickBot="1" x14ac:dyDescent="0.35">
      <c r="B59" s="292" t="s">
        <v>86</v>
      </c>
      <c r="C59" s="293">
        <v>0</v>
      </c>
      <c r="D59" s="293">
        <v>1</v>
      </c>
      <c r="E59" s="293">
        <v>2</v>
      </c>
      <c r="F59" s="293">
        <v>4</v>
      </c>
      <c r="G59" s="293">
        <v>6</v>
      </c>
      <c r="H59" s="293">
        <v>7</v>
      </c>
    </row>
    <row r="60" spans="2:10" x14ac:dyDescent="0.3">
      <c r="B60" s="324" t="s">
        <v>414</v>
      </c>
      <c r="C60" s="327">
        <v>-100</v>
      </c>
      <c r="D60" s="327">
        <v>40</v>
      </c>
      <c r="E60" s="327">
        <v>40</v>
      </c>
      <c r="F60" s="327">
        <v>50</v>
      </c>
      <c r="G60" s="327">
        <v>70</v>
      </c>
      <c r="H60" s="327">
        <v>70</v>
      </c>
    </row>
    <row r="61" spans="2:10" x14ac:dyDescent="0.3">
      <c r="B61" s="324" t="s">
        <v>415</v>
      </c>
      <c r="C61" s="325">
        <v>0.1</v>
      </c>
    </row>
    <row r="62" spans="2:10" x14ac:dyDescent="0.3">
      <c r="B62" s="319" t="s">
        <v>417</v>
      </c>
      <c r="C62" s="320">
        <f>C60/(1+$C$61)^C59</f>
        <v>-100</v>
      </c>
      <c r="D62" s="322">
        <f>D60/(1+$C$61)^D59</f>
        <v>36.36363636363636</v>
      </c>
      <c r="E62" s="322">
        <f>E60/(1+$C$61)^E59</f>
        <v>33.057851239669418</v>
      </c>
      <c r="F62" s="322">
        <f>F60/(1+$C$61)^F59</f>
        <v>34.150672768253528</v>
      </c>
      <c r="G62" s="322">
        <f>G60/(1+$C$61)^G59</f>
        <v>39.513175103764404</v>
      </c>
      <c r="H62" s="322">
        <f>H60/(1+$C$61)^H59</f>
        <v>35.921068276149448</v>
      </c>
      <c r="J62" s="312" t="s">
        <v>456</v>
      </c>
    </row>
    <row r="63" spans="2:10" ht="16.2" thickBot="1" x14ac:dyDescent="0.35">
      <c r="B63" s="295" t="s">
        <v>418</v>
      </c>
      <c r="C63" s="321">
        <f>SUM(C62:H62)</f>
        <v>79.006403751473158</v>
      </c>
      <c r="E63" s="314" t="s">
        <v>455</v>
      </c>
    </row>
    <row r="65" spans="2:12" x14ac:dyDescent="0.3">
      <c r="B65" s="18" t="s">
        <v>426</v>
      </c>
    </row>
    <row r="67" spans="2:12" x14ac:dyDescent="0.3">
      <c r="B67" s="11" t="s">
        <v>427</v>
      </c>
    </row>
    <row r="68" spans="2:12" ht="16.2" thickBot="1" x14ac:dyDescent="0.35">
      <c r="B68" s="11"/>
    </row>
    <row r="69" spans="2:12" ht="16.2" thickBot="1" x14ac:dyDescent="0.35">
      <c r="B69" s="292" t="s">
        <v>412</v>
      </c>
      <c r="C69" s="293">
        <v>0</v>
      </c>
      <c r="D69" s="293">
        <v>1</v>
      </c>
      <c r="E69" s="293">
        <v>2</v>
      </c>
      <c r="F69" s="293">
        <v>3</v>
      </c>
      <c r="G69" s="293">
        <v>4</v>
      </c>
      <c r="H69" s="293">
        <v>5</v>
      </c>
      <c r="I69" s="293">
        <v>6</v>
      </c>
      <c r="J69" s="293">
        <v>7</v>
      </c>
    </row>
    <row r="70" spans="2:12" ht="16.2" thickBot="1" x14ac:dyDescent="0.35">
      <c r="B70" s="290" t="s">
        <v>414</v>
      </c>
      <c r="C70" s="291">
        <v>-100</v>
      </c>
      <c r="D70" s="291">
        <v>10</v>
      </c>
      <c r="E70" s="291">
        <v>15</v>
      </c>
      <c r="F70" s="291">
        <v>20</v>
      </c>
      <c r="G70" s="291">
        <v>25</v>
      </c>
      <c r="H70" s="291">
        <v>35</v>
      </c>
      <c r="I70" s="291">
        <v>50</v>
      </c>
      <c r="J70" s="291">
        <v>50</v>
      </c>
    </row>
    <row r="71" spans="2:12" ht="16.2" thickBot="1" x14ac:dyDescent="0.35">
      <c r="B71" s="290" t="s">
        <v>415</v>
      </c>
      <c r="C71" s="294">
        <v>0.12</v>
      </c>
      <c r="D71" s="315">
        <v>0.115</v>
      </c>
      <c r="E71" s="315">
        <v>0.11</v>
      </c>
      <c r="F71" s="315">
        <v>0.105</v>
      </c>
      <c r="G71" s="315">
        <v>0.1</v>
      </c>
      <c r="H71" s="315">
        <v>9.5000000000000001E-2</v>
      </c>
      <c r="I71" s="315">
        <v>0.09</v>
      </c>
      <c r="J71" s="315">
        <v>8.5000000000000006E-2</v>
      </c>
    </row>
    <row r="72" spans="2:12" ht="16.2" thickBot="1" x14ac:dyDescent="0.35">
      <c r="B72" s="290" t="s">
        <v>416</v>
      </c>
      <c r="C72" s="310">
        <v>1</v>
      </c>
      <c r="D72" s="305">
        <f>C72/(1+D71)</f>
        <v>0.89686098654708524</v>
      </c>
      <c r="E72" s="305">
        <f>D72/(1+E71)</f>
        <v>0.80798287076313979</v>
      </c>
      <c r="F72" s="305">
        <f t="shared" ref="F72" si="0">E72/(1+F71)</f>
        <v>0.73120621788519435</v>
      </c>
      <c r="G72" s="305">
        <f t="shared" ref="G72" si="1">F72/(1+G71)</f>
        <v>0.66473292535017658</v>
      </c>
      <c r="H72" s="305">
        <f t="shared" ref="H72" si="2">G72/(1+H71)</f>
        <v>0.60706203228326627</v>
      </c>
      <c r="I72" s="305">
        <f t="shared" ref="I72" si="3">H72/(1+I71)</f>
        <v>0.55693764429657455</v>
      </c>
      <c r="J72" s="305">
        <f t="shared" ref="J72" si="4">I72/(1+J71)</f>
        <v>0.51330658460513789</v>
      </c>
      <c r="L72" s="312" t="s">
        <v>453</v>
      </c>
    </row>
    <row r="73" spans="2:12" ht="16.2" thickBot="1" x14ac:dyDescent="0.35">
      <c r="B73" s="311" t="s">
        <v>417</v>
      </c>
      <c r="C73" s="310">
        <f>C72*C70</f>
        <v>-100</v>
      </c>
      <c r="D73" s="305">
        <f t="shared" ref="D73:J73" si="5">D72*D70</f>
        <v>8.968609865470853</v>
      </c>
      <c r="E73" s="305">
        <f t="shared" si="5"/>
        <v>12.119743061447096</v>
      </c>
      <c r="F73" s="305">
        <f t="shared" si="5"/>
        <v>14.624124357703888</v>
      </c>
      <c r="G73" s="305">
        <f t="shared" si="5"/>
        <v>16.618323133754416</v>
      </c>
      <c r="H73" s="305">
        <f t="shared" si="5"/>
        <v>21.247171129914321</v>
      </c>
      <c r="I73" s="305">
        <f t="shared" si="5"/>
        <v>27.846882214828728</v>
      </c>
      <c r="J73" s="305">
        <f t="shared" si="5"/>
        <v>25.665329230256894</v>
      </c>
      <c r="L73" s="312" t="s">
        <v>452</v>
      </c>
    </row>
    <row r="74" spans="2:12" ht="16.2" thickBot="1" x14ac:dyDescent="0.35">
      <c r="B74" s="300" t="s">
        <v>418</v>
      </c>
      <c r="C74" s="308">
        <f>SUM(C73:J73)</f>
        <v>27.0901829933762</v>
      </c>
      <c r="D74" s="309"/>
      <c r="E74" s="314" t="s">
        <v>455</v>
      </c>
      <c r="F74" s="309"/>
      <c r="G74" s="309"/>
    </row>
    <row r="77" spans="2:12" x14ac:dyDescent="0.3">
      <c r="B77" s="287" t="s">
        <v>428</v>
      </c>
    </row>
    <row r="78" spans="2:12" x14ac:dyDescent="0.3">
      <c r="B78" s="287" t="s">
        <v>429</v>
      </c>
    </row>
    <row r="80" spans="2:12" x14ac:dyDescent="0.3">
      <c r="B80" s="21" t="s">
        <v>430</v>
      </c>
    </row>
    <row r="85" spans="2:10" x14ac:dyDescent="0.3">
      <c r="B85" s="287" t="s">
        <v>431</v>
      </c>
    </row>
    <row r="86" spans="2:10" x14ac:dyDescent="0.3">
      <c r="B86" s="287" t="s">
        <v>432</v>
      </c>
    </row>
    <row r="88" spans="2:10" x14ac:dyDescent="0.3">
      <c r="B88" s="287" t="s">
        <v>433</v>
      </c>
    </row>
    <row r="90" spans="2:10" x14ac:dyDescent="0.3">
      <c r="B90" s="287" t="s">
        <v>435</v>
      </c>
    </row>
    <row r="91" spans="2:10" x14ac:dyDescent="0.3">
      <c r="B91" s="287" t="s">
        <v>434</v>
      </c>
    </row>
    <row r="92" spans="2:10" x14ac:dyDescent="0.3">
      <c r="B92" s="287" t="s">
        <v>773</v>
      </c>
    </row>
    <row r="93" spans="2:10" ht="16.2" thickBot="1" x14ac:dyDescent="0.35"/>
    <row r="94" spans="2:10" ht="16.2" thickBot="1" x14ac:dyDescent="0.35">
      <c r="B94" s="292" t="s">
        <v>412</v>
      </c>
      <c r="C94" s="293">
        <v>0</v>
      </c>
      <c r="D94" s="293">
        <v>1</v>
      </c>
      <c r="E94" s="293">
        <v>2</v>
      </c>
      <c r="F94" s="293">
        <v>3</v>
      </c>
      <c r="G94" s="293">
        <v>4</v>
      </c>
      <c r="H94" s="293">
        <v>5</v>
      </c>
      <c r="I94" s="293">
        <v>6</v>
      </c>
      <c r="J94" s="293">
        <v>7</v>
      </c>
    </row>
    <row r="95" spans="2:10" ht="16.2" thickBot="1" x14ac:dyDescent="0.35">
      <c r="B95" s="290" t="s">
        <v>414</v>
      </c>
      <c r="C95" s="291">
        <v>-100</v>
      </c>
      <c r="D95" s="291">
        <v>10</v>
      </c>
      <c r="E95" s="291">
        <v>15</v>
      </c>
      <c r="F95" s="291">
        <v>20</v>
      </c>
      <c r="G95" s="291">
        <v>25</v>
      </c>
      <c r="H95" s="291">
        <v>35</v>
      </c>
      <c r="I95" s="291">
        <v>50</v>
      </c>
      <c r="J95" s="291">
        <v>50</v>
      </c>
    </row>
    <row r="96" spans="2:10" ht="16.2" thickBot="1" x14ac:dyDescent="0.35">
      <c r="B96" s="290" t="s">
        <v>415</v>
      </c>
      <c r="C96" s="294">
        <f>C100</f>
        <v>0.1</v>
      </c>
      <c r="D96" s="294">
        <f>C100</f>
        <v>0.1</v>
      </c>
      <c r="E96" s="294">
        <f>C100</f>
        <v>0.1</v>
      </c>
      <c r="F96" s="294">
        <f>C100</f>
        <v>0.1</v>
      </c>
      <c r="G96" s="294">
        <f>C100</f>
        <v>0.1</v>
      </c>
      <c r="H96" s="294">
        <f>C100</f>
        <v>0.1</v>
      </c>
      <c r="I96" s="294">
        <f>C100</f>
        <v>0.1</v>
      </c>
      <c r="J96" s="294">
        <f>C100</f>
        <v>0.1</v>
      </c>
    </row>
    <row r="97" spans="2:10" ht="16.2" thickBot="1" x14ac:dyDescent="0.35">
      <c r="B97" s="290" t="s">
        <v>416</v>
      </c>
      <c r="C97" s="291">
        <v>1</v>
      </c>
      <c r="D97" s="306">
        <f>C97/(1+D96)</f>
        <v>0.90909090909090906</v>
      </c>
      <c r="E97" s="306">
        <f>D97/(1+E96)</f>
        <v>0.82644628099173545</v>
      </c>
      <c r="F97" s="306">
        <f>E97/(1+F96)</f>
        <v>0.75131480090157765</v>
      </c>
      <c r="G97" s="306">
        <f>F97/(1+G96)</f>
        <v>0.68301345536507052</v>
      </c>
      <c r="H97" s="306">
        <f>G97/(1+H96)</f>
        <v>0.62092132305915493</v>
      </c>
      <c r="I97" s="306">
        <f>H97/(1+I96)</f>
        <v>0.56447393005377711</v>
      </c>
      <c r="J97" s="306">
        <f>I97/(1+J96)</f>
        <v>0.51315811823070645</v>
      </c>
    </row>
    <row r="98" spans="2:10" ht="16.2" thickBot="1" x14ac:dyDescent="0.35">
      <c r="B98" s="290" t="s">
        <v>417</v>
      </c>
      <c r="C98" s="307">
        <f>C95/(1+C96)^C94</f>
        <v>-100</v>
      </c>
      <c r="D98" s="307">
        <f>D95/(1+D96)^D94</f>
        <v>9.0909090909090899</v>
      </c>
      <c r="E98" s="307">
        <f>E95/(1+E96)^E94</f>
        <v>12.396694214876032</v>
      </c>
      <c r="F98" s="307">
        <f>F95/(1+F96)^F94</f>
        <v>15.02629601803155</v>
      </c>
      <c r="G98" s="307">
        <f>G95/(1+G96)^G94</f>
        <v>17.075336384126764</v>
      </c>
      <c r="H98" s="307">
        <f>H95/(1+H96)^H94</f>
        <v>21.732246307070422</v>
      </c>
      <c r="I98" s="307">
        <f>I95/(1+I96)^I94</f>
        <v>28.22369650268886</v>
      </c>
      <c r="J98" s="307">
        <f>J95/(1+J96)^J94</f>
        <v>25.657905911535323</v>
      </c>
    </row>
    <row r="99" spans="2:10" ht="16.2" thickBot="1" x14ac:dyDescent="0.35">
      <c r="B99" s="290" t="s">
        <v>418</v>
      </c>
      <c r="C99" s="307">
        <f>SUM(C98:J98)</f>
        <v>29.20308442923805</v>
      </c>
      <c r="D99" s="318">
        <f>1+C99/(-C95)</f>
        <v>1.2920308442923805</v>
      </c>
      <c r="E99" s="316" t="s">
        <v>461</v>
      </c>
    </row>
    <row r="100" spans="2:10" ht="16.2" thickBot="1" x14ac:dyDescent="0.35">
      <c r="B100" s="301" t="s">
        <v>436</v>
      </c>
      <c r="C100" s="328">
        <v>0.1</v>
      </c>
      <c r="E100" s="316" t="s">
        <v>457</v>
      </c>
    </row>
    <row r="101" spans="2:10" ht="16.2" thickBot="1" x14ac:dyDescent="0.35">
      <c r="B101" s="301" t="s">
        <v>437</v>
      </c>
      <c r="C101" s="302">
        <f>IRR(C95:J95)</f>
        <v>0.16325737061894086</v>
      </c>
      <c r="E101" s="316" t="s">
        <v>458</v>
      </c>
    </row>
    <row r="102" spans="2:10" x14ac:dyDescent="0.3">
      <c r="E102" s="316"/>
    </row>
    <row r="103" spans="2:10" x14ac:dyDescent="0.3">
      <c r="B103" s="317" t="s">
        <v>459</v>
      </c>
      <c r="C103" s="329">
        <f>MIRR(C95:J95,12%,8%)</f>
        <v>0.13418998869466425</v>
      </c>
      <c r="E103" s="316" t="s">
        <v>460</v>
      </c>
    </row>
    <row r="105" spans="2:10" x14ac:dyDescent="0.3">
      <c r="B105" s="21" t="s">
        <v>438</v>
      </c>
    </row>
    <row r="107" spans="2:10" x14ac:dyDescent="0.3">
      <c r="B107" s="287" t="s">
        <v>771</v>
      </c>
    </row>
    <row r="108" spans="2:10" x14ac:dyDescent="0.3">
      <c r="B108" s="287" t="s">
        <v>439</v>
      </c>
    </row>
    <row r="110" spans="2:10" x14ac:dyDescent="0.3">
      <c r="B110" s="287" t="s">
        <v>772</v>
      </c>
    </row>
    <row r="111" spans="2:10" x14ac:dyDescent="0.3">
      <c r="B111" s="287" t="s">
        <v>440</v>
      </c>
    </row>
    <row r="113" spans="2:4" x14ac:dyDescent="0.3">
      <c r="B113" s="304" t="s">
        <v>441</v>
      </c>
      <c r="D113" s="287" t="s">
        <v>442</v>
      </c>
    </row>
    <row r="115" spans="2:4" x14ac:dyDescent="0.3">
      <c r="B115" s="287" t="s">
        <v>445</v>
      </c>
    </row>
    <row r="116" spans="2:4" x14ac:dyDescent="0.3">
      <c r="B116" s="287" t="s">
        <v>443</v>
      </c>
    </row>
    <row r="117" spans="2:4" x14ac:dyDescent="0.3">
      <c r="B117" s="287" t="s">
        <v>444</v>
      </c>
    </row>
    <row r="122" spans="2:4" x14ac:dyDescent="0.3">
      <c r="B122" s="287" t="s">
        <v>446</v>
      </c>
    </row>
    <row r="123" spans="2:4" x14ac:dyDescent="0.3">
      <c r="B123" s="287" t="s">
        <v>447</v>
      </c>
    </row>
    <row r="125" spans="2:4" x14ac:dyDescent="0.3">
      <c r="B125" s="287" t="s">
        <v>448</v>
      </c>
    </row>
    <row r="126" spans="2:4" x14ac:dyDescent="0.3">
      <c r="B126" s="287" t="s">
        <v>449</v>
      </c>
    </row>
    <row r="127" spans="2:4" x14ac:dyDescent="0.3">
      <c r="B127" s="287" t="s">
        <v>450</v>
      </c>
    </row>
    <row r="128" spans="2:4" x14ac:dyDescent="0.3">
      <c r="B128" s="287" t="s">
        <v>462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63E1-0B2A-4702-8917-F60ABCDCB983}">
  <dimension ref="A2:V355"/>
  <sheetViews>
    <sheetView topLeftCell="A352" zoomScale="85" zoomScaleNormal="85" workbookViewId="0">
      <selection activeCell="Q329" sqref="Q329"/>
    </sheetView>
  </sheetViews>
  <sheetFormatPr defaultRowHeight="15.6" x14ac:dyDescent="0.3"/>
  <cols>
    <col min="1" max="1" width="8.88671875" style="10"/>
    <col min="2" max="2" width="19.88671875" style="10" customWidth="1"/>
    <col min="3" max="3" width="13.5546875" style="10" customWidth="1"/>
    <col min="4" max="4" width="10" style="10" customWidth="1"/>
    <col min="5" max="5" width="10.21875" style="10" customWidth="1"/>
    <col min="6" max="6" width="9" style="10" customWidth="1"/>
    <col min="7" max="7" width="11.109375" style="10" customWidth="1"/>
    <col min="8" max="8" width="12.6640625" style="10" customWidth="1"/>
    <col min="9" max="9" width="8.21875" style="10" customWidth="1"/>
    <col min="10" max="10" width="7.5546875" style="10" customWidth="1"/>
    <col min="11" max="11" width="7.77734375" style="10" customWidth="1"/>
    <col min="12" max="22" width="5.5546875" style="10" customWidth="1"/>
    <col min="23" max="16384" width="8.88671875" style="10"/>
  </cols>
  <sheetData>
    <row r="2" spans="2:7" ht="18" x14ac:dyDescent="0.35">
      <c r="B2" s="4" t="s">
        <v>560</v>
      </c>
    </row>
    <row r="4" spans="2:7" x14ac:dyDescent="0.3">
      <c r="B4" s="11" t="s">
        <v>674</v>
      </c>
    </row>
    <row r="5" spans="2:7" x14ac:dyDescent="0.3">
      <c r="B5" s="10" t="s">
        <v>561</v>
      </c>
    </row>
    <row r="6" spans="2:7" x14ac:dyDescent="0.3">
      <c r="B6" s="10" t="s">
        <v>562</v>
      </c>
    </row>
    <row r="7" spans="2:7" ht="16.2" thickBot="1" x14ac:dyDescent="0.35"/>
    <row r="8" spans="2:7" ht="16.2" thickBot="1" x14ac:dyDescent="0.35">
      <c r="B8" s="288" t="s">
        <v>412</v>
      </c>
      <c r="C8" s="289">
        <v>0</v>
      </c>
      <c r="D8" s="289">
        <v>1</v>
      </c>
      <c r="E8" s="289">
        <v>2</v>
      </c>
      <c r="F8" s="289">
        <v>3</v>
      </c>
      <c r="G8" s="289">
        <v>4</v>
      </c>
    </row>
    <row r="9" spans="2:7" ht="16.2" thickBot="1" x14ac:dyDescent="0.35">
      <c r="B9" s="290" t="s">
        <v>413</v>
      </c>
      <c r="C9" s="291">
        <v>-100</v>
      </c>
      <c r="D9" s="291">
        <v>20</v>
      </c>
      <c r="E9" s="291">
        <v>50</v>
      </c>
      <c r="F9" s="291">
        <v>90</v>
      </c>
      <c r="G9" s="291">
        <v>150</v>
      </c>
    </row>
    <row r="11" spans="2:7" x14ac:dyDescent="0.3">
      <c r="B11" s="11" t="s">
        <v>751</v>
      </c>
    </row>
    <row r="13" spans="2:7" x14ac:dyDescent="0.3">
      <c r="B13" s="11" t="s">
        <v>675</v>
      </c>
    </row>
    <row r="14" spans="2:7" x14ac:dyDescent="0.3">
      <c r="B14" s="10" t="s">
        <v>563</v>
      </c>
    </row>
    <row r="16" spans="2:7" x14ac:dyDescent="0.3">
      <c r="B16" s="11" t="s">
        <v>676</v>
      </c>
    </row>
    <row r="17" spans="2:7" ht="16.2" thickBot="1" x14ac:dyDescent="0.35"/>
    <row r="18" spans="2:7" ht="16.2" thickBot="1" x14ac:dyDescent="0.35">
      <c r="B18" s="288" t="s">
        <v>412</v>
      </c>
      <c r="C18" s="289">
        <v>0</v>
      </c>
      <c r="D18" s="289">
        <v>1</v>
      </c>
      <c r="E18" s="289">
        <v>2</v>
      </c>
      <c r="F18" s="289">
        <v>3</v>
      </c>
      <c r="G18" s="289">
        <v>4</v>
      </c>
    </row>
    <row r="19" spans="2:7" ht="16.2" thickBot="1" x14ac:dyDescent="0.35">
      <c r="B19" s="290" t="s">
        <v>413</v>
      </c>
      <c r="C19" s="291">
        <v>-100</v>
      </c>
      <c r="D19" s="291">
        <v>20</v>
      </c>
      <c r="E19" s="291">
        <v>50</v>
      </c>
      <c r="F19" s="291">
        <v>90</v>
      </c>
      <c r="G19" s="291">
        <v>150</v>
      </c>
    </row>
    <row r="20" spans="2:7" ht="16.2" thickBot="1" x14ac:dyDescent="0.35">
      <c r="B20" s="290" t="s">
        <v>564</v>
      </c>
      <c r="C20" s="334">
        <v>1</v>
      </c>
      <c r="D20" s="291" t="s">
        <v>565</v>
      </c>
      <c r="E20" s="291">
        <v>0.8</v>
      </c>
      <c r="F20" s="291">
        <v>0.71</v>
      </c>
      <c r="G20" s="291">
        <v>0.64</v>
      </c>
    </row>
    <row r="21" spans="2:7" ht="16.2" thickBot="1" x14ac:dyDescent="0.35">
      <c r="B21" s="290" t="s">
        <v>566</v>
      </c>
      <c r="C21" s="291">
        <v>-100</v>
      </c>
      <c r="D21" s="291">
        <v>17.899999999999999</v>
      </c>
      <c r="E21" s="291">
        <v>39.9</v>
      </c>
      <c r="F21" s="291">
        <v>64.099999999999994</v>
      </c>
      <c r="G21" s="291">
        <v>95.3</v>
      </c>
    </row>
    <row r="23" spans="2:7" x14ac:dyDescent="0.3">
      <c r="B23" s="10" t="s">
        <v>567</v>
      </c>
    </row>
    <row r="25" spans="2:7" x14ac:dyDescent="0.3">
      <c r="B25" s="11" t="s">
        <v>677</v>
      </c>
    </row>
    <row r="27" spans="2:7" x14ac:dyDescent="0.3">
      <c r="B27" s="11" t="s">
        <v>678</v>
      </c>
    </row>
    <row r="28" spans="2:7" x14ac:dyDescent="0.3">
      <c r="B28" s="10" t="s">
        <v>568</v>
      </c>
    </row>
    <row r="29" spans="2:7" x14ac:dyDescent="0.3">
      <c r="B29" s="10" t="s">
        <v>750</v>
      </c>
    </row>
    <row r="31" spans="2:7" x14ac:dyDescent="0.3">
      <c r="B31" s="11" t="s">
        <v>679</v>
      </c>
    </row>
    <row r="33" spans="2:2" x14ac:dyDescent="0.3">
      <c r="B33" s="11" t="s">
        <v>680</v>
      </c>
    </row>
    <row r="34" spans="2:2" x14ac:dyDescent="0.3">
      <c r="B34" s="10" t="s">
        <v>569</v>
      </c>
    </row>
    <row r="35" spans="2:2" x14ac:dyDescent="0.3">
      <c r="B35" s="10" t="s">
        <v>570</v>
      </c>
    </row>
    <row r="36" spans="2:2" x14ac:dyDescent="0.3">
      <c r="B36" s="10" t="s">
        <v>571</v>
      </c>
    </row>
    <row r="38" spans="2:2" x14ac:dyDescent="0.3">
      <c r="B38" s="11" t="s">
        <v>681</v>
      </c>
    </row>
    <row r="40" spans="2:2" x14ac:dyDescent="0.3">
      <c r="B40" s="11" t="s">
        <v>749</v>
      </c>
    </row>
    <row r="49" spans="1:8" x14ac:dyDescent="0.3">
      <c r="B49" s="11" t="s">
        <v>682</v>
      </c>
    </row>
    <row r="50" spans="1:8" x14ac:dyDescent="0.3">
      <c r="B50" s="10" t="s">
        <v>572</v>
      </c>
    </row>
    <row r="51" spans="1:8" ht="16.2" thickBot="1" x14ac:dyDescent="0.35"/>
    <row r="52" spans="1:8" ht="16.2" thickBot="1" x14ac:dyDescent="0.35">
      <c r="B52" s="288" t="s">
        <v>412</v>
      </c>
      <c r="C52" s="289">
        <v>0</v>
      </c>
      <c r="D52" s="289">
        <v>3</v>
      </c>
      <c r="E52" s="289">
        <v>4</v>
      </c>
      <c r="F52" s="335">
        <v>5</v>
      </c>
      <c r="G52" s="335">
        <v>6</v>
      </c>
      <c r="H52" s="335">
        <v>8</v>
      </c>
    </row>
    <row r="53" spans="1:8" ht="16.2" thickBot="1" x14ac:dyDescent="0.35">
      <c r="B53" s="290" t="s">
        <v>413</v>
      </c>
      <c r="C53" s="291">
        <v>-100</v>
      </c>
      <c r="D53" s="291">
        <v>25</v>
      </c>
      <c r="E53" s="291">
        <v>25</v>
      </c>
      <c r="F53" s="336">
        <v>50</v>
      </c>
      <c r="G53" s="336">
        <v>50</v>
      </c>
      <c r="H53" s="336">
        <v>200</v>
      </c>
    </row>
    <row r="54" spans="1:8" x14ac:dyDescent="0.3">
      <c r="A54" s="10" t="s">
        <v>736</v>
      </c>
      <c r="B54" s="359"/>
      <c r="C54" s="360"/>
      <c r="D54" s="360"/>
      <c r="E54" s="360"/>
      <c r="F54" s="361"/>
      <c r="G54" s="361"/>
      <c r="H54" s="361"/>
    </row>
    <row r="55" spans="1:8" x14ac:dyDescent="0.3">
      <c r="B55" s="11" t="s">
        <v>683</v>
      </c>
      <c r="C55" s="360"/>
      <c r="D55" s="360"/>
      <c r="E55" s="360"/>
      <c r="F55" s="361"/>
      <c r="G55" s="361"/>
      <c r="H55" s="361"/>
    </row>
    <row r="56" spans="1:8" x14ac:dyDescent="0.3">
      <c r="B56" s="359"/>
      <c r="C56" s="360"/>
      <c r="D56" s="360"/>
      <c r="E56" s="360"/>
      <c r="F56" s="361"/>
      <c r="G56" s="361"/>
      <c r="H56" s="361"/>
    </row>
    <row r="57" spans="1:8" x14ac:dyDescent="0.3">
      <c r="B57" s="10" t="s">
        <v>745</v>
      </c>
    </row>
    <row r="58" spans="1:8" x14ac:dyDescent="0.3">
      <c r="B58" s="249" t="s">
        <v>573</v>
      </c>
    </row>
    <row r="59" spans="1:8" x14ac:dyDescent="0.3">
      <c r="B59" s="10" t="s">
        <v>748</v>
      </c>
    </row>
    <row r="61" spans="1:8" x14ac:dyDescent="0.3">
      <c r="B61" s="11" t="s">
        <v>684</v>
      </c>
    </row>
    <row r="62" spans="1:8" x14ac:dyDescent="0.3">
      <c r="B62" s="10" t="s">
        <v>574</v>
      </c>
    </row>
    <row r="64" spans="1:8" x14ac:dyDescent="0.3">
      <c r="B64" s="11" t="s">
        <v>685</v>
      </c>
    </row>
    <row r="66" spans="2:11" x14ac:dyDescent="0.3">
      <c r="B66" s="10" t="s">
        <v>746</v>
      </c>
      <c r="F66" s="44" t="s">
        <v>575</v>
      </c>
    </row>
    <row r="67" spans="2:11" x14ac:dyDescent="0.3">
      <c r="B67" s="10" t="s">
        <v>747</v>
      </c>
      <c r="F67" s="249" t="s">
        <v>576</v>
      </c>
    </row>
    <row r="68" spans="2:11" ht="16.2" thickBot="1" x14ac:dyDescent="0.35"/>
    <row r="69" spans="2:11" ht="16.2" thickBot="1" x14ac:dyDescent="0.35">
      <c r="B69" s="288" t="s">
        <v>412</v>
      </c>
      <c r="C69" s="289">
        <v>0</v>
      </c>
      <c r="D69" s="289">
        <v>1</v>
      </c>
      <c r="E69" s="289">
        <v>2</v>
      </c>
      <c r="F69" s="289">
        <v>3</v>
      </c>
      <c r="G69" s="289">
        <v>4</v>
      </c>
      <c r="H69" s="335">
        <v>5</v>
      </c>
      <c r="I69" s="335">
        <v>6</v>
      </c>
      <c r="J69" s="335">
        <v>7</v>
      </c>
      <c r="K69" s="335">
        <v>8</v>
      </c>
    </row>
    <row r="70" spans="2:11" ht="16.2" thickBot="1" x14ac:dyDescent="0.35">
      <c r="B70" s="290" t="s">
        <v>413</v>
      </c>
      <c r="C70" s="291">
        <v>-100</v>
      </c>
      <c r="D70" s="291">
        <v>0</v>
      </c>
      <c r="E70" s="291">
        <v>0</v>
      </c>
      <c r="F70" s="291">
        <v>25</v>
      </c>
      <c r="G70" s="291">
        <v>25</v>
      </c>
      <c r="H70" s="336">
        <v>50</v>
      </c>
      <c r="I70" s="336">
        <v>50</v>
      </c>
      <c r="J70" s="336">
        <v>0</v>
      </c>
      <c r="K70" s="336">
        <v>200</v>
      </c>
    </row>
    <row r="71" spans="2:11" ht="16.2" thickBot="1" x14ac:dyDescent="0.35">
      <c r="B71" s="290" t="s">
        <v>130</v>
      </c>
      <c r="C71" s="291"/>
      <c r="D71" s="294">
        <v>0.15</v>
      </c>
      <c r="E71" s="294">
        <v>0.15</v>
      </c>
      <c r="F71" s="294">
        <v>0.15</v>
      </c>
      <c r="G71" s="294">
        <v>0.15</v>
      </c>
      <c r="H71" s="337">
        <v>0.1</v>
      </c>
      <c r="I71" s="337">
        <v>0.1</v>
      </c>
      <c r="J71" s="337">
        <v>0.1</v>
      </c>
      <c r="K71" s="337">
        <v>0.1</v>
      </c>
    </row>
    <row r="72" spans="2:11" ht="16.2" thickBot="1" x14ac:dyDescent="0.35">
      <c r="B72" s="290" t="s">
        <v>564</v>
      </c>
      <c r="C72" s="334">
        <v>1</v>
      </c>
      <c r="D72" s="291">
        <v>0.87</v>
      </c>
      <c r="E72" s="291">
        <v>0.76</v>
      </c>
      <c r="F72" s="291">
        <v>0.66</v>
      </c>
      <c r="G72" s="291">
        <v>0.56999999999999995</v>
      </c>
      <c r="H72" s="291">
        <v>0.52</v>
      </c>
      <c r="I72" s="291">
        <v>0.47</v>
      </c>
      <c r="J72" s="291">
        <v>0.43</v>
      </c>
      <c r="K72" s="291">
        <v>0.39</v>
      </c>
    </row>
    <row r="73" spans="2:11" ht="16.2" thickBot="1" x14ac:dyDescent="0.35">
      <c r="B73" s="290" t="s">
        <v>566</v>
      </c>
      <c r="C73" s="291">
        <v>-100</v>
      </c>
      <c r="D73" s="291">
        <v>0</v>
      </c>
      <c r="E73" s="291">
        <v>0</v>
      </c>
      <c r="F73" s="291">
        <v>16.399999999999999</v>
      </c>
      <c r="G73" s="291">
        <v>14.3</v>
      </c>
      <c r="H73" s="291">
        <v>26</v>
      </c>
      <c r="I73" s="291">
        <v>23.6</v>
      </c>
      <c r="J73" s="291">
        <v>0</v>
      </c>
      <c r="K73" s="291">
        <v>78.099999999999994</v>
      </c>
    </row>
    <row r="75" spans="2:11" x14ac:dyDescent="0.3">
      <c r="B75" s="11" t="s">
        <v>686</v>
      </c>
    </row>
    <row r="76" spans="2:11" x14ac:dyDescent="0.3">
      <c r="B76" s="10" t="s">
        <v>577</v>
      </c>
    </row>
    <row r="77" spans="2:11" x14ac:dyDescent="0.3">
      <c r="B77" s="10" t="s">
        <v>578</v>
      </c>
    </row>
    <row r="78" spans="2:11" ht="16.2" thickBot="1" x14ac:dyDescent="0.35"/>
    <row r="79" spans="2:11" ht="16.2" thickBot="1" x14ac:dyDescent="0.35">
      <c r="B79" s="288" t="s">
        <v>412</v>
      </c>
      <c r="C79" s="289">
        <v>0</v>
      </c>
      <c r="D79" s="289">
        <v>1</v>
      </c>
      <c r="E79" s="289">
        <v>2</v>
      </c>
      <c r="F79" s="289">
        <v>3</v>
      </c>
    </row>
    <row r="80" spans="2:11" ht="16.2" thickBot="1" x14ac:dyDescent="0.35">
      <c r="B80" s="290" t="s">
        <v>413</v>
      </c>
      <c r="C80" s="291">
        <v>-150</v>
      </c>
      <c r="D80" s="291">
        <v>50</v>
      </c>
      <c r="E80" s="291">
        <v>125</v>
      </c>
      <c r="F80" s="291">
        <v>150</v>
      </c>
    </row>
    <row r="82" spans="2:11" x14ac:dyDescent="0.3">
      <c r="B82" s="11" t="s">
        <v>687</v>
      </c>
    </row>
    <row r="83" spans="2:11" x14ac:dyDescent="0.3">
      <c r="B83" s="11" t="s">
        <v>752</v>
      </c>
    </row>
    <row r="85" spans="2:11" x14ac:dyDescent="0.3">
      <c r="B85" s="11" t="s">
        <v>688</v>
      </c>
    </row>
    <row r="86" spans="2:11" x14ac:dyDescent="0.3">
      <c r="B86" s="10" t="s">
        <v>561</v>
      </c>
    </row>
    <row r="87" spans="2:11" x14ac:dyDescent="0.3">
      <c r="B87" s="10" t="s">
        <v>562</v>
      </c>
    </row>
    <row r="88" spans="2:11" ht="16.2" thickBot="1" x14ac:dyDescent="0.35"/>
    <row r="89" spans="2:11" ht="16.2" thickBot="1" x14ac:dyDescent="0.35">
      <c r="B89" s="288" t="s">
        <v>579</v>
      </c>
      <c r="C89" s="289">
        <v>0</v>
      </c>
      <c r="D89" s="289">
        <v>1</v>
      </c>
      <c r="E89" s="289">
        <v>2</v>
      </c>
      <c r="F89" s="289">
        <v>3</v>
      </c>
      <c r="G89" s="289">
        <v>4</v>
      </c>
      <c r="H89" s="335">
        <v>5</v>
      </c>
      <c r="I89" s="335">
        <v>6</v>
      </c>
      <c r="J89" s="335">
        <v>7</v>
      </c>
      <c r="K89" s="335">
        <v>8</v>
      </c>
    </row>
    <row r="90" spans="2:11" ht="16.2" thickBot="1" x14ac:dyDescent="0.35">
      <c r="B90" s="290" t="s">
        <v>413</v>
      </c>
      <c r="C90" s="291">
        <v>-100</v>
      </c>
      <c r="D90" s="291">
        <v>10</v>
      </c>
      <c r="E90" s="291">
        <v>10</v>
      </c>
      <c r="F90" s="291">
        <v>15</v>
      </c>
      <c r="G90" s="291">
        <v>15</v>
      </c>
      <c r="H90" s="336">
        <v>25</v>
      </c>
      <c r="I90" s="336">
        <v>25</v>
      </c>
      <c r="J90" s="336">
        <v>50</v>
      </c>
      <c r="K90" s="336">
        <v>50</v>
      </c>
    </row>
    <row r="92" spans="2:11" x14ac:dyDescent="0.3">
      <c r="B92" s="11" t="s">
        <v>753</v>
      </c>
    </row>
    <row r="93" spans="2:11" x14ac:dyDescent="0.3">
      <c r="B93" s="44" t="s">
        <v>580</v>
      </c>
    </row>
    <row r="95" spans="2:11" x14ac:dyDescent="0.3">
      <c r="B95" s="11" t="s">
        <v>689</v>
      </c>
    </row>
    <row r="96" spans="2:11" x14ac:dyDescent="0.3">
      <c r="B96" s="10" t="s">
        <v>581</v>
      </c>
    </row>
    <row r="98" spans="2:11" x14ac:dyDescent="0.3">
      <c r="B98" s="11" t="s">
        <v>690</v>
      </c>
    </row>
    <row r="99" spans="2:11" x14ac:dyDescent="0.3">
      <c r="B99" s="10" t="s">
        <v>754</v>
      </c>
    </row>
    <row r="100" spans="2:11" ht="16.2" thickBot="1" x14ac:dyDescent="0.35"/>
    <row r="101" spans="2:11" ht="16.2" thickBot="1" x14ac:dyDescent="0.35">
      <c r="B101" s="288" t="s">
        <v>579</v>
      </c>
      <c r="C101" s="289">
        <v>0</v>
      </c>
      <c r="D101" s="289">
        <v>1</v>
      </c>
      <c r="E101" s="289">
        <v>2</v>
      </c>
      <c r="F101" s="289">
        <v>3</v>
      </c>
      <c r="G101" s="289">
        <v>4</v>
      </c>
      <c r="H101" s="335">
        <v>5</v>
      </c>
      <c r="I101" s="335">
        <v>6</v>
      </c>
      <c r="J101" s="335">
        <v>7</v>
      </c>
      <c r="K101" s="335">
        <v>8</v>
      </c>
    </row>
    <row r="102" spans="2:11" ht="16.2" thickBot="1" x14ac:dyDescent="0.35">
      <c r="B102" s="290" t="s">
        <v>413</v>
      </c>
      <c r="C102" s="291">
        <v>-100</v>
      </c>
      <c r="D102" s="291">
        <v>10</v>
      </c>
      <c r="E102" s="291">
        <v>10</v>
      </c>
      <c r="F102" s="291">
        <v>15</v>
      </c>
      <c r="G102" s="291">
        <v>15</v>
      </c>
      <c r="H102" s="336">
        <v>25</v>
      </c>
      <c r="I102" s="336">
        <v>25</v>
      </c>
      <c r="J102" s="336">
        <v>50</v>
      </c>
      <c r="K102" s="336">
        <v>50</v>
      </c>
    </row>
    <row r="103" spans="2:11" ht="16.2" thickBot="1" x14ac:dyDescent="0.35">
      <c r="B103" s="290" t="s">
        <v>564</v>
      </c>
      <c r="C103" s="334">
        <v>1</v>
      </c>
      <c r="D103" s="291">
        <v>0.97</v>
      </c>
      <c r="E103" s="291">
        <v>0.94</v>
      </c>
      <c r="F103" s="291">
        <v>0.92</v>
      </c>
      <c r="G103" s="291">
        <v>0.89</v>
      </c>
      <c r="H103" s="291">
        <v>0.86</v>
      </c>
      <c r="I103" s="291">
        <v>0.84</v>
      </c>
      <c r="J103" s="291">
        <v>0.81</v>
      </c>
      <c r="K103" s="291">
        <v>0.79</v>
      </c>
    </row>
    <row r="104" spans="2:11" ht="16.2" thickBot="1" x14ac:dyDescent="0.35">
      <c r="B104" s="290" t="s">
        <v>566</v>
      </c>
      <c r="C104" s="291">
        <v>-100</v>
      </c>
      <c r="D104" s="291">
        <v>9.6999999999999993</v>
      </c>
      <c r="E104" s="291">
        <v>9.4</v>
      </c>
      <c r="F104" s="291">
        <v>13.7</v>
      </c>
      <c r="G104" s="291">
        <v>13.3</v>
      </c>
      <c r="H104" s="291">
        <v>21.6</v>
      </c>
      <c r="I104" s="291">
        <v>20.9</v>
      </c>
      <c r="J104" s="291">
        <v>40.700000000000003</v>
      </c>
      <c r="K104" s="291">
        <v>39.5</v>
      </c>
    </row>
    <row r="106" spans="2:11" x14ac:dyDescent="0.3">
      <c r="B106" s="11" t="s">
        <v>691</v>
      </c>
    </row>
    <row r="108" spans="2:11" x14ac:dyDescent="0.3">
      <c r="B108" s="11" t="s">
        <v>755</v>
      </c>
    </row>
    <row r="110" spans="2:11" x14ac:dyDescent="0.3">
      <c r="B110" s="11" t="s">
        <v>692</v>
      </c>
    </row>
    <row r="112" spans="2:11" x14ac:dyDescent="0.3">
      <c r="B112" s="11" t="s">
        <v>693</v>
      </c>
    </row>
    <row r="113" spans="1:8" x14ac:dyDescent="0.3">
      <c r="B113" s="10" t="s">
        <v>756</v>
      </c>
    </row>
    <row r="115" spans="1:8" x14ac:dyDescent="0.3">
      <c r="B115" s="11" t="s">
        <v>694</v>
      </c>
    </row>
    <row r="117" spans="1:8" x14ac:dyDescent="0.3">
      <c r="B117" s="11" t="s">
        <v>695</v>
      </c>
    </row>
    <row r="119" spans="1:8" x14ac:dyDescent="0.3">
      <c r="A119" s="413"/>
      <c r="B119" s="11" t="s">
        <v>696</v>
      </c>
    </row>
    <row r="120" spans="1:8" x14ac:dyDescent="0.3">
      <c r="B120" s="10" t="s">
        <v>582</v>
      </c>
    </row>
    <row r="121" spans="1:8" ht="16.2" thickBot="1" x14ac:dyDescent="0.35"/>
    <row r="122" spans="1:8" ht="16.2" thickBot="1" x14ac:dyDescent="0.35">
      <c r="B122" s="288" t="s">
        <v>579</v>
      </c>
      <c r="C122" s="289">
        <v>0</v>
      </c>
      <c r="D122" s="289">
        <v>1</v>
      </c>
      <c r="E122" s="289">
        <v>2</v>
      </c>
      <c r="F122" s="289">
        <v>3</v>
      </c>
      <c r="G122" s="289">
        <v>4</v>
      </c>
      <c r="H122" s="335">
        <v>5</v>
      </c>
    </row>
    <row r="123" spans="1:8" ht="16.2" thickBot="1" x14ac:dyDescent="0.35">
      <c r="B123" s="405" t="s">
        <v>413</v>
      </c>
      <c r="C123" s="363">
        <v>-1200</v>
      </c>
      <c r="D123" s="291">
        <v>0</v>
      </c>
      <c r="E123" s="291">
        <v>300</v>
      </c>
      <c r="F123" s="291">
        <v>500</v>
      </c>
      <c r="G123" s="291">
        <v>150</v>
      </c>
      <c r="H123" s="336">
        <v>750</v>
      </c>
    </row>
    <row r="124" spans="1:8" ht="16.2" thickBot="1" x14ac:dyDescent="0.35">
      <c r="B124" s="405" t="s">
        <v>418</v>
      </c>
      <c r="C124" s="408">
        <f>NPV(15%,D123:H123)+C123</f>
        <v>-185.75324528229737</v>
      </c>
      <c r="D124" s="407" t="s">
        <v>412</v>
      </c>
      <c r="E124" s="360"/>
      <c r="F124" s="360"/>
      <c r="G124" s="360"/>
      <c r="H124" s="361"/>
    </row>
    <row r="126" spans="1:8" x14ac:dyDescent="0.3">
      <c r="B126" s="11" t="s">
        <v>757</v>
      </c>
    </row>
    <row r="127" spans="1:8" x14ac:dyDescent="0.3">
      <c r="B127" s="10" t="s">
        <v>583</v>
      </c>
    </row>
    <row r="129" spans="2:8" x14ac:dyDescent="0.3">
      <c r="B129" s="11" t="s">
        <v>697</v>
      </c>
    </row>
    <row r="130" spans="2:8" x14ac:dyDescent="0.3">
      <c r="B130" s="10" t="s">
        <v>584</v>
      </c>
    </row>
    <row r="131" spans="2:8" ht="16.2" thickBot="1" x14ac:dyDescent="0.35"/>
    <row r="132" spans="2:8" ht="16.2" thickBot="1" x14ac:dyDescent="0.35">
      <c r="B132" s="288" t="s">
        <v>579</v>
      </c>
      <c r="C132" s="289">
        <v>0</v>
      </c>
      <c r="D132" s="289">
        <v>1</v>
      </c>
      <c r="E132" s="289">
        <v>2</v>
      </c>
      <c r="F132" s="289">
        <v>3</v>
      </c>
      <c r="G132" s="289">
        <v>4</v>
      </c>
      <c r="H132" s="335">
        <v>5</v>
      </c>
    </row>
    <row r="133" spans="2:8" ht="16.2" thickBot="1" x14ac:dyDescent="0.35">
      <c r="B133" s="405" t="s">
        <v>413</v>
      </c>
      <c r="C133" s="363">
        <v>-1200</v>
      </c>
      <c r="D133" s="291">
        <v>0</v>
      </c>
      <c r="E133" s="291">
        <v>300</v>
      </c>
      <c r="F133" s="291">
        <v>500</v>
      </c>
      <c r="G133" s="291">
        <v>150</v>
      </c>
      <c r="H133" s="336">
        <v>750</v>
      </c>
    </row>
    <row r="134" spans="2:8" ht="16.2" thickBot="1" x14ac:dyDescent="0.35">
      <c r="B134" s="405" t="s">
        <v>418</v>
      </c>
      <c r="C134" s="406">
        <f>NPV(15%/4,D133:H133)+C133</f>
        <v>279.79357622484895</v>
      </c>
      <c r="D134" s="407" t="s">
        <v>579</v>
      </c>
      <c r="E134" s="360"/>
      <c r="F134" s="360"/>
      <c r="G134" s="360"/>
      <c r="H134" s="361"/>
    </row>
    <row r="136" spans="2:8" x14ac:dyDescent="0.3">
      <c r="B136" s="11" t="s">
        <v>758</v>
      </c>
    </row>
    <row r="137" spans="2:8" x14ac:dyDescent="0.3">
      <c r="B137" s="10" t="s">
        <v>585</v>
      </c>
    </row>
    <row r="139" spans="2:8" x14ac:dyDescent="0.3">
      <c r="B139" s="11" t="s">
        <v>698</v>
      </c>
    </row>
    <row r="140" spans="2:8" x14ac:dyDescent="0.3">
      <c r="B140" s="10" t="s">
        <v>586</v>
      </c>
    </row>
    <row r="141" spans="2:8" x14ac:dyDescent="0.3">
      <c r="B141" s="10" t="s">
        <v>587</v>
      </c>
    </row>
    <row r="143" spans="2:8" x14ac:dyDescent="0.3">
      <c r="B143" s="11" t="s">
        <v>759</v>
      </c>
    </row>
    <row r="144" spans="2:8" x14ac:dyDescent="0.3">
      <c r="B144" s="10" t="s">
        <v>588</v>
      </c>
    </row>
    <row r="146" spans="2:22" x14ac:dyDescent="0.3">
      <c r="B146" s="411" t="s">
        <v>24</v>
      </c>
      <c r="C146" s="410">
        <f>PV(9%/4,5*4,-3)-50</f>
        <v>-2.108862890072345</v>
      </c>
    </row>
    <row r="147" spans="2:22" x14ac:dyDescent="0.3">
      <c r="B147" s="10">
        <v>0</v>
      </c>
      <c r="C147" s="10">
        <v>1</v>
      </c>
      <c r="D147" s="10">
        <v>2</v>
      </c>
      <c r="E147" s="10">
        <v>3</v>
      </c>
      <c r="F147" s="10">
        <v>4</v>
      </c>
      <c r="G147" s="10">
        <v>5</v>
      </c>
      <c r="H147" s="10">
        <v>6</v>
      </c>
      <c r="I147" s="10">
        <v>7</v>
      </c>
      <c r="J147" s="10">
        <v>8</v>
      </c>
      <c r="K147" s="10">
        <v>9</v>
      </c>
      <c r="L147" s="10">
        <v>10</v>
      </c>
      <c r="M147" s="10">
        <v>11</v>
      </c>
      <c r="N147" s="10">
        <v>12</v>
      </c>
      <c r="O147" s="10">
        <v>13</v>
      </c>
      <c r="P147" s="10">
        <v>14</v>
      </c>
      <c r="Q147" s="10">
        <v>15</v>
      </c>
      <c r="R147" s="10">
        <v>16</v>
      </c>
      <c r="S147" s="10">
        <v>17</v>
      </c>
      <c r="T147" s="10">
        <v>18</v>
      </c>
      <c r="U147" s="10">
        <v>19</v>
      </c>
      <c r="V147" s="10">
        <v>20</v>
      </c>
    </row>
    <row r="148" spans="2:22" x14ac:dyDescent="0.3">
      <c r="B148" s="10">
        <v>-50</v>
      </c>
      <c r="C148" s="10">
        <v>3</v>
      </c>
      <c r="D148" s="10">
        <v>3</v>
      </c>
      <c r="E148" s="10">
        <v>3</v>
      </c>
      <c r="F148" s="10">
        <v>3</v>
      </c>
      <c r="G148" s="10">
        <v>3</v>
      </c>
      <c r="H148" s="10">
        <v>3</v>
      </c>
      <c r="I148" s="10">
        <v>3</v>
      </c>
      <c r="J148" s="10">
        <v>3</v>
      </c>
      <c r="K148" s="10">
        <v>3</v>
      </c>
      <c r="L148" s="10">
        <v>3</v>
      </c>
      <c r="M148" s="10">
        <v>3</v>
      </c>
      <c r="N148" s="10">
        <v>3</v>
      </c>
      <c r="O148" s="10">
        <v>3</v>
      </c>
      <c r="P148" s="10">
        <v>3</v>
      </c>
      <c r="Q148" s="10">
        <v>3</v>
      </c>
      <c r="R148" s="10">
        <v>3</v>
      </c>
      <c r="S148" s="10">
        <v>3</v>
      </c>
      <c r="T148" s="10">
        <v>3</v>
      </c>
      <c r="U148" s="10">
        <v>3</v>
      </c>
      <c r="V148" s="10">
        <v>3</v>
      </c>
    </row>
    <row r="149" spans="2:22" x14ac:dyDescent="0.3">
      <c r="B149" s="412" t="s">
        <v>779</v>
      </c>
      <c r="C149" s="221">
        <f>NPV(9%/4,C148:V148)+B148</f>
        <v>-2.1088628900722171</v>
      </c>
    </row>
    <row r="151" spans="2:22" x14ac:dyDescent="0.3">
      <c r="B151" s="10" t="s">
        <v>592</v>
      </c>
    </row>
    <row r="152" spans="2:22" x14ac:dyDescent="0.3">
      <c r="B152" s="10" t="s">
        <v>589</v>
      </c>
    </row>
    <row r="153" spans="2:22" x14ac:dyDescent="0.3">
      <c r="B153" s="10" t="s">
        <v>590</v>
      </c>
    </row>
    <row r="154" spans="2:22" x14ac:dyDescent="0.3">
      <c r="B154" s="10" t="s">
        <v>591</v>
      </c>
    </row>
    <row r="156" spans="2:22" x14ac:dyDescent="0.3">
      <c r="C156" s="10" t="s">
        <v>593</v>
      </c>
    </row>
    <row r="157" spans="2:22" x14ac:dyDescent="0.3">
      <c r="C157" s="10" t="s">
        <v>594</v>
      </c>
    </row>
    <row r="158" spans="2:22" x14ac:dyDescent="0.3">
      <c r="C158" s="10" t="s">
        <v>595</v>
      </c>
    </row>
    <row r="160" spans="2:22" x14ac:dyDescent="0.3">
      <c r="C160" s="10" t="s">
        <v>596</v>
      </c>
    </row>
    <row r="161" spans="3:3" x14ac:dyDescent="0.3">
      <c r="C161" s="10" t="s">
        <v>597</v>
      </c>
    </row>
    <row r="162" spans="3:3" x14ac:dyDescent="0.3">
      <c r="C162" s="10" t="s">
        <v>598</v>
      </c>
    </row>
    <row r="164" spans="3:3" x14ac:dyDescent="0.3">
      <c r="C164" s="10" t="s">
        <v>599</v>
      </c>
    </row>
    <row r="165" spans="3:3" x14ac:dyDescent="0.3">
      <c r="C165" s="10" t="s">
        <v>600</v>
      </c>
    </row>
    <row r="166" spans="3:3" x14ac:dyDescent="0.3">
      <c r="C166" s="10" t="s">
        <v>601</v>
      </c>
    </row>
    <row r="167" spans="3:3" x14ac:dyDescent="0.3">
      <c r="C167" s="10" t="s">
        <v>602</v>
      </c>
    </row>
    <row r="169" spans="3:3" x14ac:dyDescent="0.3">
      <c r="C169" s="10" t="s">
        <v>603</v>
      </c>
    </row>
    <row r="170" spans="3:3" x14ac:dyDescent="0.3">
      <c r="C170" s="10" t="s">
        <v>604</v>
      </c>
    </row>
    <row r="171" spans="3:3" x14ac:dyDescent="0.3">
      <c r="C171" s="10" t="s">
        <v>605</v>
      </c>
    </row>
    <row r="172" spans="3:3" x14ac:dyDescent="0.3">
      <c r="C172" s="10" t="s">
        <v>606</v>
      </c>
    </row>
    <row r="173" spans="3:3" x14ac:dyDescent="0.3">
      <c r="C173" s="10" t="s">
        <v>607</v>
      </c>
    </row>
    <row r="175" spans="3:3" x14ac:dyDescent="0.3">
      <c r="C175" s="10" t="s">
        <v>608</v>
      </c>
    </row>
    <row r="177" spans="2:8" x14ac:dyDescent="0.3">
      <c r="B177" s="11" t="s">
        <v>699</v>
      </c>
    </row>
    <row r="178" spans="2:8" x14ac:dyDescent="0.3">
      <c r="B178" s="10" t="s">
        <v>609</v>
      </c>
    </row>
    <row r="179" spans="2:8" ht="16.2" thickBot="1" x14ac:dyDescent="0.35"/>
    <row r="180" spans="2:8" ht="25.2" customHeight="1" thickBot="1" x14ac:dyDescent="0.35">
      <c r="B180" s="414"/>
      <c r="C180" s="415" t="s">
        <v>610</v>
      </c>
      <c r="D180" s="415" t="s">
        <v>611</v>
      </c>
      <c r="E180" s="415" t="s">
        <v>612</v>
      </c>
      <c r="F180" s="415" t="s">
        <v>613</v>
      </c>
      <c r="G180" s="415" t="s">
        <v>780</v>
      </c>
      <c r="H180" s="415" t="s">
        <v>781</v>
      </c>
    </row>
    <row r="181" spans="2:8" ht="16.2" thickBot="1" x14ac:dyDescent="0.35">
      <c r="B181" s="338" t="s">
        <v>614</v>
      </c>
      <c r="C181" s="339">
        <v>35</v>
      </c>
      <c r="D181" s="339">
        <v>4</v>
      </c>
      <c r="E181" s="339">
        <v>50</v>
      </c>
      <c r="F181" s="340">
        <v>0.25</v>
      </c>
      <c r="G181" s="416">
        <f>1+E181/C181</f>
        <v>2.4285714285714288</v>
      </c>
      <c r="H181" s="416">
        <f>E181/D181</f>
        <v>12.5</v>
      </c>
    </row>
    <row r="182" spans="2:8" ht="16.2" thickBot="1" x14ac:dyDescent="0.35">
      <c r="B182" s="338" t="s">
        <v>615</v>
      </c>
      <c r="C182" s="339">
        <v>70</v>
      </c>
      <c r="D182" s="339">
        <v>3</v>
      </c>
      <c r="E182" s="339">
        <v>100</v>
      </c>
      <c r="F182" s="340">
        <v>0.2</v>
      </c>
      <c r="G182" s="416">
        <f t="shared" ref="G182:G183" si="0">1+E182/C182</f>
        <v>2.4285714285714288</v>
      </c>
      <c r="H182" s="416">
        <f t="shared" ref="H182:H183" si="1">E182/D182</f>
        <v>33.333333333333336</v>
      </c>
    </row>
    <row r="183" spans="2:8" ht="16.2" thickBot="1" x14ac:dyDescent="0.35">
      <c r="B183" s="338" t="s">
        <v>616</v>
      </c>
      <c r="C183" s="339">
        <v>250</v>
      </c>
      <c r="D183" s="339">
        <v>10</v>
      </c>
      <c r="E183" s="339">
        <v>200</v>
      </c>
      <c r="F183" s="340">
        <v>0.15</v>
      </c>
      <c r="G183" s="416">
        <f t="shared" si="0"/>
        <v>1.8</v>
      </c>
      <c r="H183" s="416">
        <f t="shared" si="1"/>
        <v>20</v>
      </c>
    </row>
    <row r="185" spans="2:8" x14ac:dyDescent="0.3">
      <c r="B185" s="11" t="s">
        <v>700</v>
      </c>
    </row>
    <row r="186" spans="2:8" x14ac:dyDescent="0.3">
      <c r="B186" s="10" t="s">
        <v>617</v>
      </c>
    </row>
    <row r="187" spans="2:8" x14ac:dyDescent="0.3">
      <c r="B187" s="10" t="s">
        <v>618</v>
      </c>
    </row>
    <row r="189" spans="2:8" x14ac:dyDescent="0.3">
      <c r="B189" s="11" t="s">
        <v>701</v>
      </c>
    </row>
    <row r="190" spans="2:8" x14ac:dyDescent="0.3">
      <c r="B190" s="10" t="s">
        <v>619</v>
      </c>
    </row>
    <row r="191" spans="2:8" x14ac:dyDescent="0.3">
      <c r="B191" s="10" t="s">
        <v>620</v>
      </c>
    </row>
    <row r="192" spans="2:8" ht="16.2" thickBot="1" x14ac:dyDescent="0.35"/>
    <row r="193" spans="2:10" ht="16.2" thickBot="1" x14ac:dyDescent="0.35">
      <c r="B193" s="288" t="s">
        <v>579</v>
      </c>
      <c r="C193" s="289">
        <v>0</v>
      </c>
      <c r="D193" s="289">
        <v>1</v>
      </c>
      <c r="E193" s="289">
        <v>2</v>
      </c>
      <c r="F193" s="335">
        <v>3</v>
      </c>
      <c r="G193" s="335">
        <v>4</v>
      </c>
      <c r="H193" s="289">
        <v>5</v>
      </c>
      <c r="I193" s="289">
        <v>6</v>
      </c>
      <c r="J193" s="289">
        <v>7</v>
      </c>
    </row>
    <row r="194" spans="2:10" ht="16.2" thickBot="1" x14ac:dyDescent="0.35">
      <c r="B194" s="290" t="s">
        <v>614</v>
      </c>
      <c r="C194" s="291">
        <v>-125</v>
      </c>
      <c r="D194" s="291">
        <v>30</v>
      </c>
      <c r="E194" s="291">
        <v>40</v>
      </c>
      <c r="F194" s="336">
        <v>50</v>
      </c>
      <c r="G194" s="336">
        <v>40</v>
      </c>
      <c r="H194" s="291">
        <v>30</v>
      </c>
      <c r="I194" s="291">
        <v>20</v>
      </c>
      <c r="J194" s="291">
        <v>10</v>
      </c>
    </row>
    <row r="195" spans="2:10" ht="16.2" thickBot="1" x14ac:dyDescent="0.35">
      <c r="B195" s="290" t="s">
        <v>615</v>
      </c>
      <c r="C195" s="291">
        <v>-150</v>
      </c>
      <c r="D195" s="291">
        <v>0</v>
      </c>
      <c r="E195" s="291">
        <v>10</v>
      </c>
      <c r="F195" s="336">
        <v>20</v>
      </c>
      <c r="G195" s="336">
        <v>30</v>
      </c>
      <c r="H195" s="291">
        <v>40</v>
      </c>
      <c r="I195" s="291">
        <v>50</v>
      </c>
      <c r="J195" s="291">
        <v>120</v>
      </c>
    </row>
    <row r="196" spans="2:10" ht="16.2" thickBot="1" x14ac:dyDescent="0.35">
      <c r="B196" s="359"/>
      <c r="C196" s="360"/>
      <c r="D196" s="360"/>
      <c r="E196" s="360"/>
      <c r="F196" s="361"/>
      <c r="G196" s="361"/>
      <c r="H196" s="360"/>
      <c r="I196" s="360"/>
      <c r="J196" s="360"/>
    </row>
    <row r="197" spans="2:10" ht="16.2" thickBot="1" x14ac:dyDescent="0.35">
      <c r="B197" s="359"/>
      <c r="C197" s="297" t="s">
        <v>784</v>
      </c>
      <c r="D197" s="363" t="s">
        <v>785</v>
      </c>
      <c r="E197" s="360"/>
      <c r="F197" s="361"/>
      <c r="G197" s="361"/>
      <c r="H197" s="360"/>
      <c r="I197" s="360"/>
      <c r="J197" s="360"/>
    </row>
    <row r="198" spans="2:10" ht="16.2" thickBot="1" x14ac:dyDescent="0.35">
      <c r="B198" s="418" t="s">
        <v>782</v>
      </c>
      <c r="C198" s="419">
        <f xml:space="preserve"> NPV(10%/4,$D$194:$J$194)+$C$194</f>
        <v>77.183083166943987</v>
      </c>
      <c r="D198" s="420">
        <f xml:space="preserve"> NPV(18%/4,$D$194:$J$194)+$C$194</f>
        <v>64.474346704669557</v>
      </c>
      <c r="E198" s="360"/>
      <c r="F198" s="361"/>
      <c r="G198" s="361"/>
      <c r="H198" s="360"/>
      <c r="I198" s="360"/>
      <c r="J198" s="360"/>
    </row>
    <row r="199" spans="2:10" ht="16.2" thickBot="1" x14ac:dyDescent="0.35">
      <c r="B199" s="405" t="s">
        <v>783</v>
      </c>
      <c r="C199" s="421">
        <f xml:space="preserve"> NPV(10%/4,$D$195:$J$195)+$C$195</f>
        <v>84.689494536731274</v>
      </c>
      <c r="D199" s="422">
        <f xml:space="preserve"> NPV(18%/4,$D$195:$J$195)+$C$195</f>
        <v>60.512315597098848</v>
      </c>
      <c r="E199" s="360"/>
      <c r="F199" s="361"/>
      <c r="G199" s="361"/>
      <c r="H199" s="360"/>
      <c r="I199" s="360"/>
      <c r="J199" s="360"/>
    </row>
    <row r="201" spans="2:10" x14ac:dyDescent="0.3">
      <c r="B201" s="11" t="s">
        <v>760</v>
      </c>
    </row>
    <row r="202" spans="2:10" x14ac:dyDescent="0.3">
      <c r="B202" s="10" t="s">
        <v>761</v>
      </c>
    </row>
    <row r="203" spans="2:10" x14ac:dyDescent="0.3">
      <c r="B203" s="10" t="s">
        <v>621</v>
      </c>
    </row>
    <row r="205" spans="2:10" x14ac:dyDescent="0.3">
      <c r="B205" s="11" t="s">
        <v>702</v>
      </c>
    </row>
    <row r="206" spans="2:10" x14ac:dyDescent="0.3">
      <c r="B206" s="10" t="s">
        <v>622</v>
      </c>
    </row>
    <row r="207" spans="2:10" ht="14.4" customHeight="1" thickBot="1" x14ac:dyDescent="0.35"/>
    <row r="208" spans="2:10" ht="16.2" thickBot="1" x14ac:dyDescent="0.35">
      <c r="B208" s="423" t="s">
        <v>86</v>
      </c>
      <c r="C208" s="424">
        <v>2</v>
      </c>
      <c r="D208" s="424">
        <v>3</v>
      </c>
      <c r="E208" s="424">
        <v>4</v>
      </c>
      <c r="F208" s="424">
        <v>5</v>
      </c>
      <c r="G208" s="424">
        <v>6</v>
      </c>
      <c r="H208" s="424">
        <v>7</v>
      </c>
      <c r="I208" s="424">
        <v>8</v>
      </c>
      <c r="J208" s="424">
        <v>9</v>
      </c>
    </row>
    <row r="209" spans="2:13" ht="18" customHeight="1" thickBot="1" x14ac:dyDescent="0.35">
      <c r="B209" s="425" t="s">
        <v>623</v>
      </c>
      <c r="C209" s="426">
        <v>10</v>
      </c>
      <c r="D209" s="426">
        <v>50</v>
      </c>
      <c r="E209" s="426">
        <v>100</v>
      </c>
      <c r="F209" s="426">
        <v>150</v>
      </c>
      <c r="G209" s="426">
        <v>200</v>
      </c>
      <c r="H209" s="426">
        <v>200</v>
      </c>
      <c r="I209" s="426">
        <v>200</v>
      </c>
      <c r="J209" s="426">
        <v>200</v>
      </c>
    </row>
    <row r="211" spans="2:13" x14ac:dyDescent="0.3">
      <c r="B211" s="10" t="s">
        <v>624</v>
      </c>
    </row>
    <row r="212" spans="2:13" x14ac:dyDescent="0.3">
      <c r="B212" s="10" t="s">
        <v>625</v>
      </c>
    </row>
    <row r="213" spans="2:13" x14ac:dyDescent="0.3">
      <c r="B213" s="10" t="s">
        <v>626</v>
      </c>
    </row>
    <row r="214" spans="2:13" x14ac:dyDescent="0.3">
      <c r="B214" s="10" t="s">
        <v>628</v>
      </c>
    </row>
    <row r="215" spans="2:13" x14ac:dyDescent="0.3">
      <c r="B215" s="10" t="s">
        <v>629</v>
      </c>
    </row>
    <row r="216" spans="2:13" x14ac:dyDescent="0.3">
      <c r="B216" s="10" t="s">
        <v>630</v>
      </c>
    </row>
    <row r="217" spans="2:13" x14ac:dyDescent="0.3">
      <c r="B217" s="10" t="s">
        <v>627</v>
      </c>
    </row>
    <row r="219" spans="2:13" x14ac:dyDescent="0.3">
      <c r="B219" s="11" t="s">
        <v>703</v>
      </c>
    </row>
    <row r="220" spans="2:13" x14ac:dyDescent="0.3">
      <c r="B220" s="10" t="s">
        <v>631</v>
      </c>
    </row>
    <row r="221" spans="2:13" ht="16.2" thickBot="1" x14ac:dyDescent="0.35"/>
    <row r="222" spans="2:13" ht="16.2" thickBot="1" x14ac:dyDescent="0.35">
      <c r="B222" s="341" t="s">
        <v>86</v>
      </c>
      <c r="C222" s="342"/>
      <c r="D222" s="343">
        <v>0</v>
      </c>
      <c r="E222" s="343">
        <v>1</v>
      </c>
      <c r="F222" s="343">
        <v>2</v>
      </c>
      <c r="G222" s="343">
        <v>3</v>
      </c>
      <c r="H222" s="343">
        <v>4</v>
      </c>
      <c r="I222" s="343">
        <v>5</v>
      </c>
      <c r="J222" s="343">
        <v>6</v>
      </c>
      <c r="K222" s="343">
        <v>7</v>
      </c>
      <c r="L222" s="343">
        <v>8</v>
      </c>
      <c r="M222" s="343">
        <v>9</v>
      </c>
    </row>
    <row r="223" spans="2:13" ht="16.2" thickBot="1" x14ac:dyDescent="0.35"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</row>
    <row r="224" spans="2:13" ht="16.2" thickBot="1" x14ac:dyDescent="0.35">
      <c r="B224" s="344" t="s">
        <v>632</v>
      </c>
      <c r="C224" s="345" t="s">
        <v>633</v>
      </c>
      <c r="D224" s="298">
        <v>5</v>
      </c>
      <c r="E224" s="298">
        <v>5</v>
      </c>
      <c r="F224" s="298">
        <v>5</v>
      </c>
      <c r="G224" s="298">
        <v>5</v>
      </c>
      <c r="H224" s="298">
        <v>5</v>
      </c>
      <c r="I224" s="298">
        <v>5</v>
      </c>
      <c r="J224" s="298">
        <v>5</v>
      </c>
      <c r="K224" s="298">
        <v>5</v>
      </c>
      <c r="L224" s="298">
        <v>5</v>
      </c>
      <c r="M224" s="298">
        <v>5</v>
      </c>
    </row>
    <row r="225" spans="2:13" ht="16.2" thickBot="1" x14ac:dyDescent="0.35">
      <c r="B225" s="290" t="s">
        <v>634</v>
      </c>
      <c r="C225" s="346" t="s">
        <v>633</v>
      </c>
      <c r="D225" s="291">
        <v>2.7</v>
      </c>
      <c r="E225" s="291">
        <v>2.7</v>
      </c>
      <c r="F225" s="291">
        <v>2.7</v>
      </c>
      <c r="G225" s="291">
        <v>2.7</v>
      </c>
      <c r="H225" s="291">
        <v>2.7</v>
      </c>
      <c r="I225" s="291">
        <v>2.7</v>
      </c>
      <c r="J225" s="291">
        <v>2.7</v>
      </c>
      <c r="K225" s="291">
        <v>2.7</v>
      </c>
      <c r="L225" s="291">
        <v>2.7</v>
      </c>
      <c r="M225" s="291">
        <v>2.7</v>
      </c>
    </row>
    <row r="226" spans="2:13" ht="16.2" thickBot="1" x14ac:dyDescent="0.35">
      <c r="B226" s="290" t="s">
        <v>635</v>
      </c>
      <c r="C226" s="346" t="s">
        <v>636</v>
      </c>
      <c r="D226" s="291">
        <v>0</v>
      </c>
      <c r="E226" s="291">
        <v>0</v>
      </c>
      <c r="F226" s="291">
        <v>10</v>
      </c>
      <c r="G226" s="291">
        <v>50</v>
      </c>
      <c r="H226" s="291">
        <v>100</v>
      </c>
      <c r="I226" s="291">
        <v>150</v>
      </c>
      <c r="J226" s="291">
        <v>200</v>
      </c>
      <c r="K226" s="291">
        <v>200</v>
      </c>
      <c r="L226" s="291">
        <v>200</v>
      </c>
      <c r="M226" s="291">
        <v>200</v>
      </c>
    </row>
    <row r="227" spans="2:13" ht="16.2" thickBot="1" x14ac:dyDescent="0.35"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</row>
    <row r="228" spans="2:13" ht="16.2" thickBot="1" x14ac:dyDescent="0.35">
      <c r="B228" s="347" t="s">
        <v>637</v>
      </c>
      <c r="C228" s="348" t="s">
        <v>229</v>
      </c>
      <c r="D228" s="427">
        <f>D224*D226</f>
        <v>0</v>
      </c>
      <c r="E228" s="427">
        <f t="shared" ref="E228:M228" si="2">E224*E226</f>
        <v>0</v>
      </c>
      <c r="F228" s="427">
        <f t="shared" si="2"/>
        <v>50</v>
      </c>
      <c r="G228" s="427">
        <f t="shared" si="2"/>
        <v>250</v>
      </c>
      <c r="H228" s="427">
        <f t="shared" si="2"/>
        <v>500</v>
      </c>
      <c r="I228" s="427">
        <f t="shared" si="2"/>
        <v>750</v>
      </c>
      <c r="J228" s="427">
        <f t="shared" si="2"/>
        <v>1000</v>
      </c>
      <c r="K228" s="427">
        <f t="shared" si="2"/>
        <v>1000</v>
      </c>
      <c r="L228" s="427">
        <f t="shared" si="2"/>
        <v>1000</v>
      </c>
      <c r="M228" s="427">
        <f t="shared" si="2"/>
        <v>1000</v>
      </c>
    </row>
    <row r="229" spans="2:13" ht="16.2" thickBot="1" x14ac:dyDescent="0.35">
      <c r="B229" s="290" t="s">
        <v>787</v>
      </c>
      <c r="C229" s="346" t="s">
        <v>229</v>
      </c>
      <c r="D229" s="291">
        <f>D225*-D226</f>
        <v>0</v>
      </c>
      <c r="E229" s="291">
        <f t="shared" ref="E229:M229" si="3">E225*-E226</f>
        <v>0</v>
      </c>
      <c r="F229" s="291">
        <f t="shared" si="3"/>
        <v>-27</v>
      </c>
      <c r="G229" s="291">
        <f t="shared" si="3"/>
        <v>-135</v>
      </c>
      <c r="H229" s="291">
        <f t="shared" si="3"/>
        <v>-270</v>
      </c>
      <c r="I229" s="291">
        <f t="shared" si="3"/>
        <v>-405</v>
      </c>
      <c r="J229" s="291">
        <f t="shared" si="3"/>
        <v>-540</v>
      </c>
      <c r="K229" s="291">
        <f t="shared" si="3"/>
        <v>-540</v>
      </c>
      <c r="L229" s="291">
        <f t="shared" si="3"/>
        <v>-540</v>
      </c>
      <c r="M229" s="291">
        <f t="shared" si="3"/>
        <v>-540</v>
      </c>
    </row>
    <row r="230" spans="2:13" ht="16.2" thickBot="1" x14ac:dyDescent="0.35">
      <c r="B230" s="290" t="s">
        <v>638</v>
      </c>
      <c r="C230" s="346" t="s">
        <v>229</v>
      </c>
      <c r="D230" s="291"/>
      <c r="E230" s="291"/>
      <c r="F230" s="291">
        <v>-70</v>
      </c>
      <c r="G230" s="291">
        <v>-70</v>
      </c>
      <c r="H230" s="291">
        <v>-70</v>
      </c>
      <c r="I230" s="291">
        <v>-70</v>
      </c>
      <c r="J230" s="291">
        <v>-70</v>
      </c>
      <c r="K230" s="291">
        <v>-70</v>
      </c>
      <c r="L230" s="291">
        <v>-70</v>
      </c>
      <c r="M230" s="291">
        <v>-70</v>
      </c>
    </row>
    <row r="231" spans="2:13" ht="16.2" thickBot="1" x14ac:dyDescent="0.35">
      <c r="B231" s="350" t="s">
        <v>639</v>
      </c>
      <c r="C231" s="351" t="s">
        <v>229</v>
      </c>
      <c r="D231" s="352">
        <f>SUM(D228:D230)</f>
        <v>0</v>
      </c>
      <c r="E231" s="352">
        <f t="shared" ref="E231:M231" si="4">SUM(E228:E230)</f>
        <v>0</v>
      </c>
      <c r="F231" s="352">
        <f t="shared" si="4"/>
        <v>-47</v>
      </c>
      <c r="G231" s="352">
        <f t="shared" si="4"/>
        <v>45</v>
      </c>
      <c r="H231" s="352">
        <f t="shared" si="4"/>
        <v>160</v>
      </c>
      <c r="I231" s="352">
        <f t="shared" si="4"/>
        <v>275</v>
      </c>
      <c r="J231" s="352">
        <f t="shared" si="4"/>
        <v>390</v>
      </c>
      <c r="K231" s="352">
        <f t="shared" si="4"/>
        <v>390</v>
      </c>
      <c r="L231" s="352">
        <f t="shared" si="4"/>
        <v>390</v>
      </c>
      <c r="M231" s="352">
        <f t="shared" si="4"/>
        <v>390</v>
      </c>
    </row>
    <row r="232" spans="2:13" ht="16.2" thickBot="1" x14ac:dyDescent="0.35">
      <c r="B232" s="290" t="s">
        <v>640</v>
      </c>
      <c r="C232" s="346" t="s">
        <v>229</v>
      </c>
      <c r="D232" s="291">
        <f>IF(D231&gt;0,-20%*D231,0)</f>
        <v>0</v>
      </c>
      <c r="E232" s="291">
        <f t="shared" ref="E232:M232" si="5">IF(E231&gt;0,-20%*E231,0)</f>
        <v>0</v>
      </c>
      <c r="F232" s="291">
        <f t="shared" si="5"/>
        <v>0</v>
      </c>
      <c r="G232" s="291">
        <f t="shared" si="5"/>
        <v>-9</v>
      </c>
      <c r="H232" s="291">
        <f t="shared" si="5"/>
        <v>-32</v>
      </c>
      <c r="I232" s="291">
        <f t="shared" si="5"/>
        <v>-55</v>
      </c>
      <c r="J232" s="291">
        <f t="shared" si="5"/>
        <v>-78</v>
      </c>
      <c r="K232" s="291">
        <f t="shared" si="5"/>
        <v>-78</v>
      </c>
      <c r="L232" s="291">
        <f t="shared" si="5"/>
        <v>-78</v>
      </c>
      <c r="M232" s="291">
        <f t="shared" si="5"/>
        <v>-78</v>
      </c>
    </row>
    <row r="233" spans="2:13" ht="16.2" thickBot="1" x14ac:dyDescent="0.35"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</row>
    <row r="234" spans="2:13" ht="16.2" thickBot="1" x14ac:dyDescent="0.35">
      <c r="B234" s="347" t="s">
        <v>641</v>
      </c>
      <c r="C234" s="348" t="s">
        <v>229</v>
      </c>
      <c r="D234" s="349">
        <f>SUM(D231:D232)</f>
        <v>0</v>
      </c>
      <c r="E234" s="349">
        <f t="shared" ref="E234:M234" si="6">SUM(E231:E232)</f>
        <v>0</v>
      </c>
      <c r="F234" s="349">
        <f t="shared" si="6"/>
        <v>-47</v>
      </c>
      <c r="G234" s="349">
        <f t="shared" si="6"/>
        <v>36</v>
      </c>
      <c r="H234" s="349">
        <f t="shared" si="6"/>
        <v>128</v>
      </c>
      <c r="I234" s="349">
        <f t="shared" si="6"/>
        <v>220</v>
      </c>
      <c r="J234" s="349">
        <f t="shared" si="6"/>
        <v>312</v>
      </c>
      <c r="K234" s="349">
        <f t="shared" si="6"/>
        <v>312</v>
      </c>
      <c r="L234" s="349">
        <f t="shared" si="6"/>
        <v>312</v>
      </c>
      <c r="M234" s="349">
        <f t="shared" si="6"/>
        <v>312</v>
      </c>
    </row>
    <row r="235" spans="2:13" ht="16.2" thickBot="1" x14ac:dyDescent="0.35">
      <c r="B235" s="290" t="s">
        <v>642</v>
      </c>
      <c r="C235" s="346" t="s">
        <v>229</v>
      </c>
      <c r="D235" s="291">
        <v>-500</v>
      </c>
      <c r="E235" s="291">
        <v>-250</v>
      </c>
      <c r="F235" s="291">
        <v>0</v>
      </c>
      <c r="G235" s="291">
        <v>0</v>
      </c>
      <c r="H235" s="291">
        <v>0</v>
      </c>
      <c r="I235" s="291">
        <v>0</v>
      </c>
      <c r="J235" s="291">
        <v>0</v>
      </c>
      <c r="K235" s="291">
        <v>0</v>
      </c>
      <c r="L235" s="291">
        <v>0</v>
      </c>
      <c r="M235" s="291">
        <v>90</v>
      </c>
    </row>
    <row r="236" spans="2:13" ht="16.2" thickBot="1" x14ac:dyDescent="0.35">
      <c r="B236" s="290" t="s">
        <v>643</v>
      </c>
      <c r="C236" s="346" t="s">
        <v>229</v>
      </c>
      <c r="D236" s="291">
        <v>0</v>
      </c>
      <c r="E236" s="291">
        <v>0</v>
      </c>
      <c r="F236" s="291">
        <v>0</v>
      </c>
      <c r="G236" s="291">
        <v>0</v>
      </c>
      <c r="H236" s="291">
        <v>0</v>
      </c>
      <c r="I236" s="291">
        <v>0</v>
      </c>
      <c r="J236" s="291">
        <v>0</v>
      </c>
      <c r="K236" s="291">
        <v>0</v>
      </c>
      <c r="L236" s="291">
        <v>0</v>
      </c>
      <c r="M236" s="291">
        <v>0</v>
      </c>
    </row>
    <row r="237" spans="2:13" ht="16.2" thickBot="1" x14ac:dyDescent="0.35"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</row>
    <row r="238" spans="2:13" ht="16.2" thickBot="1" x14ac:dyDescent="0.35">
      <c r="B238" s="353" t="s">
        <v>644</v>
      </c>
      <c r="C238" s="354" t="s">
        <v>229</v>
      </c>
      <c r="D238" s="355">
        <f>SUM(D234:D235)</f>
        <v>-500</v>
      </c>
      <c r="E238" s="355">
        <f t="shared" ref="E238:L238" si="7">SUM(E234:E235)</f>
        <v>-250</v>
      </c>
      <c r="F238" s="355">
        <f t="shared" si="7"/>
        <v>-47</v>
      </c>
      <c r="G238" s="355">
        <f t="shared" si="7"/>
        <v>36</v>
      </c>
      <c r="H238" s="355">
        <f t="shared" si="7"/>
        <v>128</v>
      </c>
      <c r="I238" s="355">
        <f t="shared" si="7"/>
        <v>220</v>
      </c>
      <c r="J238" s="355">
        <f t="shared" si="7"/>
        <v>312</v>
      </c>
      <c r="K238" s="355">
        <f t="shared" si="7"/>
        <v>312</v>
      </c>
      <c r="L238" s="355">
        <f t="shared" si="7"/>
        <v>312</v>
      </c>
      <c r="M238" s="355">
        <f>SUM(M234:M235)</f>
        <v>402</v>
      </c>
    </row>
    <row r="239" spans="2:13" ht="16.8" thickTop="1" thickBot="1" x14ac:dyDescent="0.35">
      <c r="B239" s="425" t="s">
        <v>788</v>
      </c>
      <c r="C239" s="428">
        <f>IRR(D238:M238)</f>
        <v>0.12963081334120652</v>
      </c>
    </row>
    <row r="241" spans="2:2" x14ac:dyDescent="0.3">
      <c r="B241" s="11" t="s">
        <v>704</v>
      </c>
    </row>
    <row r="242" spans="2:2" x14ac:dyDescent="0.3">
      <c r="B242" s="10" t="s">
        <v>645</v>
      </c>
    </row>
    <row r="243" spans="2:2" x14ac:dyDescent="0.3">
      <c r="B243" s="10" t="s">
        <v>646</v>
      </c>
    </row>
    <row r="244" spans="2:2" x14ac:dyDescent="0.3">
      <c r="B244" s="10" t="s">
        <v>649</v>
      </c>
    </row>
    <row r="245" spans="2:2" x14ac:dyDescent="0.3">
      <c r="B245" s="10" t="s">
        <v>650</v>
      </c>
    </row>
    <row r="247" spans="2:2" x14ac:dyDescent="0.3">
      <c r="B247" s="11" t="s">
        <v>705</v>
      </c>
    </row>
    <row r="248" spans="2:2" x14ac:dyDescent="0.3">
      <c r="B248" s="10" t="s">
        <v>651</v>
      </c>
    </row>
    <row r="249" spans="2:2" x14ac:dyDescent="0.3">
      <c r="B249" s="10" t="s">
        <v>647</v>
      </c>
    </row>
    <row r="250" spans="2:2" x14ac:dyDescent="0.3">
      <c r="B250" s="10" t="s">
        <v>648</v>
      </c>
    </row>
    <row r="252" spans="2:2" ht="18" x14ac:dyDescent="0.35">
      <c r="B252" s="4" t="s">
        <v>652</v>
      </c>
    </row>
    <row r="254" spans="2:2" x14ac:dyDescent="0.3">
      <c r="B254" s="11" t="s">
        <v>706</v>
      </c>
    </row>
    <row r="256" spans="2:2" x14ac:dyDescent="0.3">
      <c r="B256" s="11" t="s">
        <v>707</v>
      </c>
    </row>
    <row r="257" spans="2:7" ht="16.2" thickBot="1" x14ac:dyDescent="0.35"/>
    <row r="258" spans="2:7" ht="16.2" thickBot="1" x14ac:dyDescent="0.35">
      <c r="B258" s="288" t="s">
        <v>412</v>
      </c>
      <c r="C258" s="289">
        <v>0</v>
      </c>
      <c r="D258" s="289">
        <v>1</v>
      </c>
      <c r="E258" s="289">
        <v>2</v>
      </c>
      <c r="F258" s="289">
        <v>3</v>
      </c>
      <c r="G258" s="289">
        <v>4</v>
      </c>
    </row>
    <row r="259" spans="2:7" ht="16.2" thickBot="1" x14ac:dyDescent="0.35">
      <c r="B259" s="290" t="s">
        <v>413</v>
      </c>
      <c r="C259" s="291">
        <v>-100</v>
      </c>
      <c r="D259" s="291">
        <v>20</v>
      </c>
      <c r="E259" s="291">
        <v>50</v>
      </c>
      <c r="F259" s="291">
        <v>90</v>
      </c>
      <c r="G259" s="291">
        <v>150</v>
      </c>
    </row>
    <row r="260" spans="2:7" ht="16.2" thickBot="1" x14ac:dyDescent="0.35">
      <c r="B260" s="356" t="s">
        <v>653</v>
      </c>
      <c r="C260" s="352">
        <v>-100</v>
      </c>
      <c r="D260" s="352">
        <v>-80</v>
      </c>
      <c r="E260" s="352">
        <v>-30</v>
      </c>
      <c r="F260" s="352">
        <v>60</v>
      </c>
      <c r="G260" s="352">
        <v>210</v>
      </c>
    </row>
    <row r="261" spans="2:7" ht="16.2" thickBot="1" x14ac:dyDescent="0.35">
      <c r="B261" s="290" t="s">
        <v>564</v>
      </c>
      <c r="C261" s="334">
        <v>1</v>
      </c>
      <c r="D261" s="291">
        <v>0.89</v>
      </c>
      <c r="E261" s="291">
        <v>0.8</v>
      </c>
      <c r="F261" s="291">
        <v>0.71</v>
      </c>
      <c r="G261" s="291">
        <v>0.64</v>
      </c>
    </row>
    <row r="262" spans="2:7" ht="16.2" thickBot="1" x14ac:dyDescent="0.35">
      <c r="B262" s="290" t="s">
        <v>566</v>
      </c>
      <c r="C262" s="291">
        <v>-100</v>
      </c>
      <c r="D262" s="291">
        <v>17.899999999999999</v>
      </c>
      <c r="E262" s="291">
        <v>39.9</v>
      </c>
      <c r="F262" s="291">
        <v>64.099999999999994</v>
      </c>
      <c r="G262" s="291">
        <v>95.3</v>
      </c>
    </row>
    <row r="263" spans="2:7" ht="16.2" thickBot="1" x14ac:dyDescent="0.35">
      <c r="B263" s="356" t="s">
        <v>653</v>
      </c>
      <c r="C263" s="352">
        <v>-100</v>
      </c>
      <c r="D263" s="352">
        <v>-82</v>
      </c>
      <c r="E263" s="352">
        <v>-42</v>
      </c>
      <c r="F263" s="352">
        <v>22</v>
      </c>
      <c r="G263" s="352">
        <v>117</v>
      </c>
    </row>
    <row r="265" spans="2:7" x14ac:dyDescent="0.3">
      <c r="B265" s="10" t="s">
        <v>654</v>
      </c>
    </row>
    <row r="267" spans="2:7" x14ac:dyDescent="0.3">
      <c r="C267" s="10" t="s">
        <v>655</v>
      </c>
    </row>
    <row r="268" spans="2:7" x14ac:dyDescent="0.3">
      <c r="C268" s="10" t="s">
        <v>656</v>
      </c>
    </row>
    <row r="270" spans="2:7" x14ac:dyDescent="0.3">
      <c r="C270" s="10" t="s">
        <v>657</v>
      </c>
    </row>
    <row r="271" spans="2:7" x14ac:dyDescent="0.3">
      <c r="C271" s="10" t="s">
        <v>658</v>
      </c>
    </row>
    <row r="273" spans="2:2" x14ac:dyDescent="0.3">
      <c r="B273" s="11" t="s">
        <v>708</v>
      </c>
    </row>
    <row r="275" spans="2:2" x14ac:dyDescent="0.3">
      <c r="B275" s="11" t="s">
        <v>709</v>
      </c>
    </row>
    <row r="276" spans="2:2" x14ac:dyDescent="0.3">
      <c r="B276" s="10" t="s">
        <v>659</v>
      </c>
    </row>
    <row r="277" spans="2:2" x14ac:dyDescent="0.3">
      <c r="B277" s="44" t="s">
        <v>660</v>
      </c>
    </row>
    <row r="278" spans="2:2" x14ac:dyDescent="0.3">
      <c r="B278" s="10" t="s">
        <v>762</v>
      </c>
    </row>
    <row r="279" spans="2:2" x14ac:dyDescent="0.3">
      <c r="B279" s="10" t="s">
        <v>661</v>
      </c>
    </row>
    <row r="281" spans="2:2" x14ac:dyDescent="0.3">
      <c r="B281" s="11" t="s">
        <v>710</v>
      </c>
    </row>
    <row r="282" spans="2:2" x14ac:dyDescent="0.3">
      <c r="B282" s="10" t="s">
        <v>662</v>
      </c>
    </row>
    <row r="284" spans="2:2" x14ac:dyDescent="0.3">
      <c r="B284" s="11" t="s">
        <v>712</v>
      </c>
    </row>
    <row r="286" spans="2:2" x14ac:dyDescent="0.3">
      <c r="B286" s="11" t="s">
        <v>711</v>
      </c>
    </row>
    <row r="287" spans="2:2" x14ac:dyDescent="0.3">
      <c r="B287" s="10" t="s">
        <v>663</v>
      </c>
    </row>
    <row r="289" spans="2:11" x14ac:dyDescent="0.3">
      <c r="B289" s="11" t="s">
        <v>713</v>
      </c>
    </row>
    <row r="290" spans="2:11" x14ac:dyDescent="0.3">
      <c r="B290" s="10" t="s">
        <v>664</v>
      </c>
    </row>
    <row r="291" spans="2:11" ht="16.2" thickBot="1" x14ac:dyDescent="0.35"/>
    <row r="292" spans="2:11" ht="16.2" thickBot="1" x14ac:dyDescent="0.35">
      <c r="B292" s="288" t="s">
        <v>579</v>
      </c>
      <c r="C292" s="289">
        <v>0</v>
      </c>
      <c r="D292" s="289">
        <v>1</v>
      </c>
      <c r="E292" s="289">
        <v>2</v>
      </c>
      <c r="F292" s="289">
        <v>3</v>
      </c>
      <c r="G292" s="289">
        <v>4</v>
      </c>
      <c r="H292" s="335">
        <v>5</v>
      </c>
      <c r="I292" s="335">
        <v>6</v>
      </c>
      <c r="J292" s="335">
        <v>7</v>
      </c>
      <c r="K292" s="335">
        <v>8</v>
      </c>
    </row>
    <row r="293" spans="2:11" ht="16.2" thickBot="1" x14ac:dyDescent="0.35">
      <c r="B293" s="290" t="s">
        <v>413</v>
      </c>
      <c r="C293" s="291">
        <v>-100</v>
      </c>
      <c r="D293" s="291">
        <v>10</v>
      </c>
      <c r="E293" s="291">
        <v>10</v>
      </c>
      <c r="F293" s="291">
        <v>15</v>
      </c>
      <c r="G293" s="291">
        <v>15</v>
      </c>
      <c r="H293" s="336">
        <v>25</v>
      </c>
      <c r="I293" s="336">
        <v>25</v>
      </c>
      <c r="J293" s="336">
        <v>50</v>
      </c>
      <c r="K293" s="336">
        <v>50</v>
      </c>
    </row>
    <row r="294" spans="2:11" ht="16.2" thickBot="1" x14ac:dyDescent="0.35">
      <c r="B294" s="356" t="s">
        <v>789</v>
      </c>
      <c r="C294" s="352">
        <v>-100</v>
      </c>
      <c r="D294" s="352">
        <f>C294+D293</f>
        <v>-90</v>
      </c>
      <c r="E294" s="352">
        <f t="shared" ref="E294:K294" si="8">D294+E293</f>
        <v>-80</v>
      </c>
      <c r="F294" s="352">
        <f t="shared" si="8"/>
        <v>-65</v>
      </c>
      <c r="G294" s="352">
        <f t="shared" si="8"/>
        <v>-50</v>
      </c>
      <c r="H294" s="352">
        <f t="shared" si="8"/>
        <v>-25</v>
      </c>
      <c r="I294" s="352">
        <f t="shared" si="8"/>
        <v>0</v>
      </c>
      <c r="J294" s="352">
        <f t="shared" si="8"/>
        <v>50</v>
      </c>
      <c r="K294" s="352">
        <f t="shared" si="8"/>
        <v>100</v>
      </c>
    </row>
    <row r="296" spans="2:11" x14ac:dyDescent="0.3">
      <c r="B296" s="11" t="s">
        <v>714</v>
      </c>
    </row>
    <row r="298" spans="2:11" x14ac:dyDescent="0.3">
      <c r="B298" s="11" t="s">
        <v>715</v>
      </c>
    </row>
    <row r="299" spans="2:11" x14ac:dyDescent="0.3">
      <c r="B299" s="10" t="s">
        <v>665</v>
      </c>
    </row>
    <row r="300" spans="2:11" ht="16.2" thickBot="1" x14ac:dyDescent="0.35"/>
    <row r="301" spans="2:11" ht="16.2" thickBot="1" x14ac:dyDescent="0.35">
      <c r="B301" s="288" t="s">
        <v>579</v>
      </c>
      <c r="C301" s="289">
        <v>0</v>
      </c>
      <c r="D301" s="289">
        <v>1</v>
      </c>
      <c r="E301" s="289">
        <v>2</v>
      </c>
      <c r="F301" s="289">
        <v>3</v>
      </c>
      <c r="G301" s="289">
        <v>4</v>
      </c>
      <c r="H301" s="335">
        <v>5</v>
      </c>
      <c r="I301" s="335">
        <v>6</v>
      </c>
      <c r="J301" s="335">
        <v>7</v>
      </c>
      <c r="K301" s="335">
        <v>8</v>
      </c>
    </row>
    <row r="302" spans="2:11" ht="16.2" thickBot="1" x14ac:dyDescent="0.35">
      <c r="B302" s="290" t="s">
        <v>413</v>
      </c>
      <c r="C302" s="291">
        <v>-100</v>
      </c>
      <c r="D302" s="291">
        <v>10</v>
      </c>
      <c r="E302" s="291">
        <v>10</v>
      </c>
      <c r="F302" s="291">
        <v>15</v>
      </c>
      <c r="G302" s="291">
        <v>15</v>
      </c>
      <c r="H302" s="336">
        <v>25</v>
      </c>
      <c r="I302" s="336">
        <v>25</v>
      </c>
      <c r="J302" s="336">
        <v>50</v>
      </c>
      <c r="K302" s="336">
        <v>50</v>
      </c>
    </row>
    <row r="303" spans="2:11" ht="16.2" thickBot="1" x14ac:dyDescent="0.35">
      <c r="B303" s="290" t="s">
        <v>564</v>
      </c>
      <c r="C303" s="384">
        <v>1</v>
      </c>
      <c r="D303" s="307">
        <f>C303/(1+12%/4)</f>
        <v>0.970873786407767</v>
      </c>
      <c r="E303" s="307">
        <f t="shared" ref="E303:K303" si="9">D303/(1+12%/4)</f>
        <v>0.94259590913375435</v>
      </c>
      <c r="F303" s="307">
        <f t="shared" si="9"/>
        <v>0.9151416593531595</v>
      </c>
      <c r="G303" s="307">
        <f t="shared" si="9"/>
        <v>0.88848704791568878</v>
      </c>
      <c r="H303" s="307">
        <f t="shared" si="9"/>
        <v>0.86260878438416388</v>
      </c>
      <c r="I303" s="307">
        <f t="shared" si="9"/>
        <v>0.83748425668365423</v>
      </c>
      <c r="J303" s="307">
        <f t="shared" si="9"/>
        <v>0.81309151134335356</v>
      </c>
      <c r="K303" s="307">
        <f t="shared" si="9"/>
        <v>0.7894092343139355</v>
      </c>
    </row>
    <row r="304" spans="2:11" ht="16.2" thickBot="1" x14ac:dyDescent="0.35">
      <c r="B304" s="290" t="s">
        <v>566</v>
      </c>
      <c r="C304" s="307">
        <f>C303*C302</f>
        <v>-100</v>
      </c>
      <c r="D304" s="307">
        <f t="shared" ref="D304:K304" si="10">D303*D302</f>
        <v>9.7087378640776691</v>
      </c>
      <c r="E304" s="307">
        <f t="shared" si="10"/>
        <v>9.4259590913375426</v>
      </c>
      <c r="F304" s="307">
        <f t="shared" si="10"/>
        <v>13.727124890297393</v>
      </c>
      <c r="G304" s="307">
        <f t="shared" si="10"/>
        <v>13.327305718735332</v>
      </c>
      <c r="H304" s="307">
        <f t="shared" si="10"/>
        <v>21.565219609604096</v>
      </c>
      <c r="I304" s="307">
        <f t="shared" si="10"/>
        <v>20.937106417091357</v>
      </c>
      <c r="J304" s="307">
        <f t="shared" si="10"/>
        <v>40.654575567167676</v>
      </c>
      <c r="K304" s="307">
        <f t="shared" si="10"/>
        <v>39.470461715696779</v>
      </c>
    </row>
    <row r="305" spans="2:13" ht="16.2" thickBot="1" x14ac:dyDescent="0.35">
      <c r="B305" s="356" t="s">
        <v>789</v>
      </c>
      <c r="C305" s="388">
        <v>-100</v>
      </c>
      <c r="D305" s="389">
        <f>C305+D304</f>
        <v>-90.291262135922324</v>
      </c>
      <c r="E305" s="389">
        <f t="shared" ref="E305:K305" si="11">D305+E304</f>
        <v>-80.865303044584778</v>
      </c>
      <c r="F305" s="389">
        <f t="shared" si="11"/>
        <v>-67.138178154287388</v>
      </c>
      <c r="G305" s="389">
        <f t="shared" si="11"/>
        <v>-53.810872435552056</v>
      </c>
      <c r="H305" s="389">
        <f t="shared" si="11"/>
        <v>-32.245652825947957</v>
      </c>
      <c r="I305" s="389">
        <f t="shared" si="11"/>
        <v>-11.3085464088566</v>
      </c>
      <c r="J305" s="389">
        <f t="shared" si="11"/>
        <v>29.346029158311076</v>
      </c>
      <c r="K305" s="390">
        <f t="shared" si="11"/>
        <v>68.816490874007854</v>
      </c>
      <c r="M305" s="385">
        <f>6-I305/J304</f>
        <v>6.2781617136839403</v>
      </c>
    </row>
    <row r="306" spans="2:13" x14ac:dyDescent="0.3">
      <c r="M306" s="10" t="s">
        <v>173</v>
      </c>
    </row>
    <row r="307" spans="2:13" x14ac:dyDescent="0.3">
      <c r="B307" s="11" t="s">
        <v>716</v>
      </c>
    </row>
    <row r="309" spans="2:13" ht="18" x14ac:dyDescent="0.35">
      <c r="B309" s="11" t="s">
        <v>767</v>
      </c>
      <c r="F309" s="357" t="s">
        <v>766</v>
      </c>
      <c r="H309" s="392">
        <f>1+K305/100</f>
        <v>1.6881649087400785</v>
      </c>
    </row>
    <row r="310" spans="2:13" x14ac:dyDescent="0.3">
      <c r="B310" s="11"/>
    </row>
    <row r="311" spans="2:13" x14ac:dyDescent="0.3">
      <c r="B311" s="386"/>
      <c r="C311" s="387"/>
      <c r="D311" s="387"/>
      <c r="E311" s="387"/>
      <c r="F311" s="387"/>
      <c r="G311" s="387"/>
      <c r="H311" s="387"/>
      <c r="I311" s="387"/>
      <c r="J311" s="387"/>
      <c r="K311" s="387"/>
    </row>
    <row r="312" spans="2:13" x14ac:dyDescent="0.3">
      <c r="B312" s="11" t="s">
        <v>717</v>
      </c>
    </row>
    <row r="313" spans="2:13" x14ac:dyDescent="0.3">
      <c r="B313" s="10" t="s">
        <v>666</v>
      </c>
    </row>
    <row r="315" spans="2:13" x14ac:dyDescent="0.3">
      <c r="B315" s="11" t="s">
        <v>718</v>
      </c>
    </row>
    <row r="316" spans="2:13" x14ac:dyDescent="0.3">
      <c r="B316" s="10" t="s">
        <v>667</v>
      </c>
    </row>
    <row r="317" spans="2:13" ht="16.2" thickBot="1" x14ac:dyDescent="0.35"/>
    <row r="318" spans="2:13" ht="16.2" thickBot="1" x14ac:dyDescent="0.35">
      <c r="B318" s="288" t="s">
        <v>412</v>
      </c>
      <c r="C318" s="289">
        <v>0</v>
      </c>
      <c r="D318" s="289">
        <v>1</v>
      </c>
      <c r="E318" s="289">
        <v>2</v>
      </c>
      <c r="F318" s="289">
        <v>3</v>
      </c>
      <c r="G318" s="289">
        <v>4</v>
      </c>
      <c r="H318" s="335">
        <v>5</v>
      </c>
    </row>
    <row r="319" spans="2:13" ht="16.2" thickBot="1" x14ac:dyDescent="0.35">
      <c r="B319" s="290" t="s">
        <v>614</v>
      </c>
      <c r="C319" s="291">
        <v>-1200</v>
      </c>
      <c r="D319" s="291">
        <v>0</v>
      </c>
      <c r="E319" s="291">
        <v>300</v>
      </c>
      <c r="F319" s="291">
        <v>500</v>
      </c>
      <c r="G319" s="291">
        <v>150</v>
      </c>
      <c r="H319" s="336">
        <v>750</v>
      </c>
    </row>
    <row r="320" spans="2:13" ht="16.2" thickBot="1" x14ac:dyDescent="0.35">
      <c r="B320" s="356" t="s">
        <v>789</v>
      </c>
      <c r="C320" s="388">
        <v>-1200</v>
      </c>
      <c r="D320" s="388">
        <f>C320+D319</f>
        <v>-1200</v>
      </c>
      <c r="E320" s="388">
        <f t="shared" ref="E320:H320" si="12">D320+E319</f>
        <v>-900</v>
      </c>
      <c r="F320" s="388">
        <f t="shared" si="12"/>
        <v>-400</v>
      </c>
      <c r="G320" s="388">
        <f t="shared" si="12"/>
        <v>-250</v>
      </c>
      <c r="H320" s="388">
        <f t="shared" si="12"/>
        <v>500</v>
      </c>
    </row>
    <row r="321" spans="2:11" ht="16.2" thickBot="1" x14ac:dyDescent="0.35">
      <c r="B321" s="290" t="s">
        <v>615</v>
      </c>
      <c r="C321" s="291">
        <v>-1200</v>
      </c>
      <c r="D321" s="291">
        <v>200</v>
      </c>
      <c r="E321" s="291">
        <v>300</v>
      </c>
      <c r="F321" s="291">
        <v>400</v>
      </c>
      <c r="G321" s="291">
        <v>400</v>
      </c>
      <c r="H321" s="336">
        <v>400</v>
      </c>
    </row>
    <row r="322" spans="2:11" ht="16.2" thickBot="1" x14ac:dyDescent="0.35">
      <c r="B322" s="356" t="s">
        <v>789</v>
      </c>
      <c r="C322" s="388">
        <v>-1200</v>
      </c>
      <c r="D322" s="388">
        <f>C322+D321</f>
        <v>-1000</v>
      </c>
      <c r="E322" s="388">
        <f t="shared" ref="E322:H322" si="13">D322+E321</f>
        <v>-700</v>
      </c>
      <c r="F322" s="388">
        <f t="shared" si="13"/>
        <v>-300</v>
      </c>
      <c r="G322" s="388">
        <f t="shared" si="13"/>
        <v>100</v>
      </c>
      <c r="H322" s="388">
        <f t="shared" si="13"/>
        <v>500</v>
      </c>
    </row>
    <row r="323" spans="2:11" x14ac:dyDescent="0.3">
      <c r="J323" s="11"/>
      <c r="K323" s="11"/>
    </row>
    <row r="324" spans="2:11" x14ac:dyDescent="0.3">
      <c r="B324" s="11" t="s">
        <v>719</v>
      </c>
      <c r="J324" s="11"/>
      <c r="K324" s="11"/>
    </row>
    <row r="325" spans="2:11" x14ac:dyDescent="0.3">
      <c r="B325" s="10" t="s">
        <v>668</v>
      </c>
    </row>
    <row r="326" spans="2:11" x14ac:dyDescent="0.3">
      <c r="B326" s="10" t="s">
        <v>669</v>
      </c>
    </row>
    <row r="327" spans="2:11" ht="16.2" thickBot="1" x14ac:dyDescent="0.35">
      <c r="J327" s="11" t="s">
        <v>790</v>
      </c>
      <c r="K327" s="46">
        <f>NPV(10%,D329:H329)+C329</f>
        <v>65.258831053516815</v>
      </c>
    </row>
    <row r="328" spans="2:11" ht="16.2" thickBot="1" x14ac:dyDescent="0.35">
      <c r="B328" s="288" t="s">
        <v>412</v>
      </c>
      <c r="C328" s="289">
        <v>0</v>
      </c>
      <c r="D328" s="289">
        <v>1</v>
      </c>
      <c r="E328" s="289">
        <v>2</v>
      </c>
      <c r="F328" s="289">
        <v>3</v>
      </c>
      <c r="G328" s="289">
        <v>4</v>
      </c>
      <c r="H328" s="335">
        <v>5</v>
      </c>
      <c r="J328" s="11" t="s">
        <v>768</v>
      </c>
      <c r="K328" s="391">
        <f>1+K327/ABS(C329)</f>
        <v>1.0652588310535167</v>
      </c>
    </row>
    <row r="329" spans="2:11" ht="16.2" thickBot="1" x14ac:dyDescent="0.35">
      <c r="B329" s="290" t="s">
        <v>614</v>
      </c>
      <c r="C329" s="291">
        <v>-1000</v>
      </c>
      <c r="D329" s="291">
        <v>100</v>
      </c>
      <c r="E329" s="291">
        <v>200</v>
      </c>
      <c r="F329" s="291">
        <v>300</v>
      </c>
      <c r="G329" s="291">
        <v>400</v>
      </c>
      <c r="H329" s="336">
        <v>500</v>
      </c>
      <c r="J329" s="11" t="s">
        <v>790</v>
      </c>
      <c r="K329" s="46">
        <f>NPV(10%,D330:H330)+C330</f>
        <v>64.705714338936104</v>
      </c>
    </row>
    <row r="330" spans="2:11" ht="16.2" thickBot="1" x14ac:dyDescent="0.35">
      <c r="B330" s="290" t="s">
        <v>615</v>
      </c>
      <c r="C330" s="291">
        <v>-100</v>
      </c>
      <c r="D330" s="291">
        <v>22</v>
      </c>
      <c r="E330" s="291">
        <v>50</v>
      </c>
      <c r="F330" s="291">
        <v>50</v>
      </c>
      <c r="G330" s="291">
        <v>50</v>
      </c>
      <c r="H330" s="336">
        <v>51</v>
      </c>
      <c r="J330" s="11" t="s">
        <v>768</v>
      </c>
      <c r="K330" s="391">
        <f>1+K329/ABS(C330)</f>
        <v>1.647057143389361</v>
      </c>
    </row>
    <row r="332" spans="2:11" x14ac:dyDescent="0.3">
      <c r="B332" s="11" t="s">
        <v>720</v>
      </c>
    </row>
    <row r="333" spans="2:11" x14ac:dyDescent="0.3">
      <c r="B333" s="10" t="s">
        <v>763</v>
      </c>
    </row>
    <row r="334" spans="2:11" x14ac:dyDescent="0.3">
      <c r="B334" s="10" t="s">
        <v>670</v>
      </c>
    </row>
    <row r="336" spans="2:11" x14ac:dyDescent="0.3">
      <c r="B336" s="11" t="s">
        <v>721</v>
      </c>
    </row>
    <row r="337" spans="2:17" x14ac:dyDescent="0.3">
      <c r="B337" s="10" t="s">
        <v>671</v>
      </c>
    </row>
    <row r="338" spans="2:17" ht="16.2" thickBot="1" x14ac:dyDescent="0.35"/>
    <row r="339" spans="2:17" ht="16.2" thickBot="1" x14ac:dyDescent="0.35">
      <c r="B339" s="288" t="s">
        <v>579</v>
      </c>
      <c r="C339" s="289">
        <v>0</v>
      </c>
      <c r="D339" s="289">
        <v>1</v>
      </c>
      <c r="E339" s="289">
        <v>2</v>
      </c>
      <c r="F339" s="289">
        <v>3</v>
      </c>
      <c r="G339" s="289">
        <v>4</v>
      </c>
      <c r="H339" s="335">
        <v>5</v>
      </c>
      <c r="I339" s="335">
        <v>6</v>
      </c>
      <c r="J339" s="335">
        <v>7</v>
      </c>
      <c r="K339" s="335">
        <v>8</v>
      </c>
    </row>
    <row r="340" spans="2:17" ht="16.2" thickBot="1" x14ac:dyDescent="0.35">
      <c r="B340" s="290" t="s">
        <v>413</v>
      </c>
      <c r="C340" s="291">
        <v>-100</v>
      </c>
      <c r="D340" s="291">
        <v>10</v>
      </c>
      <c r="E340" s="291">
        <v>10</v>
      </c>
      <c r="F340" s="291">
        <v>15</v>
      </c>
      <c r="G340" s="291">
        <v>15</v>
      </c>
      <c r="H340" s="336">
        <v>25</v>
      </c>
      <c r="I340" s="336">
        <v>25</v>
      </c>
      <c r="J340" s="336">
        <v>50</v>
      </c>
      <c r="K340" s="336">
        <v>50</v>
      </c>
    </row>
    <row r="342" spans="2:17" x14ac:dyDescent="0.3">
      <c r="B342" s="11" t="s">
        <v>722</v>
      </c>
      <c r="I342" s="393">
        <f>MIRR(C340:K340,10%/4,4%/4)*4</f>
        <v>0.37410194741163316</v>
      </c>
    </row>
    <row r="344" spans="2:17" x14ac:dyDescent="0.3">
      <c r="B344" s="11" t="s">
        <v>723</v>
      </c>
    </row>
    <row r="345" spans="2:17" x14ac:dyDescent="0.3">
      <c r="B345" s="10" t="s">
        <v>672</v>
      </c>
    </row>
    <row r="346" spans="2:17" x14ac:dyDescent="0.3">
      <c r="B346" s="10" t="s">
        <v>671</v>
      </c>
    </row>
    <row r="347" spans="2:17" ht="16.2" thickBot="1" x14ac:dyDescent="0.35">
      <c r="Q347" s="10" t="s">
        <v>173</v>
      </c>
    </row>
    <row r="348" spans="2:17" x14ac:dyDescent="0.3">
      <c r="B348" s="394" t="s">
        <v>579</v>
      </c>
      <c r="C348" s="395">
        <v>0</v>
      </c>
      <c r="D348" s="395">
        <v>1</v>
      </c>
      <c r="E348" s="395">
        <v>2</v>
      </c>
      <c r="F348" s="395">
        <v>3</v>
      </c>
      <c r="G348" s="395">
        <v>4</v>
      </c>
      <c r="H348" s="396">
        <v>5</v>
      </c>
      <c r="I348" s="396">
        <v>6</v>
      </c>
      <c r="J348" s="396">
        <v>7</v>
      </c>
      <c r="K348" s="396">
        <v>8</v>
      </c>
    </row>
    <row r="349" spans="2:17" x14ac:dyDescent="0.3">
      <c r="B349" s="323" t="s">
        <v>413</v>
      </c>
      <c r="C349" s="326">
        <v>-100</v>
      </c>
      <c r="D349" s="326">
        <v>10</v>
      </c>
      <c r="E349" s="326">
        <v>10</v>
      </c>
      <c r="F349" s="326">
        <v>15</v>
      </c>
      <c r="G349" s="326">
        <v>15</v>
      </c>
      <c r="H349" s="397">
        <v>25</v>
      </c>
      <c r="I349" s="397">
        <v>25</v>
      </c>
      <c r="J349" s="397">
        <v>50</v>
      </c>
      <c r="K349" s="397">
        <v>50</v>
      </c>
    </row>
    <row r="350" spans="2:17" x14ac:dyDescent="0.3">
      <c r="B350" s="398" t="s">
        <v>769</v>
      </c>
      <c r="C350" s="399"/>
      <c r="D350" s="401">
        <f t="shared" ref="D350:J350" si="14">D349*(1+4%/4)^(8-D348)</f>
        <v>10.721353521070098</v>
      </c>
      <c r="E350" s="401">
        <f t="shared" si="14"/>
        <v>10.615201506010001</v>
      </c>
      <c r="F350" s="401">
        <f t="shared" si="14"/>
        <v>15.765150751499998</v>
      </c>
      <c r="G350" s="401">
        <f t="shared" si="14"/>
        <v>15.609060150000001</v>
      </c>
      <c r="H350" s="401">
        <f t="shared" si="14"/>
        <v>25.757524999999998</v>
      </c>
      <c r="I350" s="401">
        <f t="shared" si="14"/>
        <v>25.502500000000001</v>
      </c>
      <c r="J350" s="398">
        <f t="shared" si="14"/>
        <v>50.5</v>
      </c>
      <c r="K350" s="398">
        <f>K349*(1+4%/4)^(8-K348)</f>
        <v>50</v>
      </c>
      <c r="L350" s="10">
        <f>SUM(D350:K350)</f>
        <v>204.4707909285801</v>
      </c>
    </row>
    <row r="351" spans="2:17" x14ac:dyDescent="0.3">
      <c r="B351" s="398" t="s">
        <v>770</v>
      </c>
      <c r="C351" s="400">
        <f>((L350/-(C349))^(1/8)-1)*4</f>
        <v>0.37410194741163316</v>
      </c>
      <c r="D351" s="333"/>
      <c r="E351" s="333"/>
      <c r="F351" s="333"/>
      <c r="G351" s="333"/>
      <c r="H351" s="333"/>
      <c r="I351" s="333"/>
      <c r="J351" s="333"/>
      <c r="K351" s="333"/>
    </row>
    <row r="353" spans="2:2" x14ac:dyDescent="0.3">
      <c r="B353" s="11" t="s">
        <v>764</v>
      </c>
    </row>
    <row r="354" spans="2:2" x14ac:dyDescent="0.3">
      <c r="B354" s="10" t="s">
        <v>673</v>
      </c>
    </row>
    <row r="355" spans="2:2" x14ac:dyDescent="0.3">
      <c r="B355" s="11" t="s">
        <v>765</v>
      </c>
    </row>
  </sheetData>
  <phoneticPr fontId="4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13C4-FAE6-4A69-9A6B-E5D0FA0F7B35}">
  <dimension ref="B2:N74"/>
  <sheetViews>
    <sheetView workbookViewId="0">
      <selection activeCell="L70" sqref="L70"/>
    </sheetView>
  </sheetViews>
  <sheetFormatPr defaultRowHeight="15.6" x14ac:dyDescent="0.3"/>
  <cols>
    <col min="1" max="1" width="8.88671875" style="11"/>
    <col min="2" max="2" width="32.5546875" style="11" customWidth="1"/>
    <col min="3" max="3" width="9.88671875" style="11" customWidth="1"/>
    <col min="4" max="5" width="8.88671875" style="11"/>
    <col min="6" max="6" width="9.44140625" style="11" bestFit="1" customWidth="1"/>
    <col min="7" max="16384" width="8.88671875" style="11"/>
  </cols>
  <sheetData>
    <row r="2" spans="2:10" ht="18" x14ac:dyDescent="0.35">
      <c r="B2" s="4" t="s">
        <v>724</v>
      </c>
    </row>
    <row r="4" spans="2:10" x14ac:dyDescent="0.3">
      <c r="B4" s="11" t="s">
        <v>740</v>
      </c>
    </row>
    <row r="5" spans="2:10" x14ac:dyDescent="0.3">
      <c r="B5" s="11" t="s">
        <v>738</v>
      </c>
    </row>
    <row r="6" spans="2:10" x14ac:dyDescent="0.3">
      <c r="B6" s="215" t="s">
        <v>725</v>
      </c>
    </row>
    <row r="7" spans="2:10" x14ac:dyDescent="0.3">
      <c r="B7" s="11" t="s">
        <v>726</v>
      </c>
    </row>
    <row r="8" spans="2:10" ht="16.2" thickBot="1" x14ac:dyDescent="0.35"/>
    <row r="9" spans="2:10" ht="16.2" thickBot="1" x14ac:dyDescent="0.35">
      <c r="B9" s="292" t="s">
        <v>86</v>
      </c>
      <c r="C9" s="369">
        <v>0</v>
      </c>
      <c r="D9" s="293">
        <v>1</v>
      </c>
      <c r="E9" s="293">
        <v>2</v>
      </c>
      <c r="F9" s="293">
        <v>3</v>
      </c>
      <c r="G9" s="293">
        <v>4</v>
      </c>
      <c r="H9" s="293">
        <v>5</v>
      </c>
      <c r="I9" s="287"/>
      <c r="J9" s="287"/>
    </row>
    <row r="10" spans="2:10" ht="16.2" thickBot="1" x14ac:dyDescent="0.35">
      <c r="B10" s="290" t="s">
        <v>414</v>
      </c>
      <c r="C10" s="373">
        <v>-1200</v>
      </c>
      <c r="D10" s="379">
        <v>100</v>
      </c>
      <c r="E10" s="380">
        <v>200</v>
      </c>
      <c r="F10" s="380">
        <v>300</v>
      </c>
      <c r="G10" s="380">
        <v>400</v>
      </c>
      <c r="H10" s="381">
        <v>500</v>
      </c>
      <c r="I10" s="287"/>
      <c r="J10" s="287"/>
    </row>
    <row r="11" spans="2:10" ht="16.2" thickBot="1" x14ac:dyDescent="0.35">
      <c r="B11" s="299" t="s">
        <v>415</v>
      </c>
      <c r="C11" s="370">
        <v>0.15</v>
      </c>
      <c r="D11" s="287"/>
      <c r="E11" s="287"/>
      <c r="F11" s="287"/>
      <c r="G11" s="287"/>
      <c r="H11" s="287"/>
      <c r="I11" s="287"/>
      <c r="J11" s="287"/>
    </row>
    <row r="12" spans="2:10" ht="16.2" thickBot="1" x14ac:dyDescent="0.35">
      <c r="B12" s="382" t="s">
        <v>417</v>
      </c>
      <c r="C12" s="383">
        <f>C10/(1+ $C$11/4)^C9</f>
        <v>-1200</v>
      </c>
      <c r="D12" s="366">
        <f t="shared" ref="D12:H12" si="0">D10/(1+ $C$11/4)^D9</f>
        <v>96.385542168674689</v>
      </c>
      <c r="E12" s="367">
        <f t="shared" si="0"/>
        <v>185.80345478298733</v>
      </c>
      <c r="F12" s="367">
        <f t="shared" si="0"/>
        <v>268.63150089106603</v>
      </c>
      <c r="G12" s="367">
        <f t="shared" si="0"/>
        <v>345.22923809293616</v>
      </c>
      <c r="H12" s="368">
        <f t="shared" si="0"/>
        <v>415.93884107582664</v>
      </c>
      <c r="J12" s="312" t="s">
        <v>737</v>
      </c>
    </row>
    <row r="13" spans="2:10" ht="16.2" thickBot="1" x14ac:dyDescent="0.35">
      <c r="B13" s="301" t="s">
        <v>418</v>
      </c>
      <c r="C13" s="371">
        <f>SUM(C12:H12)</f>
        <v>111.98857701149075</v>
      </c>
      <c r="D13" s="287"/>
      <c r="E13" s="314" t="s">
        <v>455</v>
      </c>
      <c r="F13" s="287"/>
      <c r="G13" s="287"/>
      <c r="H13" s="287"/>
      <c r="I13" s="287"/>
      <c r="J13" s="287"/>
    </row>
    <row r="14" spans="2:10" x14ac:dyDescent="0.3">
      <c r="C14" s="362"/>
    </row>
    <row r="15" spans="2:10" x14ac:dyDescent="0.3">
      <c r="B15" s="11" t="s">
        <v>739</v>
      </c>
      <c r="C15" s="362"/>
    </row>
    <row r="16" spans="2:10" x14ac:dyDescent="0.3">
      <c r="B16" s="10"/>
    </row>
    <row r="17" spans="2:11" x14ac:dyDescent="0.3">
      <c r="B17" s="11" t="s">
        <v>741</v>
      </c>
    </row>
    <row r="18" spans="2:11" x14ac:dyDescent="0.3">
      <c r="B18" s="11" t="s">
        <v>727</v>
      </c>
    </row>
    <row r="19" spans="2:11" x14ac:dyDescent="0.3">
      <c r="B19" s="358" t="s">
        <v>728</v>
      </c>
    </row>
    <row r="20" spans="2:11" x14ac:dyDescent="0.3">
      <c r="B20" s="358" t="s">
        <v>729</v>
      </c>
    </row>
    <row r="21" spans="2:11" ht="16.2" thickBot="1" x14ac:dyDescent="0.35"/>
    <row r="22" spans="2:11" ht="16.2" thickBot="1" x14ac:dyDescent="0.35">
      <c r="B22" s="292" t="s">
        <v>412</v>
      </c>
      <c r="C22" s="369">
        <v>0</v>
      </c>
      <c r="D22" s="293">
        <v>1</v>
      </c>
      <c r="E22" s="293">
        <v>2</v>
      </c>
      <c r="F22" s="293">
        <v>3</v>
      </c>
      <c r="G22" s="293">
        <v>4</v>
      </c>
      <c r="H22" s="293">
        <v>5</v>
      </c>
      <c r="I22" s="293">
        <v>6</v>
      </c>
    </row>
    <row r="23" spans="2:11" ht="16.2" thickBot="1" x14ac:dyDescent="0.35">
      <c r="B23" s="290" t="s">
        <v>414</v>
      </c>
      <c r="C23" s="373">
        <v>-1500</v>
      </c>
      <c r="D23" s="291">
        <v>100</v>
      </c>
      <c r="E23" s="291">
        <v>200</v>
      </c>
      <c r="F23" s="291">
        <v>300</v>
      </c>
      <c r="G23" s="291">
        <v>400</v>
      </c>
      <c r="H23" s="291">
        <v>500</v>
      </c>
      <c r="I23" s="291">
        <v>600</v>
      </c>
    </row>
    <row r="24" spans="2:11" ht="16.2" thickBot="1" x14ac:dyDescent="0.35">
      <c r="B24" s="290" t="s">
        <v>415</v>
      </c>
      <c r="C24" s="374"/>
      <c r="D24" s="315">
        <v>0.2</v>
      </c>
      <c r="E24" s="315">
        <v>0.2</v>
      </c>
      <c r="F24" s="315">
        <v>0.15</v>
      </c>
      <c r="G24" s="315">
        <v>0.15</v>
      </c>
      <c r="H24" s="315">
        <v>0.1</v>
      </c>
      <c r="I24" s="315">
        <v>0.1</v>
      </c>
    </row>
    <row r="25" spans="2:11" ht="16.2" thickBot="1" x14ac:dyDescent="0.35">
      <c r="B25" s="290" t="s">
        <v>416</v>
      </c>
      <c r="C25" s="375">
        <v>1</v>
      </c>
      <c r="D25" s="306">
        <f>C25/(1+D24)</f>
        <v>0.83333333333333337</v>
      </c>
      <c r="E25" s="306">
        <f t="shared" ref="E25:I25" si="1">D25/(1+E24)</f>
        <v>0.69444444444444453</v>
      </c>
      <c r="F25" s="306">
        <f t="shared" si="1"/>
        <v>0.60386473429951704</v>
      </c>
      <c r="G25" s="306">
        <f t="shared" si="1"/>
        <v>0.52509976895610178</v>
      </c>
      <c r="H25" s="306">
        <f t="shared" si="1"/>
        <v>0.47736342632372886</v>
      </c>
      <c r="I25" s="306">
        <f t="shared" si="1"/>
        <v>0.43396675120338984</v>
      </c>
      <c r="K25" s="312"/>
    </row>
    <row r="26" spans="2:11" ht="16.2" thickBot="1" x14ac:dyDescent="0.35">
      <c r="B26" s="311" t="s">
        <v>417</v>
      </c>
      <c r="C26" s="376">
        <f>C25*C23</f>
        <v>-1500</v>
      </c>
      <c r="D26" s="376">
        <f t="shared" ref="D26:I26" si="2">D25*D23</f>
        <v>83.333333333333343</v>
      </c>
      <c r="E26" s="376">
        <f t="shared" si="2"/>
        <v>138.88888888888891</v>
      </c>
      <c r="F26" s="376">
        <f t="shared" si="2"/>
        <v>181.15942028985512</v>
      </c>
      <c r="G26" s="376">
        <f t="shared" si="2"/>
        <v>210.03990758244072</v>
      </c>
      <c r="H26" s="376">
        <f t="shared" si="2"/>
        <v>238.68171316186442</v>
      </c>
      <c r="I26" s="376">
        <f t="shared" si="2"/>
        <v>260.3800507220339</v>
      </c>
      <c r="K26" s="312"/>
    </row>
    <row r="27" spans="2:11" ht="16.2" thickBot="1" x14ac:dyDescent="0.35">
      <c r="B27" s="372" t="s">
        <v>418</v>
      </c>
      <c r="C27" s="377">
        <f>SUM(C26:I26)</f>
        <v>-387.51668602158378</v>
      </c>
      <c r="D27" s="309"/>
      <c r="E27" s="314" t="s">
        <v>455</v>
      </c>
      <c r="F27" s="309"/>
      <c r="G27" s="309"/>
      <c r="H27" s="287"/>
      <c r="I27" s="287"/>
      <c r="J27" s="287"/>
    </row>
    <row r="29" spans="2:11" x14ac:dyDescent="0.3">
      <c r="B29" s="11" t="s">
        <v>742</v>
      </c>
    </row>
    <row r="30" spans="2:11" ht="16.2" thickBot="1" x14ac:dyDescent="0.35"/>
    <row r="31" spans="2:11" ht="16.2" thickBot="1" x14ac:dyDescent="0.35">
      <c r="B31" s="292" t="s">
        <v>412</v>
      </c>
      <c r="C31" s="369">
        <v>0</v>
      </c>
      <c r="D31" s="293">
        <v>1</v>
      </c>
      <c r="E31" s="293">
        <v>2</v>
      </c>
      <c r="F31" s="293">
        <v>3</v>
      </c>
      <c r="G31" s="293">
        <v>4</v>
      </c>
      <c r="H31" s="293">
        <v>5</v>
      </c>
      <c r="I31" s="293">
        <v>6</v>
      </c>
    </row>
    <row r="32" spans="2:11" ht="16.2" thickBot="1" x14ac:dyDescent="0.35">
      <c r="B32" s="290" t="s">
        <v>414</v>
      </c>
      <c r="C32" s="373">
        <v>-1500</v>
      </c>
      <c r="D32" s="291">
        <v>100</v>
      </c>
      <c r="E32" s="291">
        <v>200</v>
      </c>
      <c r="F32" s="291">
        <v>300</v>
      </c>
      <c r="G32" s="291">
        <v>400</v>
      </c>
      <c r="H32" s="291">
        <v>500</v>
      </c>
      <c r="I32" s="291">
        <v>600</v>
      </c>
    </row>
    <row r="33" spans="2:14" ht="16.2" thickBot="1" x14ac:dyDescent="0.35">
      <c r="B33" s="301" t="s">
        <v>437</v>
      </c>
      <c r="C33" s="378">
        <f>IRR(C32:I32)</f>
        <v>8.2523831241376966E-2</v>
      </c>
      <c r="D33" s="287"/>
      <c r="E33" s="316" t="s">
        <v>458</v>
      </c>
      <c r="F33" s="287"/>
      <c r="G33" s="287"/>
      <c r="H33" s="287"/>
      <c r="I33" s="287"/>
      <c r="J33" s="287"/>
    </row>
    <row r="35" spans="2:14" ht="18.600000000000001" customHeight="1" x14ac:dyDescent="0.3">
      <c r="B35" s="11" t="s">
        <v>743</v>
      </c>
    </row>
    <row r="37" spans="2:14" x14ac:dyDescent="0.3">
      <c r="B37" s="11" t="s">
        <v>730</v>
      </c>
    </row>
    <row r="38" spans="2:14" x14ac:dyDescent="0.3">
      <c r="B38" s="358" t="s">
        <v>731</v>
      </c>
    </row>
    <row r="39" spans="2:14" x14ac:dyDescent="0.3">
      <c r="B39" s="11" t="s">
        <v>732</v>
      </c>
    </row>
    <row r="40" spans="2:14" x14ac:dyDescent="0.3">
      <c r="B40" s="11" t="s">
        <v>668</v>
      </c>
    </row>
    <row r="41" spans="2:14" x14ac:dyDescent="0.3">
      <c r="B41" s="11" t="s">
        <v>733</v>
      </c>
    </row>
    <row r="42" spans="2:14" ht="16.2" thickBot="1" x14ac:dyDescent="0.35"/>
    <row r="43" spans="2:14" ht="16.2" thickBot="1" x14ac:dyDescent="0.35">
      <c r="B43" s="292" t="s">
        <v>86</v>
      </c>
      <c r="C43" s="369">
        <v>0</v>
      </c>
      <c r="D43" s="293">
        <v>1</v>
      </c>
      <c r="E43" s="293">
        <v>2</v>
      </c>
      <c r="F43" s="293">
        <v>3</v>
      </c>
      <c r="G43" s="293">
        <v>4</v>
      </c>
      <c r="H43" s="293">
        <v>5</v>
      </c>
      <c r="J43" s="11" t="s">
        <v>790</v>
      </c>
      <c r="K43" s="46">
        <f>NPV(C48,D44:H44)+C44</f>
        <v>318.62577692780496</v>
      </c>
    </row>
    <row r="44" spans="2:14" ht="16.2" thickBot="1" x14ac:dyDescent="0.35">
      <c r="B44" s="365" t="s">
        <v>414</v>
      </c>
      <c r="C44" s="363">
        <v>-1000</v>
      </c>
      <c r="D44" s="298">
        <v>100</v>
      </c>
      <c r="E44" s="298">
        <v>250</v>
      </c>
      <c r="F44" s="298">
        <v>450</v>
      </c>
      <c r="G44" s="298">
        <v>500</v>
      </c>
      <c r="H44" s="364">
        <v>550</v>
      </c>
      <c r="J44" s="11" t="s">
        <v>768</v>
      </c>
      <c r="K44" s="46">
        <f>1+K43/ABS(C44)</f>
        <v>1.3186257769278049</v>
      </c>
    </row>
    <row r="45" spans="2:14" ht="16.2" thickBot="1" x14ac:dyDescent="0.35">
      <c r="B45" s="290" t="s">
        <v>416</v>
      </c>
      <c r="C45" s="375">
        <v>1</v>
      </c>
      <c r="D45" s="305">
        <f>C45/(1+$C$48)</f>
        <v>0.90909090909090906</v>
      </c>
      <c r="E45" s="305">
        <f t="shared" ref="E45:H45" si="3">D45/(1+$C$48)</f>
        <v>0.82644628099173545</v>
      </c>
      <c r="F45" s="305">
        <f t="shared" si="3"/>
        <v>0.75131480090157765</v>
      </c>
      <c r="G45" s="305">
        <f t="shared" si="3"/>
        <v>0.68301345536507052</v>
      </c>
      <c r="H45" s="305">
        <f t="shared" si="3"/>
        <v>0.62092132305915493</v>
      </c>
      <c r="K45" s="46"/>
    </row>
    <row r="46" spans="2:14" ht="16.2" thickBot="1" x14ac:dyDescent="0.35">
      <c r="B46" s="382" t="s">
        <v>417</v>
      </c>
      <c r="C46" s="376">
        <f>C44/(1+$C$48)^C43</f>
        <v>-1000</v>
      </c>
      <c r="D46" s="376">
        <f t="shared" ref="D46:H46" si="4">D44/(1+$C$48)^D43</f>
        <v>90.909090909090907</v>
      </c>
      <c r="E46" s="376">
        <f t="shared" si="4"/>
        <v>206.61157024793386</v>
      </c>
      <c r="F46" s="376">
        <f t="shared" si="4"/>
        <v>338.09166040570989</v>
      </c>
      <c r="G46" s="376">
        <f t="shared" si="4"/>
        <v>341.50672768253526</v>
      </c>
      <c r="H46" s="376">
        <f t="shared" si="4"/>
        <v>341.50672768253526</v>
      </c>
      <c r="I46" s="312"/>
      <c r="N46" s="46"/>
    </row>
    <row r="47" spans="2:14" ht="16.2" thickBot="1" x14ac:dyDescent="0.35">
      <c r="B47" s="301" t="s">
        <v>418</v>
      </c>
      <c r="C47" s="402">
        <f>SUM(C46:H46)</f>
        <v>318.62577692780513</v>
      </c>
      <c r="D47" s="287"/>
      <c r="E47" s="314"/>
      <c r="F47" s="287"/>
      <c r="G47" s="287"/>
      <c r="H47" s="287"/>
      <c r="I47" s="287"/>
      <c r="J47" s="287"/>
      <c r="N47" s="46"/>
    </row>
    <row r="48" spans="2:14" ht="16.2" thickBot="1" x14ac:dyDescent="0.35">
      <c r="B48" s="403" t="s">
        <v>415</v>
      </c>
      <c r="C48" s="404">
        <v>0.1</v>
      </c>
      <c r="D48" s="287"/>
      <c r="E48" s="287"/>
      <c r="F48" s="287"/>
      <c r="G48" s="287"/>
      <c r="H48" s="287"/>
    </row>
    <row r="49" spans="2:11" ht="16.2" thickBot="1" x14ac:dyDescent="0.35">
      <c r="B49" s="365" t="s">
        <v>414</v>
      </c>
      <c r="C49" s="363">
        <v>-1000</v>
      </c>
      <c r="D49" s="298">
        <v>200</v>
      </c>
      <c r="E49" s="298">
        <v>300</v>
      </c>
      <c r="F49" s="298">
        <v>400</v>
      </c>
      <c r="G49" s="298">
        <v>450</v>
      </c>
      <c r="H49" s="364">
        <v>500</v>
      </c>
      <c r="J49" s="11" t="s">
        <v>791</v>
      </c>
      <c r="K49" s="46">
        <f>NPV(C48,D49:H49)+C49</f>
        <v>348.09470292019273</v>
      </c>
    </row>
    <row r="50" spans="2:11" ht="16.2" thickBot="1" x14ac:dyDescent="0.35">
      <c r="B50" s="290" t="s">
        <v>416</v>
      </c>
      <c r="C50" s="375">
        <v>1</v>
      </c>
      <c r="D50" s="305">
        <f>C50/(1+$C$48)</f>
        <v>0.90909090909090906</v>
      </c>
      <c r="E50" s="305">
        <f t="shared" ref="E50:H50" si="5">D50/(1+$C$48)</f>
        <v>0.82644628099173545</v>
      </c>
      <c r="F50" s="305">
        <f t="shared" si="5"/>
        <v>0.75131480090157765</v>
      </c>
      <c r="G50" s="305">
        <f t="shared" si="5"/>
        <v>0.68301345536507052</v>
      </c>
      <c r="H50" s="305">
        <f t="shared" si="5"/>
        <v>0.62092132305915493</v>
      </c>
      <c r="J50" s="11" t="s">
        <v>768</v>
      </c>
      <c r="K50" s="46">
        <f>1+K49/ABS(C49)</f>
        <v>1.3480947029201928</v>
      </c>
    </row>
    <row r="51" spans="2:11" ht="16.2" thickBot="1" x14ac:dyDescent="0.35">
      <c r="B51" s="382" t="s">
        <v>417</v>
      </c>
      <c r="C51" s="376">
        <f>C49/(1+$C$48)^C43</f>
        <v>-1000</v>
      </c>
      <c r="D51" s="376">
        <f t="shared" ref="D51:H51" si="6">D49/(1+$C$48)^D43</f>
        <v>181.81818181818181</v>
      </c>
      <c r="E51" s="376">
        <f t="shared" si="6"/>
        <v>247.93388429752062</v>
      </c>
      <c r="F51" s="376">
        <f t="shared" si="6"/>
        <v>300.52592036063101</v>
      </c>
      <c r="G51" s="376">
        <f t="shared" si="6"/>
        <v>307.35605491428174</v>
      </c>
      <c r="H51" s="376">
        <f t="shared" si="6"/>
        <v>310.46066152957746</v>
      </c>
      <c r="I51" s="312"/>
    </row>
    <row r="52" spans="2:11" ht="16.2" thickBot="1" x14ac:dyDescent="0.35">
      <c r="B52" s="301" t="s">
        <v>418</v>
      </c>
      <c r="C52" s="402">
        <f>SUM(C51:H51)</f>
        <v>348.09470292019262</v>
      </c>
      <c r="D52" s="287"/>
      <c r="E52" s="314"/>
      <c r="F52" s="287"/>
      <c r="G52" s="287"/>
      <c r="H52" s="287"/>
      <c r="I52" s="287"/>
      <c r="K52" s="46"/>
    </row>
    <row r="53" spans="2:11" x14ac:dyDescent="0.3">
      <c r="B53" s="314"/>
      <c r="C53" s="314"/>
      <c r="D53" s="287"/>
      <c r="E53" s="314"/>
      <c r="F53" s="287"/>
      <c r="G53" s="287"/>
      <c r="H53" s="287"/>
      <c r="I53" s="287"/>
      <c r="K53" s="46"/>
    </row>
    <row r="54" spans="2:11" x14ac:dyDescent="0.3">
      <c r="B54" s="11" t="s">
        <v>792</v>
      </c>
      <c r="C54" s="360"/>
      <c r="D54" s="360"/>
      <c r="E54" s="360"/>
      <c r="F54" s="360"/>
      <c r="G54" s="360"/>
      <c r="H54" s="361"/>
    </row>
    <row r="55" spans="2:11" x14ac:dyDescent="0.3">
      <c r="B55" s="359"/>
      <c r="C55" s="360"/>
      <c r="D55" s="360"/>
      <c r="E55" s="360"/>
      <c r="F55" s="360"/>
      <c r="G55" s="360"/>
      <c r="H55" s="361"/>
    </row>
    <row r="56" spans="2:11" x14ac:dyDescent="0.3">
      <c r="B56" s="11" t="s">
        <v>744</v>
      </c>
    </row>
    <row r="57" spans="2:11" x14ac:dyDescent="0.3">
      <c r="B57" s="11" t="s">
        <v>730</v>
      </c>
    </row>
    <row r="58" spans="2:11" x14ac:dyDescent="0.3">
      <c r="B58" s="11" t="s">
        <v>731</v>
      </c>
    </row>
    <row r="59" spans="2:11" x14ac:dyDescent="0.3">
      <c r="B59" s="11" t="s">
        <v>732</v>
      </c>
    </row>
    <row r="60" spans="2:11" x14ac:dyDescent="0.3">
      <c r="B60" s="11" t="s">
        <v>734</v>
      </c>
    </row>
    <row r="61" spans="2:11" x14ac:dyDescent="0.3">
      <c r="B61" s="11" t="s">
        <v>735</v>
      </c>
    </row>
    <row r="62" spans="2:11" ht="16.2" thickBot="1" x14ac:dyDescent="0.35"/>
    <row r="63" spans="2:11" ht="16.2" thickBot="1" x14ac:dyDescent="0.35">
      <c r="B63" s="292" t="s">
        <v>86</v>
      </c>
      <c r="C63" s="369">
        <v>0</v>
      </c>
      <c r="D63" s="293">
        <v>1</v>
      </c>
      <c r="E63" s="293">
        <v>2</v>
      </c>
      <c r="F63" s="293">
        <v>3</v>
      </c>
      <c r="G63" s="293">
        <v>4</v>
      </c>
      <c r="H63" s="293">
        <v>5</v>
      </c>
    </row>
    <row r="64" spans="2:11" ht="16.2" thickBot="1" x14ac:dyDescent="0.35">
      <c r="B64" s="365" t="s">
        <v>414</v>
      </c>
      <c r="C64" s="363">
        <v>-1000</v>
      </c>
      <c r="D64" s="298">
        <v>100</v>
      </c>
      <c r="E64" s="298">
        <v>250</v>
      </c>
      <c r="F64" s="298">
        <v>450</v>
      </c>
      <c r="G64" s="298">
        <v>500</v>
      </c>
      <c r="H64" s="364">
        <v>550</v>
      </c>
    </row>
    <row r="65" spans="2:8" ht="16.2" thickBot="1" x14ac:dyDescent="0.35">
      <c r="B65" s="290" t="s">
        <v>416</v>
      </c>
      <c r="C65" s="375">
        <v>1</v>
      </c>
      <c r="D65" s="305">
        <f>C65/(1+$C$48)</f>
        <v>0.90909090909090906</v>
      </c>
      <c r="E65" s="305">
        <f t="shared" ref="E65:H65" si="7">D65/(1+$C$48)</f>
        <v>0.82644628099173545</v>
      </c>
      <c r="F65" s="305">
        <f t="shared" si="7"/>
        <v>0.75131480090157765</v>
      </c>
      <c r="G65" s="305">
        <f t="shared" si="7"/>
        <v>0.68301345536507052</v>
      </c>
      <c r="H65" s="305">
        <f t="shared" si="7"/>
        <v>0.62092132305915493</v>
      </c>
    </row>
    <row r="66" spans="2:8" ht="16.2" thickBot="1" x14ac:dyDescent="0.35">
      <c r="B66" s="382" t="s">
        <v>417</v>
      </c>
      <c r="C66" s="376">
        <f>C64</f>
        <v>-1000</v>
      </c>
      <c r="D66" s="376">
        <f t="shared" ref="D66:H66" si="8">D64/(1+$C$48)^D63</f>
        <v>90.909090909090907</v>
      </c>
      <c r="E66" s="376">
        <f t="shared" si="8"/>
        <v>206.61157024793386</v>
      </c>
      <c r="F66" s="376">
        <f t="shared" si="8"/>
        <v>338.09166040570989</v>
      </c>
      <c r="G66" s="376">
        <f t="shared" si="8"/>
        <v>341.50672768253526</v>
      </c>
      <c r="H66" s="376">
        <f t="shared" si="8"/>
        <v>341.50672768253526</v>
      </c>
    </row>
    <row r="67" spans="2:8" ht="16.2" thickBot="1" x14ac:dyDescent="0.35">
      <c r="B67" s="301" t="s">
        <v>794</v>
      </c>
      <c r="C67" s="429">
        <f>C64</f>
        <v>-1000</v>
      </c>
      <c r="D67" s="430">
        <f>C67+D66</f>
        <v>-909.09090909090912</v>
      </c>
      <c r="E67" s="430">
        <f t="shared" ref="E67:H67" si="9">D67+E66</f>
        <v>-702.47933884297527</v>
      </c>
      <c r="F67" s="430">
        <f t="shared" si="9"/>
        <v>-364.38767843726538</v>
      </c>
      <c r="G67" s="430">
        <f t="shared" si="9"/>
        <v>-22.880950754730122</v>
      </c>
      <c r="H67" s="430">
        <f t="shared" si="9"/>
        <v>318.62577692780513</v>
      </c>
    </row>
    <row r="68" spans="2:8" ht="16.2" thickBot="1" x14ac:dyDescent="0.35">
      <c r="B68" s="403" t="s">
        <v>415</v>
      </c>
      <c r="C68" s="404">
        <v>0.1</v>
      </c>
      <c r="D68" s="287"/>
      <c r="E68" s="287"/>
      <c r="F68" s="287"/>
      <c r="G68" s="287"/>
      <c r="H68" s="287"/>
    </row>
    <row r="69" spans="2:8" ht="16.2" thickBot="1" x14ac:dyDescent="0.35">
      <c r="B69" s="365" t="s">
        <v>414</v>
      </c>
      <c r="C69" s="363">
        <v>-1000</v>
      </c>
      <c r="D69" s="298">
        <v>200</v>
      </c>
      <c r="E69" s="298">
        <v>300</v>
      </c>
      <c r="F69" s="298">
        <v>400</v>
      </c>
      <c r="G69" s="298">
        <v>450</v>
      </c>
      <c r="H69" s="364">
        <v>500</v>
      </c>
    </row>
    <row r="70" spans="2:8" ht="16.2" thickBot="1" x14ac:dyDescent="0.35">
      <c r="B70" s="290" t="s">
        <v>416</v>
      </c>
      <c r="C70" s="375">
        <v>1</v>
      </c>
      <c r="D70" s="305">
        <f>C70/(1+$C$48)</f>
        <v>0.90909090909090906</v>
      </c>
      <c r="E70" s="305">
        <f t="shared" ref="E70:H70" si="10">D70/(1+$C$48)</f>
        <v>0.82644628099173545</v>
      </c>
      <c r="F70" s="305">
        <f t="shared" si="10"/>
        <v>0.75131480090157765</v>
      </c>
      <c r="G70" s="305">
        <f t="shared" si="10"/>
        <v>0.68301345536507052</v>
      </c>
      <c r="H70" s="305">
        <f t="shared" si="10"/>
        <v>0.62092132305915493</v>
      </c>
    </row>
    <row r="71" spans="2:8" ht="16.2" thickBot="1" x14ac:dyDescent="0.35">
      <c r="B71" s="382" t="s">
        <v>417</v>
      </c>
      <c r="C71" s="376">
        <f>C69</f>
        <v>-1000</v>
      </c>
      <c r="D71" s="376">
        <f t="shared" ref="D71:H71" si="11">D69/(1+$C$48)^D63</f>
        <v>181.81818181818181</v>
      </c>
      <c r="E71" s="376">
        <f t="shared" si="11"/>
        <v>247.93388429752062</v>
      </c>
      <c r="F71" s="376">
        <f t="shared" si="11"/>
        <v>300.52592036063101</v>
      </c>
      <c r="G71" s="376">
        <f t="shared" si="11"/>
        <v>307.35605491428174</v>
      </c>
      <c r="H71" s="376">
        <f t="shared" si="11"/>
        <v>310.46066152957746</v>
      </c>
    </row>
    <row r="72" spans="2:8" ht="16.2" thickBot="1" x14ac:dyDescent="0.35">
      <c r="B72" s="301" t="s">
        <v>795</v>
      </c>
      <c r="C72" s="429">
        <f>C69</f>
        <v>-1000</v>
      </c>
      <c r="D72" s="430">
        <f>C72+D71</f>
        <v>-818.18181818181824</v>
      </c>
      <c r="E72" s="430">
        <f t="shared" ref="E72:H72" si="12">D72+E71</f>
        <v>-570.24793388429759</v>
      </c>
      <c r="F72" s="430">
        <f t="shared" si="12"/>
        <v>-269.72201352366659</v>
      </c>
      <c r="G72" s="431">
        <f t="shared" si="12"/>
        <v>37.634041390615153</v>
      </c>
      <c r="H72" s="430">
        <f t="shared" si="12"/>
        <v>348.09470292019262</v>
      </c>
    </row>
    <row r="74" spans="2:8" x14ac:dyDescent="0.3">
      <c r="B74" s="11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ECD0-D45F-4BF3-B789-BEF9BCC616EB}">
  <dimension ref="B2:R221"/>
  <sheetViews>
    <sheetView topLeftCell="A205" zoomScale="115" zoomScaleNormal="115" workbookViewId="0">
      <selection activeCell="F175" sqref="F175"/>
    </sheetView>
  </sheetViews>
  <sheetFormatPr defaultRowHeight="15.6" x14ac:dyDescent="0.3"/>
  <cols>
    <col min="1" max="1" width="8.88671875" style="11"/>
    <col min="2" max="2" width="13.88671875" style="11" customWidth="1"/>
    <col min="3" max="3" width="6.33203125" style="11" customWidth="1"/>
    <col min="4" max="4" width="10.21875" style="11" customWidth="1"/>
    <col min="5" max="5" width="4.44140625" style="11" customWidth="1"/>
    <col min="6" max="6" width="21.5546875" style="11" customWidth="1"/>
    <col min="7" max="7" width="7.21875" style="11" customWidth="1"/>
    <col min="8" max="18" width="4.44140625" style="11" customWidth="1"/>
    <col min="19" max="16384" width="8.88671875" style="11"/>
  </cols>
  <sheetData>
    <row r="2" spans="2:6" ht="18" x14ac:dyDescent="0.3">
      <c r="C2" s="331" t="s">
        <v>464</v>
      </c>
    </row>
    <row r="4" spans="2:6" x14ac:dyDescent="0.3">
      <c r="B4" s="11" t="s">
        <v>476</v>
      </c>
    </row>
    <row r="6" spans="2:6" x14ac:dyDescent="0.3">
      <c r="B6" s="11" t="s">
        <v>477</v>
      </c>
    </row>
    <row r="8" spans="2:6" x14ac:dyDescent="0.3">
      <c r="B8" s="11" t="s">
        <v>478</v>
      </c>
    </row>
    <row r="10" spans="2:6" x14ac:dyDescent="0.3">
      <c r="B10" s="11" t="s">
        <v>796</v>
      </c>
    </row>
    <row r="11" spans="2:6" x14ac:dyDescent="0.3">
      <c r="B11" s="11" t="s">
        <v>797</v>
      </c>
    </row>
    <row r="13" spans="2:6" x14ac:dyDescent="0.3">
      <c r="B13" s="11" t="s">
        <v>479</v>
      </c>
    </row>
    <row r="14" spans="2:6" x14ac:dyDescent="0.3">
      <c r="B14" s="11" t="s">
        <v>465</v>
      </c>
    </row>
    <row r="16" spans="2:6" x14ac:dyDescent="0.3">
      <c r="B16" s="11" t="s">
        <v>471</v>
      </c>
      <c r="F16" s="11" t="s">
        <v>472</v>
      </c>
    </row>
    <row r="17" spans="2:6" x14ac:dyDescent="0.3">
      <c r="F17" s="11" t="s">
        <v>473</v>
      </c>
    </row>
    <row r="18" spans="2:6" x14ac:dyDescent="0.3">
      <c r="F18" s="11" t="s">
        <v>474</v>
      </c>
    </row>
    <row r="20" spans="2:6" x14ac:dyDescent="0.3">
      <c r="B20" s="11" t="s">
        <v>800</v>
      </c>
    </row>
    <row r="21" spans="2:6" x14ac:dyDescent="0.3">
      <c r="B21" s="11" t="s">
        <v>798</v>
      </c>
    </row>
    <row r="22" spans="2:6" x14ac:dyDescent="0.3">
      <c r="B22" s="11" t="s">
        <v>799</v>
      </c>
    </row>
    <row r="24" spans="2:6" x14ac:dyDescent="0.3">
      <c r="B24" s="11" t="s">
        <v>801</v>
      </c>
    </row>
    <row r="26" spans="2:6" x14ac:dyDescent="0.3">
      <c r="B26" s="11" t="s">
        <v>802</v>
      </c>
    </row>
    <row r="27" spans="2:6" x14ac:dyDescent="0.3">
      <c r="B27" s="11" t="s">
        <v>803</v>
      </c>
    </row>
    <row r="28" spans="2:6" x14ac:dyDescent="0.3">
      <c r="B28" s="11" t="s">
        <v>804</v>
      </c>
    </row>
    <row r="30" spans="2:6" x14ac:dyDescent="0.3">
      <c r="B30" s="11" t="s">
        <v>805</v>
      </c>
    </row>
    <row r="31" spans="2:6" x14ac:dyDescent="0.3">
      <c r="B31" s="11" t="s">
        <v>806</v>
      </c>
    </row>
    <row r="33" spans="2:2" x14ac:dyDescent="0.3">
      <c r="B33" s="11" t="s">
        <v>807</v>
      </c>
    </row>
    <row r="35" spans="2:2" x14ac:dyDescent="0.3">
      <c r="B35" s="11" t="s">
        <v>480</v>
      </c>
    </row>
    <row r="37" spans="2:2" x14ac:dyDescent="0.3">
      <c r="B37" s="11" t="s">
        <v>808</v>
      </c>
    </row>
    <row r="38" spans="2:2" x14ac:dyDescent="0.3">
      <c r="B38" s="11" t="s">
        <v>475</v>
      </c>
    </row>
    <row r="40" spans="2:2" x14ac:dyDescent="0.3">
      <c r="B40" s="11" t="s">
        <v>496</v>
      </c>
    </row>
    <row r="41" spans="2:2" x14ac:dyDescent="0.3">
      <c r="B41" s="11" t="s">
        <v>494</v>
      </c>
    </row>
    <row r="42" spans="2:2" x14ac:dyDescent="0.3">
      <c r="B42" s="11" t="s">
        <v>495</v>
      </c>
    </row>
    <row r="44" spans="2:2" x14ac:dyDescent="0.3">
      <c r="B44" s="11" t="s">
        <v>498</v>
      </c>
    </row>
    <row r="45" spans="2:2" x14ac:dyDescent="0.3">
      <c r="B45" s="11" t="s">
        <v>497</v>
      </c>
    </row>
    <row r="47" spans="2:2" x14ac:dyDescent="0.3">
      <c r="B47" s="11" t="s">
        <v>812</v>
      </c>
    </row>
    <row r="49" spans="2:2" x14ac:dyDescent="0.3">
      <c r="B49" s="11" t="s">
        <v>809</v>
      </c>
    </row>
    <row r="51" spans="2:2" x14ac:dyDescent="0.3">
      <c r="B51" s="11" t="s">
        <v>810</v>
      </c>
    </row>
    <row r="53" spans="2:2" x14ac:dyDescent="0.3">
      <c r="B53" s="11" t="s">
        <v>811</v>
      </c>
    </row>
    <row r="55" spans="2:2" x14ac:dyDescent="0.3">
      <c r="B55" s="11" t="s">
        <v>500</v>
      </c>
    </row>
    <row r="56" spans="2:2" x14ac:dyDescent="0.3">
      <c r="B56" s="11" t="s">
        <v>499</v>
      </c>
    </row>
    <row r="58" spans="2:2" x14ac:dyDescent="0.3">
      <c r="B58" s="11" t="s">
        <v>504</v>
      </c>
    </row>
    <row r="59" spans="2:2" x14ac:dyDescent="0.3">
      <c r="B59" s="11" t="s">
        <v>501</v>
      </c>
    </row>
    <row r="60" spans="2:2" x14ac:dyDescent="0.3">
      <c r="B60" s="11" t="s">
        <v>502</v>
      </c>
    </row>
    <row r="61" spans="2:2" x14ac:dyDescent="0.3">
      <c r="B61" s="11" t="s">
        <v>503</v>
      </c>
    </row>
    <row r="63" spans="2:2" x14ac:dyDescent="0.3">
      <c r="B63" s="11" t="s">
        <v>507</v>
      </c>
    </row>
    <row r="64" spans="2:2" x14ac:dyDescent="0.3">
      <c r="B64" s="11" t="s">
        <v>505</v>
      </c>
    </row>
    <row r="65" spans="2:18" x14ac:dyDescent="0.3">
      <c r="B65" s="11" t="s">
        <v>506</v>
      </c>
    </row>
    <row r="67" spans="2:18" s="44" customFormat="1" ht="13.8" x14ac:dyDescent="0.3">
      <c r="B67" s="44" t="s">
        <v>786</v>
      </c>
      <c r="C67" s="44">
        <v>1</v>
      </c>
    </row>
    <row r="68" spans="2:18" s="44" customFormat="1" ht="13.8" x14ac:dyDescent="0.3">
      <c r="B68" s="44" t="s">
        <v>817</v>
      </c>
      <c r="C68" s="44">
        <v>0.7</v>
      </c>
    </row>
    <row r="69" spans="2:18" s="44" customFormat="1" ht="13.8" x14ac:dyDescent="0.3">
      <c r="B69" s="44" t="s">
        <v>818</v>
      </c>
      <c r="C69" s="44">
        <v>10</v>
      </c>
    </row>
    <row r="70" spans="2:18" s="44" customFormat="1" ht="13.8" x14ac:dyDescent="0.3"/>
    <row r="71" spans="2:18" s="44" customFormat="1" ht="13.8" x14ac:dyDescent="0.3">
      <c r="B71" s="44" t="s">
        <v>813</v>
      </c>
      <c r="C71" s="44">
        <v>5</v>
      </c>
      <c r="D71" s="44">
        <v>6</v>
      </c>
      <c r="E71" s="44">
        <v>7</v>
      </c>
      <c r="F71" s="44">
        <v>8</v>
      </c>
      <c r="G71" s="44">
        <v>9</v>
      </c>
      <c r="H71" s="44">
        <v>10</v>
      </c>
      <c r="I71" s="44">
        <v>11</v>
      </c>
      <c r="J71" s="44">
        <v>12</v>
      </c>
      <c r="K71" s="44">
        <v>13</v>
      </c>
      <c r="L71" s="44">
        <v>14</v>
      </c>
      <c r="M71" s="44">
        <v>15</v>
      </c>
      <c r="N71" s="44">
        <v>16</v>
      </c>
      <c r="O71" s="44">
        <v>17</v>
      </c>
      <c r="P71" s="44">
        <v>18</v>
      </c>
      <c r="Q71" s="44">
        <v>19</v>
      </c>
      <c r="R71" s="44">
        <v>20</v>
      </c>
    </row>
    <row r="72" spans="2:18" s="44" customFormat="1" ht="13.8" x14ac:dyDescent="0.3">
      <c r="B72" s="44" t="s">
        <v>814</v>
      </c>
      <c r="C72" s="432">
        <v>0.01</v>
      </c>
      <c r="D72" s="432">
        <v>0.02</v>
      </c>
      <c r="E72" s="432">
        <v>0.04</v>
      </c>
      <c r="F72" s="432">
        <v>0.06</v>
      </c>
      <c r="G72" s="432">
        <v>0.08</v>
      </c>
      <c r="H72" s="432">
        <v>0.1</v>
      </c>
      <c r="I72" s="432">
        <v>0.11</v>
      </c>
      <c r="J72" s="432">
        <v>0.12</v>
      </c>
      <c r="K72" s="432">
        <v>0.12</v>
      </c>
      <c r="L72" s="432">
        <v>0.1</v>
      </c>
      <c r="M72" s="432">
        <v>0.09</v>
      </c>
      <c r="N72" s="432">
        <v>0.06</v>
      </c>
      <c r="O72" s="432">
        <v>0.04</v>
      </c>
      <c r="P72" s="432">
        <v>0.02</v>
      </c>
      <c r="Q72" s="432">
        <v>0.02</v>
      </c>
      <c r="R72" s="432">
        <v>0.01</v>
      </c>
    </row>
    <row r="73" spans="2:18" s="44" customFormat="1" ht="13.8" x14ac:dyDescent="0.3">
      <c r="D73" s="432"/>
    </row>
    <row r="74" spans="2:18" s="44" customFormat="1" ht="13.8" x14ac:dyDescent="0.3">
      <c r="B74" s="44" t="s">
        <v>815</v>
      </c>
      <c r="C74" s="44">
        <f>MIN(C71,$C$69)*$C$67-$C$69*$C$68</f>
        <v>-2</v>
      </c>
      <c r="D74" s="44">
        <f t="shared" ref="D74:R74" si="0">MIN(D71,$C$69)*$C$67-$C$69*$C$68</f>
        <v>-1</v>
      </c>
      <c r="E74" s="44">
        <f t="shared" si="0"/>
        <v>0</v>
      </c>
      <c r="F74" s="44">
        <f t="shared" si="0"/>
        <v>1</v>
      </c>
      <c r="G74" s="44">
        <f t="shared" si="0"/>
        <v>2</v>
      </c>
      <c r="H74" s="44">
        <f t="shared" si="0"/>
        <v>3</v>
      </c>
      <c r="I74" s="44">
        <f t="shared" si="0"/>
        <v>3</v>
      </c>
      <c r="J74" s="44">
        <f t="shared" si="0"/>
        <v>3</v>
      </c>
      <c r="K74" s="44">
        <f t="shared" si="0"/>
        <v>3</v>
      </c>
      <c r="L74" s="44">
        <f t="shared" si="0"/>
        <v>3</v>
      </c>
      <c r="M74" s="44">
        <f t="shared" si="0"/>
        <v>3</v>
      </c>
      <c r="N74" s="44">
        <f t="shared" si="0"/>
        <v>3</v>
      </c>
      <c r="O74" s="44">
        <f t="shared" si="0"/>
        <v>3</v>
      </c>
      <c r="P74" s="44">
        <f t="shared" si="0"/>
        <v>3</v>
      </c>
      <c r="Q74" s="44">
        <f t="shared" si="0"/>
        <v>3</v>
      </c>
      <c r="R74" s="44">
        <f t="shared" si="0"/>
        <v>3</v>
      </c>
    </row>
    <row r="75" spans="2:18" s="44" customFormat="1" ht="13.8" x14ac:dyDescent="0.3">
      <c r="D75" s="432"/>
    </row>
    <row r="76" spans="2:18" s="44" customFormat="1" ht="13.8" x14ac:dyDescent="0.3">
      <c r="B76" s="44" t="s">
        <v>816</v>
      </c>
      <c r="C76" s="434">
        <v>5</v>
      </c>
      <c r="D76" s="434">
        <v>6</v>
      </c>
      <c r="E76" s="434">
        <v>7</v>
      </c>
      <c r="F76" s="434">
        <v>8</v>
      </c>
      <c r="G76" s="434">
        <v>9</v>
      </c>
      <c r="H76" s="434">
        <v>10</v>
      </c>
      <c r="I76" s="434">
        <v>11</v>
      </c>
      <c r="J76" s="434">
        <v>12</v>
      </c>
      <c r="K76" s="434">
        <v>13</v>
      </c>
      <c r="L76" s="434">
        <v>14</v>
      </c>
      <c r="M76" s="434">
        <v>15</v>
      </c>
      <c r="N76" s="434">
        <v>16</v>
      </c>
      <c r="O76" s="434">
        <v>17</v>
      </c>
      <c r="P76" s="434">
        <v>18</v>
      </c>
      <c r="Q76" s="434">
        <v>19</v>
      </c>
      <c r="R76" s="434">
        <v>20</v>
      </c>
    </row>
    <row r="77" spans="2:18" s="44" customFormat="1" ht="13.8" x14ac:dyDescent="0.3">
      <c r="B77" s="61">
        <f>SUMPRODUCT(C72:R72,C74:R74)</f>
        <v>2.5499999999999998</v>
      </c>
      <c r="C77" s="433">
        <v>1.5</v>
      </c>
      <c r="D77" s="433">
        <v>1.79</v>
      </c>
      <c r="E77" s="433">
        <v>2.06</v>
      </c>
      <c r="F77" s="433">
        <v>2.29</v>
      </c>
      <c r="G77" s="433">
        <v>2.46</v>
      </c>
      <c r="H77" s="433">
        <v>2.5499999999999998</v>
      </c>
      <c r="I77" s="433">
        <v>2.54</v>
      </c>
      <c r="J77" s="433">
        <v>2.42</v>
      </c>
      <c r="K77" s="433">
        <v>2.1800000000000002</v>
      </c>
      <c r="L77" s="433">
        <v>1.82</v>
      </c>
      <c r="M77" s="433">
        <v>1.36</v>
      </c>
      <c r="N77" s="433">
        <v>0.81</v>
      </c>
      <c r="O77" s="433">
        <v>0.2</v>
      </c>
      <c r="P77" s="433">
        <v>-0.5</v>
      </c>
      <c r="Q77" s="433">
        <v>-1.1000000000000001</v>
      </c>
      <c r="R77" s="433">
        <v>-1.8</v>
      </c>
    </row>
    <row r="78" spans="2:18" x14ac:dyDescent="0.3">
      <c r="D78" s="241"/>
    </row>
    <row r="79" spans="2:18" x14ac:dyDescent="0.3">
      <c r="B79" s="11" t="s">
        <v>508</v>
      </c>
    </row>
    <row r="81" spans="2:2" x14ac:dyDescent="0.3">
      <c r="B81" s="11" t="s">
        <v>511</v>
      </c>
    </row>
    <row r="82" spans="2:2" x14ac:dyDescent="0.3">
      <c r="B82" s="11" t="s">
        <v>509</v>
      </c>
    </row>
    <row r="83" spans="2:2" x14ac:dyDescent="0.3">
      <c r="B83" s="11" t="s">
        <v>510</v>
      </c>
    </row>
    <row r="84" spans="2:2" x14ac:dyDescent="0.3">
      <c r="B84" s="11" t="s">
        <v>512</v>
      </c>
    </row>
    <row r="86" spans="2:2" x14ac:dyDescent="0.3">
      <c r="B86" s="11" t="s">
        <v>481</v>
      </c>
    </row>
    <row r="87" spans="2:2" x14ac:dyDescent="0.3">
      <c r="B87" s="11" t="s">
        <v>466</v>
      </c>
    </row>
    <row r="89" spans="2:2" x14ac:dyDescent="0.3">
      <c r="B89" s="11" t="s">
        <v>514</v>
      </c>
    </row>
    <row r="90" spans="2:2" x14ac:dyDescent="0.3">
      <c r="B90" s="11" t="s">
        <v>513</v>
      </c>
    </row>
    <row r="92" spans="2:2" x14ac:dyDescent="0.3">
      <c r="B92" s="11" t="s">
        <v>515</v>
      </c>
    </row>
    <row r="93" spans="2:2" x14ac:dyDescent="0.3">
      <c r="B93" s="11" t="s">
        <v>516</v>
      </c>
    </row>
    <row r="94" spans="2:2" x14ac:dyDescent="0.3">
      <c r="B94" s="11" t="s">
        <v>517</v>
      </c>
    </row>
    <row r="96" spans="2:2" x14ac:dyDescent="0.3">
      <c r="B96" s="11" t="s">
        <v>518</v>
      </c>
    </row>
    <row r="97" spans="2:16" x14ac:dyDescent="0.3">
      <c r="B97" s="11" t="s">
        <v>519</v>
      </c>
    </row>
    <row r="98" spans="2:16" x14ac:dyDescent="0.3">
      <c r="B98" s="11" t="s">
        <v>520</v>
      </c>
    </row>
    <row r="100" spans="2:16" x14ac:dyDescent="0.3">
      <c r="B100" s="11" t="s">
        <v>482</v>
      </c>
    </row>
    <row r="102" spans="2:16" x14ac:dyDescent="0.3">
      <c r="B102" s="11" t="s">
        <v>483</v>
      </c>
    </row>
    <row r="104" spans="2:16" x14ac:dyDescent="0.3">
      <c r="B104" s="11" t="s">
        <v>484</v>
      </c>
    </row>
    <row r="106" spans="2:16" x14ac:dyDescent="0.3">
      <c r="B106" s="11" t="s">
        <v>522</v>
      </c>
      <c r="D106" s="11" t="s">
        <v>523</v>
      </c>
      <c r="J106" s="11" t="s">
        <v>524</v>
      </c>
      <c r="P106" s="11" t="s">
        <v>526</v>
      </c>
    </row>
    <row r="108" spans="2:16" x14ac:dyDescent="0.3">
      <c r="B108" s="11" t="s">
        <v>525</v>
      </c>
    </row>
    <row r="110" spans="2:16" x14ac:dyDescent="0.3">
      <c r="B110" s="11" t="s">
        <v>521</v>
      </c>
    </row>
    <row r="111" spans="2:16" x14ac:dyDescent="0.3">
      <c r="B111" s="11" t="s">
        <v>468</v>
      </c>
    </row>
    <row r="116" spans="2:2" x14ac:dyDescent="0.3">
      <c r="B116" s="11" t="s">
        <v>485</v>
      </c>
    </row>
    <row r="117" spans="2:2" ht="16.2" x14ac:dyDescent="0.3">
      <c r="B117" s="332" t="s">
        <v>486</v>
      </c>
    </row>
    <row r="118" spans="2:2" x14ac:dyDescent="0.3">
      <c r="B118" s="332"/>
    </row>
    <row r="119" spans="2:2" x14ac:dyDescent="0.3">
      <c r="B119" s="332" t="s">
        <v>527</v>
      </c>
    </row>
    <row r="120" spans="2:2" x14ac:dyDescent="0.3">
      <c r="B120" s="332" t="s">
        <v>529</v>
      </c>
    </row>
    <row r="121" spans="2:2" x14ac:dyDescent="0.3">
      <c r="B121" s="332"/>
    </row>
    <row r="122" spans="2:2" x14ac:dyDescent="0.3">
      <c r="B122" s="332" t="s">
        <v>528</v>
      </c>
    </row>
    <row r="123" spans="2:2" x14ac:dyDescent="0.3">
      <c r="B123" s="332" t="s">
        <v>530</v>
      </c>
    </row>
    <row r="124" spans="2:2" x14ac:dyDescent="0.3">
      <c r="B124" s="11" t="s">
        <v>531</v>
      </c>
    </row>
    <row r="126" spans="2:2" x14ac:dyDescent="0.3">
      <c r="B126" s="11" t="s">
        <v>487</v>
      </c>
    </row>
    <row r="131" spans="2:5" x14ac:dyDescent="0.3">
      <c r="B131" s="11" t="s">
        <v>488</v>
      </c>
    </row>
    <row r="134" spans="2:5" ht="18" x14ac:dyDescent="0.35">
      <c r="B134" s="4" t="s">
        <v>532</v>
      </c>
    </row>
    <row r="136" spans="2:5" x14ac:dyDescent="0.3">
      <c r="B136" s="11" t="s">
        <v>489</v>
      </c>
    </row>
    <row r="138" spans="2:5" x14ac:dyDescent="0.3">
      <c r="B138" s="11" t="s">
        <v>533</v>
      </c>
      <c r="E138" s="11" t="s">
        <v>535</v>
      </c>
    </row>
    <row r="140" spans="2:5" x14ac:dyDescent="0.3">
      <c r="B140" s="11" t="s">
        <v>536</v>
      </c>
    </row>
    <row r="142" spans="2:5" x14ac:dyDescent="0.3">
      <c r="B142" s="11" t="s">
        <v>534</v>
      </c>
    </row>
    <row r="144" spans="2:5" x14ac:dyDescent="0.3">
      <c r="B144" s="11" t="s">
        <v>490</v>
      </c>
    </row>
    <row r="145" spans="2:17" x14ac:dyDescent="0.3">
      <c r="B145" s="11" t="s">
        <v>467</v>
      </c>
    </row>
    <row r="147" spans="2:17" x14ac:dyDescent="0.3">
      <c r="B147" s="11" t="s">
        <v>491</v>
      </c>
    </row>
    <row r="148" spans="2:17" x14ac:dyDescent="0.3">
      <c r="B148" s="11" t="s">
        <v>469</v>
      </c>
    </row>
    <row r="150" spans="2:17" x14ac:dyDescent="0.3">
      <c r="B150" s="11" t="s">
        <v>537</v>
      </c>
    </row>
    <row r="152" spans="2:17" x14ac:dyDescent="0.3">
      <c r="B152" s="286" t="s">
        <v>538</v>
      </c>
      <c r="D152" s="11" t="s">
        <v>539</v>
      </c>
    </row>
    <row r="153" spans="2:17" x14ac:dyDescent="0.3">
      <c r="D153" s="11" t="s">
        <v>540</v>
      </c>
    </row>
    <row r="154" spans="2:17" x14ac:dyDescent="0.3">
      <c r="D154" s="11" t="s">
        <v>541</v>
      </c>
    </row>
    <row r="155" spans="2:17" x14ac:dyDescent="0.3">
      <c r="D155" s="11" t="s">
        <v>542</v>
      </c>
    </row>
    <row r="157" spans="2:17" x14ac:dyDescent="0.3">
      <c r="B157" s="44" t="s">
        <v>819</v>
      </c>
      <c r="C157" s="44" t="s">
        <v>786</v>
      </c>
      <c r="D157" s="44" t="s">
        <v>820</v>
      </c>
      <c r="E157" s="44"/>
      <c r="F157" s="44"/>
    </row>
    <row r="158" spans="2:17" x14ac:dyDescent="0.3">
      <c r="B158" s="435">
        <v>43467</v>
      </c>
      <c r="C158" s="44">
        <v>90</v>
      </c>
      <c r="D158" s="44"/>
      <c r="E158" s="44"/>
      <c r="F158" s="44"/>
    </row>
    <row r="159" spans="2:17" x14ac:dyDescent="0.3">
      <c r="B159" s="435">
        <v>43468</v>
      </c>
      <c r="C159" s="44">
        <v>89.5</v>
      </c>
      <c r="D159" s="436">
        <f xml:space="preserve"> ROUND(LN(C159/C158),4)</f>
        <v>-5.5999999999999999E-3</v>
      </c>
      <c r="E159" s="44"/>
      <c r="F159" s="44" t="s">
        <v>821</v>
      </c>
      <c r="G159" s="44" t="s">
        <v>826</v>
      </c>
    </row>
    <row r="160" spans="2:17" x14ac:dyDescent="0.3">
      <c r="B160" s="435">
        <v>43469</v>
      </c>
      <c r="C160" s="44">
        <v>90.1</v>
      </c>
      <c r="D160" s="436">
        <f t="shared" ref="D160:D183" si="1" xml:space="preserve"> ROUND(LN(C160/C159),4)</f>
        <v>6.7000000000000002E-3</v>
      </c>
      <c r="E160" s="44"/>
      <c r="F160" s="44" t="s">
        <v>822</v>
      </c>
      <c r="G160" s="436">
        <f>AVERAGE(D159:D183)*26</f>
        <v>3.7543999999999987E-2</v>
      </c>
      <c r="I160" s="44" t="s">
        <v>827</v>
      </c>
      <c r="Q160" s="11" t="s">
        <v>828</v>
      </c>
    </row>
    <row r="161" spans="2:17" x14ac:dyDescent="0.3">
      <c r="B161" s="435">
        <v>43472</v>
      </c>
      <c r="C161" s="44">
        <v>91.1</v>
      </c>
      <c r="D161" s="436">
        <f t="shared" si="1"/>
        <v>1.0999999999999999E-2</v>
      </c>
      <c r="E161" s="44"/>
      <c r="F161" s="44" t="s">
        <v>823</v>
      </c>
      <c r="G161" s="436">
        <f>MODE(D159:D183)</f>
        <v>1.1000000000000001E-3</v>
      </c>
      <c r="I161" s="44" t="s">
        <v>830</v>
      </c>
      <c r="Q161" s="11" t="s">
        <v>829</v>
      </c>
    </row>
    <row r="162" spans="2:17" x14ac:dyDescent="0.3">
      <c r="B162" s="435">
        <v>0</v>
      </c>
      <c r="C162" s="44">
        <v>91.8</v>
      </c>
      <c r="D162" s="436">
        <f t="shared" si="1"/>
        <v>7.7000000000000002E-3</v>
      </c>
      <c r="E162" s="44"/>
      <c r="F162" s="44" t="s">
        <v>824</v>
      </c>
      <c r="G162" s="436">
        <f>MEDIAN(D159:D183)</f>
        <v>1.1000000000000001E-3</v>
      </c>
    </row>
    <row r="163" spans="2:17" x14ac:dyDescent="0.3">
      <c r="B163" s="435">
        <v>43474</v>
      </c>
      <c r="C163" s="44">
        <v>91.5</v>
      </c>
      <c r="D163" s="436">
        <f t="shared" si="1"/>
        <v>-3.3E-3</v>
      </c>
      <c r="E163" s="44"/>
      <c r="F163" s="44" t="s">
        <v>825</v>
      </c>
      <c r="G163" s="44"/>
    </row>
    <row r="164" spans="2:17" x14ac:dyDescent="0.3">
      <c r="B164" s="435">
        <v>43475</v>
      </c>
      <c r="C164" s="44">
        <v>91.5</v>
      </c>
      <c r="D164" s="436">
        <f t="shared" si="1"/>
        <v>0</v>
      </c>
      <c r="E164" s="44"/>
      <c r="F164" s="44" t="s">
        <v>831</v>
      </c>
      <c r="G164" s="11">
        <f>AVERAGE(D159:D183)*26</f>
        <v>3.7543999999999987E-2</v>
      </c>
    </row>
    <row r="165" spans="2:17" x14ac:dyDescent="0.3">
      <c r="B165" s="435">
        <v>43476</v>
      </c>
      <c r="C165" s="44">
        <v>91.4</v>
      </c>
      <c r="D165" s="436">
        <f t="shared" si="1"/>
        <v>-1.1000000000000001E-3</v>
      </c>
      <c r="E165" s="44"/>
      <c r="F165" s="44"/>
    </row>
    <row r="166" spans="2:17" x14ac:dyDescent="0.3">
      <c r="B166" s="435">
        <v>43479</v>
      </c>
      <c r="C166" s="44">
        <v>91.5</v>
      </c>
      <c r="D166" s="436">
        <f t="shared" si="1"/>
        <v>1.1000000000000001E-3</v>
      </c>
      <c r="E166" s="44"/>
      <c r="F166" s="44"/>
    </row>
    <row r="167" spans="2:17" x14ac:dyDescent="0.3">
      <c r="B167" s="435">
        <v>43480</v>
      </c>
      <c r="C167" s="44">
        <v>92.8</v>
      </c>
      <c r="D167" s="436">
        <f t="shared" si="1"/>
        <v>1.41E-2</v>
      </c>
      <c r="E167" s="44"/>
      <c r="F167" s="44"/>
    </row>
    <row r="168" spans="2:17" x14ac:dyDescent="0.3">
      <c r="B168" s="435">
        <v>43481</v>
      </c>
      <c r="C168" s="44">
        <v>92.9</v>
      </c>
      <c r="D168" s="436">
        <f t="shared" si="1"/>
        <v>1.1000000000000001E-3</v>
      </c>
      <c r="E168" s="44"/>
      <c r="F168" s="44"/>
    </row>
    <row r="169" spans="2:17" x14ac:dyDescent="0.3">
      <c r="B169" s="435">
        <v>43482</v>
      </c>
      <c r="C169" s="44">
        <v>93.3</v>
      </c>
      <c r="D169" s="436">
        <f t="shared" si="1"/>
        <v>4.3E-3</v>
      </c>
      <c r="E169" s="44"/>
      <c r="F169" s="44"/>
    </row>
    <row r="170" spans="2:17" x14ac:dyDescent="0.3">
      <c r="B170" s="435">
        <v>43483</v>
      </c>
      <c r="C170" s="44">
        <v>94.2</v>
      </c>
      <c r="D170" s="436">
        <f t="shared" si="1"/>
        <v>9.5999999999999992E-3</v>
      </c>
      <c r="E170" s="44"/>
      <c r="F170" s="44"/>
    </row>
    <row r="171" spans="2:17" x14ac:dyDescent="0.3">
      <c r="B171" s="435">
        <v>43487</v>
      </c>
      <c r="C171" s="44">
        <v>94</v>
      </c>
      <c r="D171" s="436">
        <f t="shared" si="1"/>
        <v>-2.0999999999999999E-3</v>
      </c>
      <c r="E171" s="44"/>
      <c r="F171" s="44"/>
    </row>
    <row r="172" spans="2:17" x14ac:dyDescent="0.3">
      <c r="B172" s="435">
        <v>43488</v>
      </c>
      <c r="C172" s="44">
        <v>95.2</v>
      </c>
      <c r="D172" s="436">
        <f t="shared" si="1"/>
        <v>1.2699999999999999E-2</v>
      </c>
      <c r="E172" s="44"/>
      <c r="F172" s="44"/>
    </row>
    <row r="173" spans="2:17" x14ac:dyDescent="0.3">
      <c r="B173" s="435">
        <v>43489</v>
      </c>
      <c r="C173" s="44">
        <v>94.8</v>
      </c>
      <c r="D173" s="436">
        <f t="shared" si="1"/>
        <v>-4.1999999999999997E-3</v>
      </c>
      <c r="E173" s="44"/>
      <c r="F173" s="44"/>
    </row>
    <row r="174" spans="2:17" x14ac:dyDescent="0.3">
      <c r="B174" s="435">
        <v>43490</v>
      </c>
      <c r="C174" s="44">
        <v>93.5</v>
      </c>
      <c r="D174" s="436">
        <f t="shared" si="1"/>
        <v>-1.38E-2</v>
      </c>
      <c r="E174" s="44"/>
      <c r="F174" s="44"/>
    </row>
    <row r="175" spans="2:17" x14ac:dyDescent="0.3">
      <c r="B175" s="435">
        <v>43493</v>
      </c>
      <c r="C175" s="44">
        <v>93.6</v>
      </c>
      <c r="D175" s="436">
        <f t="shared" si="1"/>
        <v>1.1000000000000001E-3</v>
      </c>
      <c r="E175" s="44"/>
      <c r="F175" s="44"/>
    </row>
    <row r="176" spans="2:17" x14ac:dyDescent="0.3">
      <c r="B176" s="435">
        <v>43494</v>
      </c>
      <c r="C176" s="44">
        <v>93.2</v>
      </c>
      <c r="D176" s="436">
        <f t="shared" si="1"/>
        <v>-4.3E-3</v>
      </c>
      <c r="E176" s="44"/>
      <c r="F176" s="44"/>
    </row>
    <row r="177" spans="2:6" x14ac:dyDescent="0.3">
      <c r="B177" s="435">
        <v>43495</v>
      </c>
      <c r="C177" s="44">
        <v>91.4</v>
      </c>
      <c r="D177" s="436">
        <f t="shared" si="1"/>
        <v>-1.95E-2</v>
      </c>
      <c r="E177" s="44"/>
      <c r="F177" s="44"/>
    </row>
    <row r="178" spans="2:6" x14ac:dyDescent="0.3">
      <c r="B178" s="435">
        <v>43496</v>
      </c>
      <c r="C178" s="44">
        <v>92.4</v>
      </c>
      <c r="D178" s="436">
        <f t="shared" si="1"/>
        <v>1.09E-2</v>
      </c>
      <c r="E178" s="44"/>
      <c r="F178" s="44"/>
    </row>
    <row r="179" spans="2:6" x14ac:dyDescent="0.3">
      <c r="B179" s="435">
        <v>43497</v>
      </c>
      <c r="C179" s="44">
        <v>90.5</v>
      </c>
      <c r="D179" s="436">
        <f t="shared" si="1"/>
        <v>-2.0799999999999999E-2</v>
      </c>
      <c r="E179" s="44"/>
      <c r="F179" s="44"/>
    </row>
    <row r="180" spans="2:6" x14ac:dyDescent="0.3">
      <c r="B180" s="435">
        <v>43500</v>
      </c>
      <c r="C180" s="44">
        <v>91.4</v>
      </c>
      <c r="D180" s="436">
        <f t="shared" si="1"/>
        <v>9.9000000000000008E-3</v>
      </c>
      <c r="E180" s="44"/>
      <c r="F180" s="44"/>
    </row>
    <row r="181" spans="2:6" x14ac:dyDescent="0.3">
      <c r="B181" s="435">
        <v>43501</v>
      </c>
      <c r="C181" s="44">
        <v>92.2</v>
      </c>
      <c r="D181" s="436">
        <f t="shared" si="1"/>
        <v>8.6999999999999994E-3</v>
      </c>
      <c r="E181" s="44"/>
      <c r="F181" s="44"/>
    </row>
    <row r="182" spans="2:6" x14ac:dyDescent="0.3">
      <c r="B182" s="435">
        <v>43502</v>
      </c>
      <c r="C182" s="44">
        <v>92.2</v>
      </c>
      <c r="D182" s="436">
        <f t="shared" si="1"/>
        <v>0</v>
      </c>
      <c r="E182" s="44"/>
      <c r="F182" s="44"/>
    </row>
    <row r="183" spans="2:6" x14ac:dyDescent="0.3">
      <c r="B183" s="435">
        <v>43503</v>
      </c>
      <c r="C183" s="44">
        <v>93.3</v>
      </c>
      <c r="D183" s="436">
        <f t="shared" si="1"/>
        <v>1.1900000000000001E-2</v>
      </c>
      <c r="E183" s="44"/>
      <c r="F183" s="44"/>
    </row>
    <row r="187" spans="2:6" ht="18" x14ac:dyDescent="0.35">
      <c r="B187" s="4" t="s">
        <v>543</v>
      </c>
    </row>
    <row r="188" spans="2:6" ht="18" x14ac:dyDescent="0.35">
      <c r="B188" s="4"/>
    </row>
    <row r="189" spans="2:6" x14ac:dyDescent="0.3">
      <c r="B189" s="11" t="s">
        <v>492</v>
      </c>
    </row>
    <row r="190" spans="2:6" x14ac:dyDescent="0.3">
      <c r="B190" s="11" t="s">
        <v>470</v>
      </c>
    </row>
    <row r="192" spans="2:6" x14ac:dyDescent="0.3">
      <c r="B192" s="11" t="s">
        <v>493</v>
      </c>
    </row>
    <row r="193" spans="2:2" x14ac:dyDescent="0.3">
      <c r="B193" s="11" t="s">
        <v>558</v>
      </c>
    </row>
    <row r="195" spans="2:2" x14ac:dyDescent="0.3">
      <c r="B195" s="11" t="s">
        <v>559</v>
      </c>
    </row>
    <row r="197" spans="2:2" x14ac:dyDescent="0.3">
      <c r="B197" s="11" t="s">
        <v>544</v>
      </c>
    </row>
    <row r="203" spans="2:2" x14ac:dyDescent="0.3">
      <c r="B203" s="11" t="s">
        <v>546</v>
      </c>
    </row>
    <row r="204" spans="2:2" x14ac:dyDescent="0.3">
      <c r="B204" s="11" t="s">
        <v>545</v>
      </c>
    </row>
    <row r="206" spans="2:2" x14ac:dyDescent="0.3">
      <c r="B206" s="286" t="s">
        <v>425</v>
      </c>
    </row>
    <row r="208" spans="2:2" x14ac:dyDescent="0.3">
      <c r="B208" s="11" t="s">
        <v>547</v>
      </c>
    </row>
    <row r="209" spans="2:7" x14ac:dyDescent="0.3">
      <c r="B209" s="11" t="s">
        <v>548</v>
      </c>
    </row>
    <row r="210" spans="2:7" x14ac:dyDescent="0.3">
      <c r="B210" s="11" t="s">
        <v>549</v>
      </c>
    </row>
    <row r="212" spans="2:7" x14ac:dyDescent="0.3">
      <c r="B212" s="11" t="s">
        <v>550</v>
      </c>
    </row>
    <row r="213" spans="2:7" x14ac:dyDescent="0.3">
      <c r="B213" s="11" t="s">
        <v>551</v>
      </c>
    </row>
    <row r="214" spans="2:7" x14ac:dyDescent="0.3">
      <c r="B214" s="11" t="s">
        <v>552</v>
      </c>
    </row>
    <row r="216" spans="2:7" x14ac:dyDescent="0.3">
      <c r="B216" s="11" t="s">
        <v>553</v>
      </c>
    </row>
    <row r="217" spans="2:7" x14ac:dyDescent="0.3">
      <c r="B217" s="11" t="s">
        <v>554</v>
      </c>
    </row>
    <row r="219" spans="2:7" x14ac:dyDescent="0.3">
      <c r="G219" s="11" t="s">
        <v>555</v>
      </c>
    </row>
    <row r="220" spans="2:7" x14ac:dyDescent="0.3">
      <c r="G220" s="11" t="s">
        <v>556</v>
      </c>
    </row>
    <row r="221" spans="2:7" x14ac:dyDescent="0.3">
      <c r="G221" s="11" t="s">
        <v>557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E4B3-A47A-4FDE-885F-7957C52BC125}">
  <dimension ref="B2:P99"/>
  <sheetViews>
    <sheetView topLeftCell="C46" zoomScale="130" zoomScaleNormal="130" workbookViewId="0">
      <selection activeCell="I60" sqref="I60:J60"/>
    </sheetView>
  </sheetViews>
  <sheetFormatPr defaultRowHeight="15.6" x14ac:dyDescent="0.3"/>
  <cols>
    <col min="1" max="1" width="8.88671875" style="10"/>
    <col min="2" max="2" width="20.21875" style="10" customWidth="1"/>
    <col min="3" max="8" width="8.88671875" style="10"/>
    <col min="9" max="9" width="10.44140625" style="10" customWidth="1"/>
    <col min="10" max="10" width="8.88671875" style="10"/>
    <col min="11" max="11" width="10.44140625" style="10" bestFit="1" customWidth="1"/>
    <col min="12" max="16384" width="8.88671875" style="10"/>
  </cols>
  <sheetData>
    <row r="2" spans="2:5" ht="17.399999999999999" x14ac:dyDescent="0.3">
      <c r="D2" s="285" t="s">
        <v>839</v>
      </c>
    </row>
    <row r="4" spans="2:5" x14ac:dyDescent="0.3">
      <c r="B4" s="11" t="s">
        <v>852</v>
      </c>
    </row>
    <row r="5" spans="2:5" x14ac:dyDescent="0.3">
      <c r="B5" s="10" t="s">
        <v>832</v>
      </c>
    </row>
    <row r="7" spans="2:5" x14ac:dyDescent="0.3">
      <c r="B7" s="11" t="s">
        <v>853</v>
      </c>
    </row>
    <row r="8" spans="2:5" x14ac:dyDescent="0.3">
      <c r="B8" s="10" t="s">
        <v>833</v>
      </c>
    </row>
    <row r="10" spans="2:5" x14ac:dyDescent="0.3">
      <c r="B10" s="11" t="s">
        <v>851</v>
      </c>
    </row>
    <row r="11" spans="2:5" x14ac:dyDescent="0.3">
      <c r="B11" s="10" t="s">
        <v>834</v>
      </c>
    </row>
    <row r="13" spans="2:5" x14ac:dyDescent="0.3">
      <c r="B13" s="11" t="s">
        <v>850</v>
      </c>
    </row>
    <row r="14" spans="2:5" x14ac:dyDescent="0.3">
      <c r="C14" s="10" t="s">
        <v>840</v>
      </c>
    </row>
    <row r="15" spans="2:5" x14ac:dyDescent="0.3">
      <c r="D15" s="10" t="s">
        <v>841</v>
      </c>
    </row>
    <row r="16" spans="2:5" x14ac:dyDescent="0.3">
      <c r="E16" s="10" t="s">
        <v>842</v>
      </c>
    </row>
    <row r="17" spans="2:7" x14ac:dyDescent="0.3">
      <c r="F17" s="10" t="s">
        <v>843</v>
      </c>
    </row>
    <row r="18" spans="2:7" x14ac:dyDescent="0.3">
      <c r="G18" s="10" t="s">
        <v>844</v>
      </c>
    </row>
    <row r="20" spans="2:7" x14ac:dyDescent="0.3">
      <c r="B20" s="11" t="s">
        <v>849</v>
      </c>
    </row>
    <row r="21" spans="2:7" x14ac:dyDescent="0.3">
      <c r="B21" s="10" t="s">
        <v>835</v>
      </c>
    </row>
    <row r="23" spans="2:7" x14ac:dyDescent="0.3">
      <c r="B23" s="10" t="s">
        <v>860</v>
      </c>
    </row>
    <row r="24" spans="2:7" x14ac:dyDescent="0.3">
      <c r="B24" s="10" t="s">
        <v>845</v>
      </c>
    </row>
    <row r="25" spans="2:7" x14ac:dyDescent="0.3">
      <c r="B25" s="10" t="s">
        <v>846</v>
      </c>
    </row>
    <row r="26" spans="2:7" x14ac:dyDescent="0.3">
      <c r="B26" s="10" t="s">
        <v>847</v>
      </c>
    </row>
    <row r="27" spans="2:7" x14ac:dyDescent="0.3">
      <c r="B27" s="10" t="s">
        <v>848</v>
      </c>
    </row>
    <row r="29" spans="2:7" x14ac:dyDescent="0.3">
      <c r="B29" s="11" t="s">
        <v>862</v>
      </c>
    </row>
    <row r="30" spans="2:7" x14ac:dyDescent="0.3">
      <c r="B30" s="10" t="s">
        <v>861</v>
      </c>
    </row>
    <row r="32" spans="2:7" x14ac:dyDescent="0.3">
      <c r="B32" s="11" t="s">
        <v>854</v>
      </c>
    </row>
    <row r="33" spans="2:2" x14ac:dyDescent="0.3">
      <c r="B33" s="10" t="s">
        <v>836</v>
      </c>
    </row>
    <row r="35" spans="2:2" x14ac:dyDescent="0.3">
      <c r="B35" s="10" t="s">
        <v>863</v>
      </c>
    </row>
    <row r="36" spans="2:2" x14ac:dyDescent="0.3">
      <c r="B36" s="10" t="s">
        <v>864</v>
      </c>
    </row>
    <row r="39" spans="2:2" x14ac:dyDescent="0.3">
      <c r="B39" s="11" t="s">
        <v>855</v>
      </c>
    </row>
    <row r="40" spans="2:2" x14ac:dyDescent="0.3">
      <c r="B40" s="10" t="s">
        <v>837</v>
      </c>
    </row>
    <row r="42" spans="2:2" x14ac:dyDescent="0.3">
      <c r="B42" s="11" t="s">
        <v>856</v>
      </c>
    </row>
    <row r="44" spans="2:2" x14ac:dyDescent="0.3">
      <c r="B44" s="11" t="s">
        <v>857</v>
      </c>
    </row>
    <row r="46" spans="2:2" x14ac:dyDescent="0.3">
      <c r="B46" s="11" t="s">
        <v>858</v>
      </c>
    </row>
    <row r="48" spans="2:2" x14ac:dyDescent="0.3">
      <c r="B48" s="10" t="s">
        <v>865</v>
      </c>
    </row>
    <row r="49" spans="2:16" x14ac:dyDescent="0.3">
      <c r="B49" s="10" t="s">
        <v>866</v>
      </c>
    </row>
    <row r="50" spans="2:16" x14ac:dyDescent="0.3">
      <c r="B50" s="10" t="s">
        <v>867</v>
      </c>
    </row>
    <row r="51" spans="2:16" x14ac:dyDescent="0.3">
      <c r="B51" s="10" t="s">
        <v>868</v>
      </c>
    </row>
    <row r="53" spans="2:16" x14ac:dyDescent="0.3">
      <c r="B53" s="446" t="s">
        <v>86</v>
      </c>
      <c r="C53" s="446"/>
      <c r="D53" s="447">
        <v>2012</v>
      </c>
      <c r="E53" s="447">
        <v>2013</v>
      </c>
      <c r="F53" s="447">
        <v>2014</v>
      </c>
      <c r="G53" s="447">
        <v>2015</v>
      </c>
      <c r="H53" s="447">
        <v>2016</v>
      </c>
      <c r="I53" s="447">
        <v>2017</v>
      </c>
      <c r="J53" s="447">
        <v>2018</v>
      </c>
      <c r="K53" s="453">
        <v>2019</v>
      </c>
      <c r="L53" s="447">
        <v>2020</v>
      </c>
      <c r="M53" s="447">
        <v>2021</v>
      </c>
      <c r="N53" s="447">
        <v>2022</v>
      </c>
      <c r="O53" s="447">
        <v>2023</v>
      </c>
      <c r="P53" s="447">
        <v>2024</v>
      </c>
    </row>
    <row r="54" spans="2:16" x14ac:dyDescent="0.3">
      <c r="B54" s="359" t="s">
        <v>869</v>
      </c>
      <c r="C54" s="359" t="s">
        <v>870</v>
      </c>
      <c r="D54" s="448">
        <v>1250</v>
      </c>
      <c r="E54" s="448">
        <v>2800</v>
      </c>
      <c r="F54" s="448">
        <v>7700</v>
      </c>
      <c r="G54" s="448">
        <v>11050</v>
      </c>
      <c r="H54" s="448">
        <v>13250</v>
      </c>
      <c r="I54" s="448">
        <v>16050</v>
      </c>
      <c r="J54" s="448">
        <v>17450</v>
      </c>
      <c r="K54" s="454">
        <v>18000</v>
      </c>
      <c r="L54" s="451">
        <v>18500</v>
      </c>
      <c r="M54" s="451">
        <v>19000</v>
      </c>
      <c r="N54" s="451">
        <v>19500</v>
      </c>
      <c r="O54" s="451">
        <v>20000</v>
      </c>
      <c r="P54" s="451">
        <v>20000</v>
      </c>
    </row>
    <row r="55" spans="2:16" x14ac:dyDescent="0.3">
      <c r="B55" s="359" t="s">
        <v>871</v>
      </c>
      <c r="C55" s="359" t="s">
        <v>229</v>
      </c>
      <c r="D55" s="448">
        <v>2780</v>
      </c>
      <c r="E55" s="448">
        <v>3960</v>
      </c>
      <c r="F55" s="448">
        <v>5210</v>
      </c>
      <c r="G55" s="448">
        <v>7040</v>
      </c>
      <c r="H55" s="448">
        <v>8600</v>
      </c>
      <c r="I55" s="448">
        <v>9100</v>
      </c>
      <c r="J55" s="448">
        <v>9250</v>
      </c>
      <c r="K55" s="445">
        <f>$J$61+$I$61*K54</f>
        <v>9872.4416302905775</v>
      </c>
      <c r="L55" s="445">
        <f t="shared" ref="L55:P55" si="0">$J$61+$I$61*L54</f>
        <v>10077.641731371481</v>
      </c>
      <c r="M55" s="445">
        <f t="shared" si="0"/>
        <v>10282.841832452385</v>
      </c>
      <c r="N55" s="445">
        <f t="shared" si="0"/>
        <v>10488.041933533288</v>
      </c>
      <c r="O55" s="445">
        <f t="shared" si="0"/>
        <v>10693.242034614192</v>
      </c>
      <c r="P55" s="445">
        <f t="shared" si="0"/>
        <v>10693.242034614192</v>
      </c>
    </row>
    <row r="56" spans="2:16" x14ac:dyDescent="0.3">
      <c r="B56" s="359" t="s">
        <v>872</v>
      </c>
      <c r="C56" s="359" t="s">
        <v>15</v>
      </c>
      <c r="D56" s="437">
        <v>0.08</v>
      </c>
      <c r="E56" s="437">
        <v>0.1</v>
      </c>
      <c r="F56" s="437">
        <v>0.15</v>
      </c>
      <c r="G56" s="437">
        <v>0.1</v>
      </c>
      <c r="H56" s="437">
        <v>0.09</v>
      </c>
      <c r="I56" s="437">
        <v>0.08</v>
      </c>
      <c r="J56" s="437">
        <v>0.06</v>
      </c>
      <c r="K56" s="455"/>
    </row>
    <row r="57" spans="2:16" x14ac:dyDescent="0.3">
      <c r="B57" s="359" t="s">
        <v>875</v>
      </c>
      <c r="C57" s="359" t="s">
        <v>15</v>
      </c>
      <c r="D57" s="449">
        <v>1.08</v>
      </c>
      <c r="E57" s="449">
        <v>1.1000000000000001</v>
      </c>
      <c r="F57" s="449">
        <v>1.1499999999999999</v>
      </c>
      <c r="G57" s="449">
        <v>1.1000000000000001</v>
      </c>
      <c r="H57" s="449">
        <v>1.0900000000000001</v>
      </c>
      <c r="I57" s="449">
        <v>1.08</v>
      </c>
      <c r="J57" s="449">
        <v>1.06</v>
      </c>
      <c r="K57" s="455"/>
    </row>
    <row r="58" spans="2:16" x14ac:dyDescent="0.3">
      <c r="B58" s="359" t="s">
        <v>880</v>
      </c>
      <c r="C58" s="359" t="s">
        <v>229</v>
      </c>
      <c r="D58" s="450">
        <f>D55*PRODUCT(E57:$J$57)</f>
        <v>4827.0758738400018</v>
      </c>
      <c r="E58" s="450">
        <f>E55*PRODUCT(F57:$J$57)</f>
        <v>6250.8896208000006</v>
      </c>
      <c r="F58" s="450">
        <f>F55*PRODUCT(G57:$J$57)</f>
        <v>7151.3251920000021</v>
      </c>
      <c r="G58" s="450">
        <f>G55*PRODUCT(H57:$J$57)</f>
        <v>8784.7372800000012</v>
      </c>
      <c r="H58" s="450">
        <f>H55*PRODUCT(I57:$J$57)</f>
        <v>9845.2800000000007</v>
      </c>
      <c r="I58" s="450">
        <f>I55*PRODUCT(J57:$J$57)</f>
        <v>9646</v>
      </c>
      <c r="J58" s="452">
        <f>J55</f>
        <v>9250</v>
      </c>
      <c r="K58" s="445">
        <f>$J$62+$I$62*K54</f>
        <v>10287.693060567821</v>
      </c>
      <c r="L58" s="445">
        <f t="shared" ref="L58:P58" si="1">$J$62+$I$62*L54</f>
        <v>10431.701417142973</v>
      </c>
      <c r="M58" s="445">
        <f t="shared" si="1"/>
        <v>10575.709773718125</v>
      </c>
      <c r="N58" s="445">
        <f t="shared" si="1"/>
        <v>10719.718130293277</v>
      </c>
      <c r="O58" s="445">
        <f t="shared" si="1"/>
        <v>10863.726486868431</v>
      </c>
      <c r="P58" s="445">
        <f t="shared" si="1"/>
        <v>10863.726486868431</v>
      </c>
    </row>
    <row r="59" spans="2:16" x14ac:dyDescent="0.3">
      <c r="B59" s="359"/>
      <c r="C59" s="359"/>
      <c r="D59" s="437"/>
      <c r="E59" s="437"/>
      <c r="F59" s="437"/>
      <c r="G59" s="437"/>
      <c r="H59" s="437"/>
      <c r="I59" s="437"/>
      <c r="J59" s="437"/>
    </row>
    <row r="60" spans="2:16" x14ac:dyDescent="0.3">
      <c r="B60" s="359"/>
      <c r="C60" s="359"/>
      <c r="D60" s="437"/>
      <c r="E60" s="437"/>
      <c r="F60" s="437"/>
      <c r="G60" s="437"/>
      <c r="H60" s="437"/>
      <c r="I60" s="438" t="s">
        <v>882</v>
      </c>
      <c r="J60" s="438" t="s">
        <v>883</v>
      </c>
    </row>
    <row r="61" spans="2:16" ht="18" x14ac:dyDescent="0.35">
      <c r="B61" s="359" t="s">
        <v>876</v>
      </c>
      <c r="C61" s="359"/>
      <c r="D61" s="441">
        <f>CORREL(D54:J54,D55:J55)</f>
        <v>0.98820898198387297</v>
      </c>
      <c r="E61" s="439"/>
      <c r="F61" s="440" t="s">
        <v>878</v>
      </c>
      <c r="G61" s="437"/>
      <c r="H61" s="437"/>
      <c r="I61" s="442">
        <f t="array" ref="I61:J61" xml:space="preserve"> LINEST(D55:J55,D54:J54)</f>
        <v>0.41040020216180767</v>
      </c>
      <c r="J61" s="443">
        <v>2485.2379913780396</v>
      </c>
      <c r="L61" s="494" t="s">
        <v>881</v>
      </c>
    </row>
    <row r="62" spans="2:16" x14ac:dyDescent="0.3">
      <c r="B62" s="359" t="s">
        <v>877</v>
      </c>
      <c r="C62" s="359"/>
      <c r="D62" s="441">
        <f>CORREL(D58:J58,D54:J54)</f>
        <v>0.94337878269537689</v>
      </c>
      <c r="E62" s="437"/>
      <c r="F62" s="440" t="s">
        <v>879</v>
      </c>
      <c r="G62" s="437"/>
      <c r="H62" s="437"/>
      <c r="I62" s="444">
        <f t="array" ref="I62:J62">LINEST(D58:J58,D54:J54)</f>
        <v>0.28801671315030536</v>
      </c>
      <c r="J62" s="443">
        <v>5103.3922238623236</v>
      </c>
    </row>
    <row r="64" spans="2:16" x14ac:dyDescent="0.3">
      <c r="B64" s="10" t="s">
        <v>873</v>
      </c>
    </row>
    <row r="65" spans="2:2" x14ac:dyDescent="0.3">
      <c r="B65" s="10" t="s">
        <v>874</v>
      </c>
    </row>
    <row r="82" spans="2:2" x14ac:dyDescent="0.3">
      <c r="B82" s="11" t="s">
        <v>859</v>
      </c>
    </row>
    <row r="83" spans="2:2" x14ac:dyDescent="0.3">
      <c r="B83" s="10" t="s">
        <v>838</v>
      </c>
    </row>
    <row r="85" spans="2:2" x14ac:dyDescent="0.3">
      <c r="B85" s="11" t="s">
        <v>888</v>
      </c>
    </row>
    <row r="86" spans="2:2" x14ac:dyDescent="0.3">
      <c r="B86" s="10" t="s">
        <v>884</v>
      </c>
    </row>
    <row r="87" spans="2:2" x14ac:dyDescent="0.3">
      <c r="B87" s="10" t="s">
        <v>885</v>
      </c>
    </row>
    <row r="88" spans="2:2" x14ac:dyDescent="0.3">
      <c r="B88" s="10" t="s">
        <v>886</v>
      </c>
    </row>
    <row r="90" spans="2:2" x14ac:dyDescent="0.3">
      <c r="B90" s="11" t="s">
        <v>887</v>
      </c>
    </row>
    <row r="91" spans="2:2" x14ac:dyDescent="0.3">
      <c r="B91" s="10" t="s">
        <v>889</v>
      </c>
    </row>
    <row r="92" spans="2:2" x14ac:dyDescent="0.3">
      <c r="B92" s="10" t="s">
        <v>890</v>
      </c>
    </row>
    <row r="94" spans="2:2" x14ac:dyDescent="0.3">
      <c r="B94" s="10" t="s">
        <v>892</v>
      </c>
    </row>
    <row r="95" spans="2:2" x14ac:dyDescent="0.3">
      <c r="B95" s="10" t="s">
        <v>891</v>
      </c>
    </row>
    <row r="97" spans="2:2" x14ac:dyDescent="0.3">
      <c r="B97" s="10" t="s">
        <v>893</v>
      </c>
    </row>
    <row r="99" spans="2:2" x14ac:dyDescent="0.3">
      <c r="B99" s="10" t="s">
        <v>894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086E-6038-4503-938E-EE7A4FA274E1}">
  <dimension ref="B2:O335"/>
  <sheetViews>
    <sheetView topLeftCell="A293" zoomScaleNormal="100" workbookViewId="0">
      <selection activeCell="T304" sqref="T304"/>
    </sheetView>
  </sheetViews>
  <sheetFormatPr defaultRowHeight="15.6" x14ac:dyDescent="0.3"/>
  <cols>
    <col min="1" max="1" width="8.88671875" style="10"/>
    <col min="2" max="2" width="23.5546875" style="10" customWidth="1"/>
    <col min="3" max="3" width="9.44140625" style="10" customWidth="1"/>
    <col min="4" max="6" width="8.44140625" style="10" customWidth="1"/>
    <col min="7" max="7" width="10" style="10" customWidth="1"/>
    <col min="8" max="9" width="8.44140625" style="10" customWidth="1"/>
    <col min="10" max="10" width="10.33203125" style="10" customWidth="1"/>
    <col min="11" max="12" width="8.44140625" style="10" customWidth="1"/>
    <col min="13" max="13" width="9.21875" style="10" customWidth="1"/>
    <col min="14" max="14" width="10.109375" style="10" customWidth="1"/>
    <col min="15" max="15" width="9.44140625" style="10" bestFit="1" customWidth="1"/>
    <col min="16" max="16384" width="8.88671875" style="10"/>
  </cols>
  <sheetData>
    <row r="2" spans="2:3" ht="18" x14ac:dyDescent="0.35">
      <c r="C2" s="4" t="s">
        <v>915</v>
      </c>
    </row>
    <row r="4" spans="2:3" x14ac:dyDescent="0.3">
      <c r="B4" s="11" t="s">
        <v>1032</v>
      </c>
    </row>
    <row r="5" spans="2:3" x14ac:dyDescent="0.3">
      <c r="B5" s="10" t="s">
        <v>916</v>
      </c>
    </row>
    <row r="7" spans="2:3" x14ac:dyDescent="0.3">
      <c r="B7" s="11" t="s">
        <v>1033</v>
      </c>
    </row>
    <row r="8" spans="2:3" x14ac:dyDescent="0.3">
      <c r="B8" s="10" t="s">
        <v>917</v>
      </c>
    </row>
    <row r="14" spans="2:3" x14ac:dyDescent="0.3">
      <c r="B14" s="11" t="s">
        <v>1034</v>
      </c>
    </row>
    <row r="15" spans="2:3" x14ac:dyDescent="0.3">
      <c r="B15" s="10" t="s">
        <v>918</v>
      </c>
    </row>
    <row r="16" spans="2:3" x14ac:dyDescent="0.3">
      <c r="B16" s="10" t="s">
        <v>919</v>
      </c>
    </row>
    <row r="18" spans="2:14" x14ac:dyDescent="0.3">
      <c r="B18" s="11" t="s">
        <v>1035</v>
      </c>
    </row>
    <row r="19" spans="2:14" x14ac:dyDescent="0.3">
      <c r="B19" s="458" t="s">
        <v>920</v>
      </c>
    </row>
    <row r="20" spans="2:14" x14ac:dyDescent="0.3">
      <c r="B20" s="10" t="s">
        <v>921</v>
      </c>
    </row>
    <row r="22" spans="2:14" x14ac:dyDescent="0.3">
      <c r="B22" s="11" t="s">
        <v>1036</v>
      </c>
    </row>
    <row r="23" spans="2:14" x14ac:dyDescent="0.3">
      <c r="B23" s="10" t="s">
        <v>922</v>
      </c>
    </row>
    <row r="24" spans="2:14" x14ac:dyDescent="0.3">
      <c r="B24" s="10" t="s">
        <v>923</v>
      </c>
      <c r="N24" s="10" t="s">
        <v>173</v>
      </c>
    </row>
    <row r="25" spans="2:14" x14ac:dyDescent="0.3">
      <c r="B25" s="10" t="s">
        <v>924</v>
      </c>
    </row>
    <row r="27" spans="2:14" x14ac:dyDescent="0.3">
      <c r="B27" s="11" t="s">
        <v>1037</v>
      </c>
    </row>
    <row r="28" spans="2:14" x14ac:dyDescent="0.3">
      <c r="B28" s="10" t="s">
        <v>925</v>
      </c>
    </row>
    <row r="29" spans="2:14" x14ac:dyDescent="0.3">
      <c r="B29" s="10" t="s">
        <v>926</v>
      </c>
    </row>
    <row r="30" spans="2:14" x14ac:dyDescent="0.3">
      <c r="B30" s="458" t="s">
        <v>927</v>
      </c>
    </row>
    <row r="31" spans="2:14" x14ac:dyDescent="0.3">
      <c r="B31" s="10" t="s">
        <v>930</v>
      </c>
    </row>
    <row r="32" spans="2:14" x14ac:dyDescent="0.3">
      <c r="B32" s="10" t="s">
        <v>928</v>
      </c>
    </row>
    <row r="33" spans="2:2" x14ac:dyDescent="0.3">
      <c r="B33" s="10" t="s">
        <v>929</v>
      </c>
    </row>
    <row r="36" spans="2:2" x14ac:dyDescent="0.3">
      <c r="B36" s="11" t="s">
        <v>1038</v>
      </c>
    </row>
    <row r="37" spans="2:2" x14ac:dyDescent="0.3">
      <c r="B37" s="10" t="s">
        <v>901</v>
      </c>
    </row>
    <row r="38" spans="2:2" x14ac:dyDescent="0.3">
      <c r="B38" s="10" t="s">
        <v>902</v>
      </c>
    </row>
    <row r="39" spans="2:2" x14ac:dyDescent="0.3">
      <c r="B39" s="10" t="s">
        <v>903</v>
      </c>
    </row>
    <row r="40" spans="2:2" x14ac:dyDescent="0.3">
      <c r="B40" s="10" t="s">
        <v>931</v>
      </c>
    </row>
    <row r="43" spans="2:2" x14ac:dyDescent="0.3">
      <c r="B43" s="11" t="s">
        <v>1080</v>
      </c>
    </row>
    <row r="44" spans="2:2" x14ac:dyDescent="0.3">
      <c r="B44" s="11" t="s">
        <v>1081</v>
      </c>
    </row>
    <row r="45" spans="2:2" x14ac:dyDescent="0.3">
      <c r="B45" s="10" t="s">
        <v>932</v>
      </c>
    </row>
    <row r="46" spans="2:2" x14ac:dyDescent="0.3">
      <c r="B46" s="10" t="s">
        <v>933</v>
      </c>
    </row>
    <row r="56" spans="2:2" x14ac:dyDescent="0.3">
      <c r="B56" s="11" t="s">
        <v>1039</v>
      </c>
    </row>
    <row r="57" spans="2:2" x14ac:dyDescent="0.3">
      <c r="B57" s="10" t="s">
        <v>934</v>
      </c>
    </row>
    <row r="58" spans="2:2" x14ac:dyDescent="0.3">
      <c r="B58" s="10" t="s">
        <v>935</v>
      </c>
    </row>
    <row r="60" spans="2:2" x14ac:dyDescent="0.3">
      <c r="B60" s="11" t="s">
        <v>1040</v>
      </c>
    </row>
    <row r="62" spans="2:2" x14ac:dyDescent="0.3">
      <c r="B62" s="11" t="s">
        <v>1041</v>
      </c>
    </row>
    <row r="63" spans="2:2" x14ac:dyDescent="0.3">
      <c r="B63" s="10" t="s">
        <v>936</v>
      </c>
    </row>
    <row r="64" spans="2:2" x14ac:dyDescent="0.3">
      <c r="B64" s="10" t="s">
        <v>937</v>
      </c>
    </row>
    <row r="66" spans="2:7" x14ac:dyDescent="0.3">
      <c r="B66" s="11" t="s">
        <v>1042</v>
      </c>
    </row>
    <row r="67" spans="2:7" x14ac:dyDescent="0.3">
      <c r="B67" s="10" t="s">
        <v>938</v>
      </c>
    </row>
    <row r="68" spans="2:7" x14ac:dyDescent="0.3">
      <c r="B68" s="10" t="s">
        <v>939</v>
      </c>
    </row>
    <row r="69" spans="2:7" x14ac:dyDescent="0.3">
      <c r="B69" s="10" t="s">
        <v>940</v>
      </c>
    </row>
    <row r="73" spans="2:7" x14ac:dyDescent="0.3">
      <c r="B73" s="11" t="s">
        <v>1043</v>
      </c>
    </row>
    <row r="74" spans="2:7" x14ac:dyDescent="0.3">
      <c r="B74" s="10" t="s">
        <v>941</v>
      </c>
    </row>
    <row r="75" spans="2:7" ht="18" customHeight="1" x14ac:dyDescent="0.3"/>
    <row r="76" spans="2:7" ht="36" customHeight="1" x14ac:dyDescent="0.3">
      <c r="B76" s="464" t="s">
        <v>1082</v>
      </c>
      <c r="C76" s="464" t="s">
        <v>1083</v>
      </c>
      <c r="D76" s="464" t="s">
        <v>1084</v>
      </c>
      <c r="E76" s="464" t="s">
        <v>1085</v>
      </c>
      <c r="F76" s="249"/>
      <c r="G76" s="249"/>
    </row>
    <row r="77" spans="2:7" ht="10.8" customHeight="1" x14ac:dyDescent="0.3">
      <c r="B77" s="465" t="s">
        <v>1088</v>
      </c>
      <c r="C77" s="466">
        <v>0.3</v>
      </c>
      <c r="D77" s="467" t="s">
        <v>1089</v>
      </c>
      <c r="E77" s="468">
        <v>0.6</v>
      </c>
      <c r="F77" s="249"/>
      <c r="G77" s="249"/>
    </row>
    <row r="78" spans="2:7" ht="10.8" customHeight="1" x14ac:dyDescent="0.3">
      <c r="B78" s="465"/>
      <c r="C78" s="466"/>
      <c r="D78" s="467" t="s">
        <v>1090</v>
      </c>
      <c r="E78" s="468">
        <v>0.3</v>
      </c>
      <c r="F78" s="249"/>
      <c r="G78" s="249"/>
    </row>
    <row r="79" spans="2:7" ht="10.8" customHeight="1" x14ac:dyDescent="0.3">
      <c r="B79" s="465"/>
      <c r="C79" s="466"/>
      <c r="D79" s="467" t="s">
        <v>1091</v>
      </c>
      <c r="E79" s="468">
        <v>0.1</v>
      </c>
      <c r="F79" s="249"/>
      <c r="G79" s="249"/>
    </row>
    <row r="80" spans="2:7" ht="10.8" customHeight="1" x14ac:dyDescent="0.3">
      <c r="B80" s="469" t="s">
        <v>1086</v>
      </c>
      <c r="C80" s="466">
        <v>0.5</v>
      </c>
      <c r="D80" s="467" t="s">
        <v>1089</v>
      </c>
      <c r="E80" s="468">
        <v>0.3</v>
      </c>
      <c r="F80" s="249"/>
      <c r="G80" s="249"/>
    </row>
    <row r="81" spans="2:7" ht="10.8" customHeight="1" x14ac:dyDescent="0.3">
      <c r="B81" s="469"/>
      <c r="C81" s="465"/>
      <c r="D81" s="467" t="s">
        <v>1090</v>
      </c>
      <c r="E81" s="468">
        <v>0.4</v>
      </c>
      <c r="F81" s="249"/>
      <c r="G81" s="249"/>
    </row>
    <row r="82" spans="2:7" ht="10.8" customHeight="1" x14ac:dyDescent="0.3">
      <c r="B82" s="469"/>
      <c r="C82" s="465"/>
      <c r="D82" s="467" t="s">
        <v>1091</v>
      </c>
      <c r="E82" s="468">
        <v>0.3</v>
      </c>
      <c r="F82" s="249"/>
      <c r="G82" s="249"/>
    </row>
    <row r="83" spans="2:7" ht="10.8" customHeight="1" x14ac:dyDescent="0.3">
      <c r="B83" s="469" t="s">
        <v>1087</v>
      </c>
      <c r="C83" s="466">
        <v>0.2</v>
      </c>
      <c r="D83" s="467" t="s">
        <v>1089</v>
      </c>
      <c r="E83" s="468">
        <v>0.1</v>
      </c>
      <c r="F83" s="249"/>
      <c r="G83" s="249"/>
    </row>
    <row r="84" spans="2:7" ht="10.8" customHeight="1" x14ac:dyDescent="0.3">
      <c r="B84" s="469"/>
      <c r="C84" s="466"/>
      <c r="D84" s="467" t="s">
        <v>1090</v>
      </c>
      <c r="E84" s="468">
        <v>0.6</v>
      </c>
      <c r="F84" s="249"/>
      <c r="G84" s="249"/>
    </row>
    <row r="85" spans="2:7" ht="10.8" customHeight="1" x14ac:dyDescent="0.3">
      <c r="B85" s="469"/>
      <c r="C85" s="466"/>
      <c r="D85" s="467" t="s">
        <v>1091</v>
      </c>
      <c r="E85" s="468">
        <v>0.3</v>
      </c>
      <c r="F85" s="249"/>
      <c r="G85" s="249"/>
    </row>
    <row r="86" spans="2:7" ht="11.4" customHeight="1" x14ac:dyDescent="0.3">
      <c r="B86" s="470"/>
      <c r="C86" s="471"/>
      <c r="D86" s="472"/>
      <c r="E86" s="473"/>
      <c r="F86" s="249"/>
      <c r="G86" s="249"/>
    </row>
    <row r="87" spans="2:7" ht="15" customHeight="1" x14ac:dyDescent="0.3">
      <c r="B87" s="11" t="s">
        <v>1044</v>
      </c>
      <c r="C87" s="471"/>
      <c r="D87" s="472"/>
      <c r="E87" s="473"/>
      <c r="F87" s="249"/>
      <c r="G87" s="249"/>
    </row>
    <row r="88" spans="2:7" ht="15" customHeight="1" x14ac:dyDescent="0.3">
      <c r="B88" s="10" t="s">
        <v>942</v>
      </c>
      <c r="C88" s="471"/>
      <c r="D88" s="472"/>
      <c r="E88" s="473"/>
      <c r="F88" s="249"/>
      <c r="G88" s="249"/>
    </row>
    <row r="89" spans="2:7" ht="15" customHeight="1" x14ac:dyDescent="0.3">
      <c r="B89" s="10" t="s">
        <v>943</v>
      </c>
      <c r="C89" s="471"/>
      <c r="D89" s="472"/>
      <c r="E89" s="473"/>
      <c r="F89" s="249"/>
      <c r="G89" s="249"/>
    </row>
    <row r="90" spans="2:7" ht="15" customHeight="1" x14ac:dyDescent="0.3">
      <c r="B90" s="249"/>
      <c r="C90" s="249"/>
      <c r="D90" s="249"/>
      <c r="E90" s="249"/>
      <c r="F90" s="249"/>
      <c r="G90" s="249"/>
    </row>
    <row r="91" spans="2:7" x14ac:dyDescent="0.3">
      <c r="B91" s="11" t="s">
        <v>1045</v>
      </c>
    </row>
    <row r="92" spans="2:7" x14ac:dyDescent="0.3">
      <c r="B92" s="10" t="s">
        <v>944</v>
      </c>
    </row>
    <row r="94" spans="2:7" x14ac:dyDescent="0.3">
      <c r="B94" s="11" t="s">
        <v>1046</v>
      </c>
    </row>
    <row r="95" spans="2:7" x14ac:dyDescent="0.3">
      <c r="B95" s="10" t="s">
        <v>945</v>
      </c>
    </row>
    <row r="96" spans="2:7" x14ac:dyDescent="0.3">
      <c r="B96" s="10" t="s">
        <v>946</v>
      </c>
    </row>
    <row r="98" spans="2:2" x14ac:dyDescent="0.3">
      <c r="B98" s="11" t="s">
        <v>1047</v>
      </c>
    </row>
    <row r="99" spans="2:2" x14ac:dyDescent="0.3">
      <c r="B99" s="10" t="s">
        <v>947</v>
      </c>
    </row>
    <row r="101" spans="2:2" x14ac:dyDescent="0.3">
      <c r="B101" s="11" t="s">
        <v>1048</v>
      </c>
    </row>
    <row r="102" spans="2:2" x14ac:dyDescent="0.3">
      <c r="B102" s="10" t="s">
        <v>948</v>
      </c>
    </row>
    <row r="103" spans="2:2" x14ac:dyDescent="0.3">
      <c r="B103" s="10" t="s">
        <v>949</v>
      </c>
    </row>
    <row r="104" spans="2:2" x14ac:dyDescent="0.3">
      <c r="B104" s="10" t="s">
        <v>950</v>
      </c>
    </row>
    <row r="105" spans="2:2" x14ac:dyDescent="0.3">
      <c r="B105" s="10" t="s">
        <v>951</v>
      </c>
    </row>
    <row r="107" spans="2:2" x14ac:dyDescent="0.3">
      <c r="B107" s="10" t="s">
        <v>952</v>
      </c>
    </row>
    <row r="108" spans="2:2" x14ac:dyDescent="0.3">
      <c r="B108" s="10" t="s">
        <v>953</v>
      </c>
    </row>
    <row r="111" spans="2:2" x14ac:dyDescent="0.3">
      <c r="B111" s="11" t="s">
        <v>1049</v>
      </c>
    </row>
    <row r="112" spans="2:2" x14ac:dyDescent="0.3">
      <c r="B112" s="10" t="s">
        <v>954</v>
      </c>
    </row>
    <row r="113" spans="2:8" x14ac:dyDescent="0.3">
      <c r="B113" s="10" t="s">
        <v>956</v>
      </c>
    </row>
    <row r="114" spans="2:8" x14ac:dyDescent="0.3">
      <c r="B114" s="10" t="s">
        <v>955</v>
      </c>
    </row>
    <row r="117" spans="2:8" x14ac:dyDescent="0.3">
      <c r="B117" s="11" t="s">
        <v>1050</v>
      </c>
    </row>
    <row r="118" spans="2:8" x14ac:dyDescent="0.3">
      <c r="B118" s="11" t="s">
        <v>1092</v>
      </c>
    </row>
    <row r="119" spans="2:8" x14ac:dyDescent="0.3">
      <c r="B119" s="10" t="s">
        <v>959</v>
      </c>
    </row>
    <row r="120" spans="2:8" x14ac:dyDescent="0.3">
      <c r="B120" s="10" t="s">
        <v>1093</v>
      </c>
    </row>
    <row r="121" spans="2:8" x14ac:dyDescent="0.3">
      <c r="B121" s="10" t="s">
        <v>1094</v>
      </c>
    </row>
    <row r="122" spans="2:8" x14ac:dyDescent="0.3">
      <c r="B122" s="10" t="s">
        <v>1095</v>
      </c>
    </row>
    <row r="123" spans="2:8" x14ac:dyDescent="0.3">
      <c r="H123" s="393" t="s">
        <v>1096</v>
      </c>
    </row>
    <row r="124" spans="2:8" x14ac:dyDescent="0.3">
      <c r="B124" s="10" t="s">
        <v>957</v>
      </c>
    </row>
    <row r="125" spans="2:8" x14ac:dyDescent="0.3">
      <c r="B125" s="10" t="s">
        <v>958</v>
      </c>
    </row>
    <row r="127" spans="2:8" ht="18" x14ac:dyDescent="0.35">
      <c r="C127" s="4" t="s">
        <v>964</v>
      </c>
    </row>
    <row r="129" spans="2:14" x14ac:dyDescent="0.3">
      <c r="B129" s="11" t="s">
        <v>1051</v>
      </c>
    </row>
    <row r="130" spans="2:14" x14ac:dyDescent="0.3">
      <c r="B130" s="10" t="s">
        <v>960</v>
      </c>
    </row>
    <row r="131" spans="2:14" x14ac:dyDescent="0.3">
      <c r="B131" s="10" t="s">
        <v>965</v>
      </c>
    </row>
    <row r="132" spans="2:14" x14ac:dyDescent="0.3">
      <c r="B132" s="10" t="s">
        <v>966</v>
      </c>
    </row>
    <row r="133" spans="2:14" x14ac:dyDescent="0.3">
      <c r="B133" s="10" t="s">
        <v>967</v>
      </c>
    </row>
    <row r="135" spans="2:14" x14ac:dyDescent="0.3">
      <c r="B135" s="11" t="s">
        <v>1052</v>
      </c>
      <c r="J135" s="474">
        <f>AVERAGE(33%,22%,28%,17%,24%)</f>
        <v>0.248</v>
      </c>
    </row>
    <row r="136" spans="2:14" x14ac:dyDescent="0.3">
      <c r="B136" s="10" t="s">
        <v>963</v>
      </c>
      <c r="N136" s="474">
        <f>AVERAGE(12%,25%,34%,15%,19%,44%,54%,33%,22%,28%,17%,24%)</f>
        <v>0.27250000000000002</v>
      </c>
    </row>
    <row r="137" spans="2:14" x14ac:dyDescent="0.3">
      <c r="B137" s="10" t="s">
        <v>961</v>
      </c>
    </row>
    <row r="138" spans="2:14" x14ac:dyDescent="0.3">
      <c r="B138" s="10" t="s">
        <v>962</v>
      </c>
    </row>
    <row r="140" spans="2:14" x14ac:dyDescent="0.3">
      <c r="B140" s="11" t="s">
        <v>1053</v>
      </c>
    </row>
    <row r="141" spans="2:14" x14ac:dyDescent="0.3">
      <c r="B141" s="10" t="s">
        <v>968</v>
      </c>
    </row>
    <row r="143" spans="2:14" x14ac:dyDescent="0.3">
      <c r="B143" s="11" t="s">
        <v>1098</v>
      </c>
      <c r="K143" s="474">
        <f>AVERAGE(33%,22%,28%,17%,-24%)</f>
        <v>0.152</v>
      </c>
    </row>
    <row r="144" spans="2:14" x14ac:dyDescent="0.3">
      <c r="B144" s="10" t="s">
        <v>1097</v>
      </c>
      <c r="N144" s="474">
        <f>AVERAGE(12%,25%,34%,15%,19%,44%,54%,33%,22%,28%,17%,-24%)</f>
        <v>0.23250000000000001</v>
      </c>
    </row>
    <row r="145" spans="2:2" x14ac:dyDescent="0.3">
      <c r="B145" s="10" t="s">
        <v>969</v>
      </c>
    </row>
    <row r="147" spans="2:2" x14ac:dyDescent="0.3">
      <c r="B147" s="11" t="s">
        <v>1054</v>
      </c>
    </row>
    <row r="148" spans="2:2" x14ac:dyDescent="0.3">
      <c r="B148" s="10" t="s">
        <v>970</v>
      </c>
    </row>
    <row r="149" spans="2:2" x14ac:dyDescent="0.3">
      <c r="B149" s="10" t="s">
        <v>971</v>
      </c>
    </row>
    <row r="151" spans="2:2" x14ac:dyDescent="0.3">
      <c r="B151" s="11" t="s">
        <v>1055</v>
      </c>
    </row>
    <row r="152" spans="2:2" x14ac:dyDescent="0.3">
      <c r="B152" s="10" t="s">
        <v>972</v>
      </c>
    </row>
    <row r="153" spans="2:2" x14ac:dyDescent="0.3">
      <c r="B153" s="10" t="s">
        <v>973</v>
      </c>
    </row>
    <row r="155" spans="2:2" x14ac:dyDescent="0.3">
      <c r="B155" s="11" t="s">
        <v>1056</v>
      </c>
    </row>
    <row r="156" spans="2:2" x14ac:dyDescent="0.3">
      <c r="B156" s="10" t="s">
        <v>1099</v>
      </c>
    </row>
    <row r="158" spans="2:2" x14ac:dyDescent="0.3">
      <c r="B158" s="11" t="s">
        <v>1057</v>
      </c>
    </row>
    <row r="159" spans="2:2" x14ac:dyDescent="0.3">
      <c r="B159" s="10" t="s">
        <v>974</v>
      </c>
    </row>
    <row r="161" spans="2:2" x14ac:dyDescent="0.3">
      <c r="B161" s="10" t="s">
        <v>975</v>
      </c>
    </row>
    <row r="162" spans="2:2" x14ac:dyDescent="0.3">
      <c r="B162" s="10" t="s">
        <v>976</v>
      </c>
    </row>
    <row r="163" spans="2:2" x14ac:dyDescent="0.3">
      <c r="B163" s="10" t="s">
        <v>977</v>
      </c>
    </row>
    <row r="164" spans="2:2" x14ac:dyDescent="0.3">
      <c r="B164" s="10" t="s">
        <v>978</v>
      </c>
    </row>
    <row r="165" spans="2:2" x14ac:dyDescent="0.3">
      <c r="B165" s="10" t="s">
        <v>979</v>
      </c>
    </row>
    <row r="166" spans="2:2" x14ac:dyDescent="0.3">
      <c r="B166" s="10" t="s">
        <v>980</v>
      </c>
    </row>
    <row r="167" spans="2:2" x14ac:dyDescent="0.3">
      <c r="B167" s="10" t="s">
        <v>981</v>
      </c>
    </row>
    <row r="168" spans="2:2" x14ac:dyDescent="0.3">
      <c r="B168" s="10" t="s">
        <v>982</v>
      </c>
    </row>
    <row r="169" spans="2:2" x14ac:dyDescent="0.3">
      <c r="B169" s="10" t="s">
        <v>983</v>
      </c>
    </row>
    <row r="171" spans="2:2" x14ac:dyDescent="0.3">
      <c r="B171" s="287" t="s">
        <v>1058</v>
      </c>
    </row>
    <row r="172" spans="2:2" x14ac:dyDescent="0.3">
      <c r="B172" s="10" t="s">
        <v>1099</v>
      </c>
    </row>
    <row r="174" spans="2:2" x14ac:dyDescent="0.3">
      <c r="B174" s="11" t="s">
        <v>1059</v>
      </c>
    </row>
    <row r="175" spans="2:2" x14ac:dyDescent="0.3">
      <c r="B175" s="10" t="s">
        <v>984</v>
      </c>
    </row>
    <row r="177" spans="2:15" x14ac:dyDescent="0.3">
      <c r="B177" s="11" t="s">
        <v>1060</v>
      </c>
    </row>
    <row r="178" spans="2:15" x14ac:dyDescent="0.3">
      <c r="B178" s="10" t="s">
        <v>985</v>
      </c>
    </row>
    <row r="179" spans="2:15" x14ac:dyDescent="0.3">
      <c r="B179" s="10" t="s">
        <v>986</v>
      </c>
    </row>
    <row r="181" spans="2:15" x14ac:dyDescent="0.3">
      <c r="B181" s="11" t="s">
        <v>1061</v>
      </c>
    </row>
    <row r="182" spans="2:15" x14ac:dyDescent="0.3">
      <c r="B182" s="10" t="s">
        <v>987</v>
      </c>
    </row>
    <row r="184" spans="2:15" x14ac:dyDescent="0.3">
      <c r="B184" s="480" t="s">
        <v>988</v>
      </c>
      <c r="C184" s="481">
        <v>0</v>
      </c>
      <c r="D184" s="481">
        <v>1</v>
      </c>
      <c r="E184" s="481">
        <v>2</v>
      </c>
      <c r="F184" s="481">
        <v>3</v>
      </c>
      <c r="G184" s="481">
        <v>4</v>
      </c>
      <c r="H184" s="481">
        <v>5</v>
      </c>
      <c r="I184" s="481">
        <v>6</v>
      </c>
      <c r="J184" s="481">
        <v>7</v>
      </c>
      <c r="K184" s="481">
        <v>8</v>
      </c>
      <c r="L184" s="481">
        <v>9</v>
      </c>
      <c r="M184" s="481">
        <v>10</v>
      </c>
      <c r="N184" s="481">
        <v>11</v>
      </c>
      <c r="O184" s="481">
        <v>12</v>
      </c>
    </row>
    <row r="185" spans="2:15" x14ac:dyDescent="0.3">
      <c r="B185" s="319" t="s">
        <v>989</v>
      </c>
      <c r="C185" s="482">
        <v>2.5099999999999998</v>
      </c>
      <c r="D185" s="483">
        <v>2.57</v>
      </c>
      <c r="E185" s="483">
        <v>2.6</v>
      </c>
      <c r="F185" s="483">
        <v>2.61</v>
      </c>
      <c r="G185" s="483">
        <v>2.59</v>
      </c>
      <c r="H185" s="483">
        <v>2.61</v>
      </c>
      <c r="I185" s="483">
        <v>2.64</v>
      </c>
      <c r="J185" s="483">
        <v>2.6</v>
      </c>
      <c r="K185" s="483">
        <v>2.62</v>
      </c>
      <c r="L185" s="483">
        <v>2.63</v>
      </c>
      <c r="M185" s="483">
        <v>2.65</v>
      </c>
      <c r="N185" s="483">
        <v>2.61</v>
      </c>
      <c r="O185" s="483">
        <v>2.65</v>
      </c>
    </row>
    <row r="186" spans="2:15" x14ac:dyDescent="0.3">
      <c r="B186" s="319" t="s">
        <v>990</v>
      </c>
      <c r="C186" s="250"/>
      <c r="D186" s="491">
        <f>LN(D185/C185)</f>
        <v>2.3623145763435893E-2</v>
      </c>
      <c r="E186" s="491">
        <f t="shared" ref="E186:O186" si="0">LN(E185/D185)</f>
        <v>1.160554612030811E-2</v>
      </c>
      <c r="F186" s="491">
        <f>LN(F185/E185)</f>
        <v>3.8387763071656669E-3</v>
      </c>
      <c r="G186" s="491">
        <f t="shared" si="0"/>
        <v>-7.6923456231556137E-3</v>
      </c>
      <c r="H186" s="491">
        <f t="shared" si="0"/>
        <v>7.6923456231556449E-3</v>
      </c>
      <c r="I186" s="491">
        <f t="shared" si="0"/>
        <v>1.142869582362285E-2</v>
      </c>
      <c r="J186" s="491">
        <f t="shared" si="0"/>
        <v>-1.5267472130788421E-2</v>
      </c>
      <c r="K186" s="491">
        <f t="shared" si="0"/>
        <v>7.6628727455690972E-3</v>
      </c>
      <c r="L186" s="491">
        <f t="shared" si="0"/>
        <v>3.8095284166676487E-3</v>
      </c>
      <c r="M186" s="491">
        <f t="shared" si="0"/>
        <v>7.5757938084577226E-3</v>
      </c>
      <c r="N186" s="491">
        <f t="shared" si="0"/>
        <v>-1.5209418663528795E-2</v>
      </c>
      <c r="O186" s="491">
        <f t="shared" si="0"/>
        <v>1.5209418663528708E-2</v>
      </c>
    </row>
    <row r="187" spans="2:15" x14ac:dyDescent="0.3">
      <c r="B187" s="359"/>
      <c r="C187" s="360"/>
      <c r="D187" s="417"/>
      <c r="E187" s="417"/>
      <c r="F187" s="417"/>
      <c r="G187" s="417"/>
      <c r="H187" s="417"/>
      <c r="I187" s="417"/>
      <c r="J187" s="417"/>
      <c r="K187" s="417"/>
      <c r="L187" s="417"/>
      <c r="M187" s="417"/>
      <c r="N187" s="417"/>
      <c r="O187" s="417"/>
    </row>
    <row r="188" spans="2:15" ht="18" x14ac:dyDescent="0.3">
      <c r="B188" s="475" t="s">
        <v>1100</v>
      </c>
      <c r="C188" s="360"/>
      <c r="D188" s="417"/>
      <c r="E188" s="417"/>
      <c r="F188" s="417"/>
      <c r="G188" s="417"/>
      <c r="H188" s="417"/>
      <c r="I188" s="417"/>
      <c r="J188" s="417"/>
      <c r="K188" s="417"/>
      <c r="L188" s="417"/>
      <c r="M188" s="417"/>
      <c r="N188" s="417"/>
      <c r="O188" s="417"/>
    </row>
    <row r="189" spans="2:15" x14ac:dyDescent="0.3">
      <c r="B189" s="475" t="s">
        <v>1101</v>
      </c>
      <c r="C189" s="360"/>
      <c r="D189" s="417"/>
      <c r="E189" s="417"/>
      <c r="F189" s="417"/>
      <c r="G189" s="417"/>
      <c r="H189" s="417"/>
      <c r="I189" s="417"/>
      <c r="J189" s="417"/>
      <c r="K189" s="417"/>
      <c r="L189" s="417"/>
      <c r="M189" s="417"/>
      <c r="N189" s="417"/>
      <c r="O189" s="417"/>
    </row>
    <row r="190" spans="2:15" x14ac:dyDescent="0.3">
      <c r="B190" s="475"/>
      <c r="C190" s="360"/>
      <c r="D190" s="417"/>
      <c r="E190" s="417"/>
      <c r="F190" s="417"/>
      <c r="G190" s="417"/>
      <c r="H190" s="417"/>
      <c r="I190" s="417"/>
      <c r="J190" s="417"/>
      <c r="K190" s="417"/>
      <c r="L190" s="417"/>
      <c r="M190" s="417"/>
      <c r="N190" s="417"/>
      <c r="O190" s="417"/>
    </row>
    <row r="191" spans="2:15" s="249" customFormat="1" ht="13.8" x14ac:dyDescent="0.3">
      <c r="C191" s="489" t="s">
        <v>1103</v>
      </c>
      <c r="D191" s="499">
        <f>AVERAGE(D186:O186)</f>
        <v>4.5230739045365427E-3</v>
      </c>
    </row>
    <row r="192" spans="2:15" s="249" customFormat="1" ht="13.8" x14ac:dyDescent="0.3"/>
    <row r="193" spans="2:15" s="249" customFormat="1" ht="13.8" x14ac:dyDescent="0.3">
      <c r="D193" s="477">
        <f>D185/C185</f>
        <v>1.0239043824701195</v>
      </c>
      <c r="E193" s="477">
        <f>E185/D185</f>
        <v>1.0116731517509729</v>
      </c>
      <c r="F193" s="477">
        <f>F185/E185</f>
        <v>1.0038461538461538</v>
      </c>
      <c r="G193" s="477">
        <f>G185/F185</f>
        <v>0.9923371647509579</v>
      </c>
      <c r="H193" s="477">
        <f>H185/G185</f>
        <v>1.0077220077220077</v>
      </c>
      <c r="I193" s="477">
        <f>I185/H185</f>
        <v>1.0114942528735633</v>
      </c>
      <c r="J193" s="477">
        <f>J185/I185</f>
        <v>0.98484848484848486</v>
      </c>
      <c r="K193" s="477">
        <f>K185/J185</f>
        <v>1.0076923076923077</v>
      </c>
      <c r="L193" s="477">
        <f>L185/K185</f>
        <v>1.0038167938931297</v>
      </c>
      <c r="M193" s="477">
        <f>M185/L185</f>
        <v>1.0076045627376427</v>
      </c>
      <c r="N193" s="477">
        <f>N185/M185</f>
        <v>0.98490566037735849</v>
      </c>
      <c r="O193" s="477">
        <f>O185/N185</f>
        <v>1.0153256704980842</v>
      </c>
    </row>
    <row r="194" spans="2:15" s="249" customFormat="1" ht="13.8" x14ac:dyDescent="0.3"/>
    <row r="195" spans="2:15" s="249" customFormat="1" ht="13.8" x14ac:dyDescent="0.3">
      <c r="C195" s="489" t="s">
        <v>1103</v>
      </c>
      <c r="D195" s="499">
        <f>AVERAGE(D193:O193)-1</f>
        <v>4.5975494550651863E-3</v>
      </c>
    </row>
    <row r="197" spans="2:15" x14ac:dyDescent="0.3">
      <c r="B197" s="10" t="s">
        <v>992</v>
      </c>
    </row>
    <row r="199" spans="2:15" x14ac:dyDescent="0.3">
      <c r="B199" s="11" t="s">
        <v>1062</v>
      </c>
    </row>
    <row r="201" spans="2:15" x14ac:dyDescent="0.3">
      <c r="B201" s="11" t="s">
        <v>1063</v>
      </c>
    </row>
    <row r="202" spans="2:15" x14ac:dyDescent="0.3">
      <c r="B202" s="10" t="s">
        <v>995</v>
      </c>
    </row>
    <row r="203" spans="2:15" x14ac:dyDescent="0.3">
      <c r="B203" s="10" t="s">
        <v>993</v>
      </c>
    </row>
    <row r="204" spans="2:15" x14ac:dyDescent="0.3">
      <c r="B204" s="10" t="s">
        <v>994</v>
      </c>
    </row>
    <row r="206" spans="2:15" x14ac:dyDescent="0.3">
      <c r="B206" s="480" t="s">
        <v>988</v>
      </c>
      <c r="C206" s="481">
        <v>0</v>
      </c>
      <c r="D206" s="481">
        <v>1</v>
      </c>
      <c r="E206" s="481">
        <v>2</v>
      </c>
      <c r="F206" s="481">
        <v>3</v>
      </c>
      <c r="G206" s="481">
        <v>4</v>
      </c>
      <c r="H206" s="481">
        <v>5</v>
      </c>
      <c r="I206" s="481">
        <v>6</v>
      </c>
      <c r="J206" s="481">
        <v>7</v>
      </c>
      <c r="K206" s="481">
        <v>8</v>
      </c>
      <c r="L206" s="481">
        <v>9</v>
      </c>
      <c r="M206" s="481">
        <v>10</v>
      </c>
      <c r="N206" s="481">
        <v>11</v>
      </c>
      <c r="O206" s="481">
        <v>12</v>
      </c>
    </row>
    <row r="207" spans="2:15" x14ac:dyDescent="0.3">
      <c r="B207" s="319" t="s">
        <v>989</v>
      </c>
      <c r="C207" s="482">
        <v>2.5099999999999998</v>
      </c>
      <c r="D207" s="483">
        <v>2.57</v>
      </c>
      <c r="E207" s="483">
        <v>2.6</v>
      </c>
      <c r="F207" s="483">
        <v>2.61</v>
      </c>
      <c r="G207" s="483">
        <v>2.59</v>
      </c>
      <c r="H207" s="483">
        <v>2.61</v>
      </c>
      <c r="I207" s="483">
        <v>2.64</v>
      </c>
      <c r="J207" s="483">
        <v>2.6</v>
      </c>
      <c r="K207" s="483">
        <v>2.62</v>
      </c>
      <c r="L207" s="483">
        <v>2.63</v>
      </c>
      <c r="M207" s="483">
        <v>2.65</v>
      </c>
      <c r="N207" s="483">
        <v>2.61</v>
      </c>
      <c r="O207" s="483">
        <v>2.65</v>
      </c>
    </row>
    <row r="208" spans="2:15" x14ac:dyDescent="0.3">
      <c r="B208" s="319" t="s">
        <v>990</v>
      </c>
      <c r="C208" s="250"/>
      <c r="D208" s="491">
        <f>LN(D207/C207)</f>
        <v>2.3623145763435893E-2</v>
      </c>
      <c r="E208" s="491">
        <f t="shared" ref="E208" si="1">LN(E207/D207)</f>
        <v>1.160554612030811E-2</v>
      </c>
      <c r="F208" s="491">
        <f t="shared" ref="F208" si="2">LN(F207/E207)</f>
        <v>3.8387763071656669E-3</v>
      </c>
      <c r="G208" s="491">
        <f t="shared" ref="G208" si="3">LN(G207/F207)</f>
        <v>-7.6923456231556137E-3</v>
      </c>
      <c r="H208" s="491">
        <f t="shared" ref="H208" si="4">LN(H207/G207)</f>
        <v>7.6923456231556449E-3</v>
      </c>
      <c r="I208" s="491">
        <f t="shared" ref="I208" si="5">LN(I207/H207)</f>
        <v>1.142869582362285E-2</v>
      </c>
      <c r="J208" s="491">
        <f t="shared" ref="J208" si="6">LN(J207/I207)</f>
        <v>-1.5267472130788421E-2</v>
      </c>
      <c r="K208" s="491">
        <f t="shared" ref="K208" si="7">LN(K207/J207)</f>
        <v>7.6628727455690972E-3</v>
      </c>
      <c r="L208" s="491">
        <f t="shared" ref="L208" si="8">LN(L207/K207)</f>
        <v>3.8095284166676487E-3</v>
      </c>
      <c r="M208" s="491">
        <f t="shared" ref="M208" si="9">LN(M207/L207)</f>
        <v>7.5757938084577226E-3</v>
      </c>
      <c r="N208" s="491">
        <f t="shared" ref="N208" si="10">LN(N207/M207)</f>
        <v>-1.5209418663528795E-2</v>
      </c>
      <c r="O208" s="491">
        <f t="shared" ref="O208" si="11">LN(O207/N207)</f>
        <v>1.5209418663528708E-2</v>
      </c>
    </row>
    <row r="209" spans="2:15" x14ac:dyDescent="0.3">
      <c r="B209" s="484"/>
      <c r="C209" s="485"/>
      <c r="D209" s="486"/>
      <c r="E209" s="486"/>
      <c r="F209" s="486"/>
      <c r="G209" s="486"/>
      <c r="H209" s="486"/>
      <c r="I209" s="486"/>
      <c r="J209" s="486"/>
      <c r="K209" s="486"/>
      <c r="L209" s="486"/>
      <c r="M209" s="486"/>
      <c r="N209" s="486"/>
      <c r="O209" s="486"/>
    </row>
    <row r="210" spans="2:15" x14ac:dyDescent="0.3">
      <c r="B210" s="484"/>
      <c r="C210" s="485"/>
      <c r="D210" s="487">
        <f>1+D208</f>
        <v>1.0236231457634359</v>
      </c>
      <c r="E210" s="487">
        <f t="shared" ref="E210:O210" si="12">1+E208</f>
        <v>1.0116055461203082</v>
      </c>
      <c r="F210" s="487">
        <f t="shared" si="12"/>
        <v>1.0038387763071657</v>
      </c>
      <c r="G210" s="487">
        <f t="shared" si="12"/>
        <v>0.99230765437684443</v>
      </c>
      <c r="H210" s="487">
        <f t="shared" si="12"/>
        <v>1.0076923456231557</v>
      </c>
      <c r="I210" s="487">
        <f t="shared" si="12"/>
        <v>1.0114286958236229</v>
      </c>
      <c r="J210" s="487">
        <f t="shared" si="12"/>
        <v>0.98473252786921162</v>
      </c>
      <c r="K210" s="487">
        <f t="shared" si="12"/>
        <v>1.0076628727455692</v>
      </c>
      <c r="L210" s="487">
        <f t="shared" si="12"/>
        <v>1.0038095284166677</v>
      </c>
      <c r="M210" s="487">
        <f t="shared" si="12"/>
        <v>1.0075757938084577</v>
      </c>
      <c r="N210" s="487">
        <f t="shared" si="12"/>
        <v>0.98479058133647124</v>
      </c>
      <c r="O210" s="487">
        <f t="shared" si="12"/>
        <v>1.0152094186635288</v>
      </c>
    </row>
    <row r="211" spans="2:15" x14ac:dyDescent="0.3">
      <c r="B211" s="484"/>
      <c r="C211" s="485"/>
      <c r="D211" s="486"/>
      <c r="E211" s="486"/>
      <c r="F211" s="486"/>
      <c r="G211" s="486"/>
      <c r="H211" s="486"/>
      <c r="I211" s="486"/>
      <c r="J211" s="486"/>
      <c r="K211" s="486"/>
      <c r="L211" s="486"/>
      <c r="M211" s="486"/>
      <c r="N211" s="486"/>
      <c r="O211" s="486"/>
    </row>
    <row r="212" spans="2:15" x14ac:dyDescent="0.3">
      <c r="B212" s="484"/>
      <c r="C212" s="488" t="s">
        <v>1102</v>
      </c>
      <c r="D212" s="501">
        <f>GEOMEAN(D210:O210)-1</f>
        <v>4.4590714733232506E-3</v>
      </c>
      <c r="E212" s="486"/>
      <c r="F212" s="486"/>
      <c r="G212" s="486"/>
      <c r="H212" s="486"/>
      <c r="I212" s="486"/>
      <c r="J212" s="486"/>
      <c r="K212" s="486"/>
      <c r="L212" s="486"/>
      <c r="M212" s="486"/>
      <c r="N212" s="486"/>
      <c r="O212" s="486"/>
    </row>
    <row r="214" spans="2:15" x14ac:dyDescent="0.3">
      <c r="B214" s="11" t="s">
        <v>1064</v>
      </c>
    </row>
    <row r="216" spans="2:15" x14ac:dyDescent="0.3">
      <c r="B216" s="11" t="s">
        <v>1065</v>
      </c>
    </row>
    <row r="217" spans="2:15" x14ac:dyDescent="0.3">
      <c r="B217" s="10" t="s">
        <v>1104</v>
      </c>
    </row>
    <row r="219" spans="2:15" x14ac:dyDescent="0.3">
      <c r="B219" s="480" t="s">
        <v>988</v>
      </c>
      <c r="C219" s="481">
        <v>0</v>
      </c>
      <c r="D219" s="481">
        <v>1</v>
      </c>
      <c r="E219" s="481">
        <v>2</v>
      </c>
      <c r="F219" s="481">
        <v>3</v>
      </c>
      <c r="G219" s="481">
        <v>4</v>
      </c>
      <c r="H219" s="481">
        <v>5</v>
      </c>
      <c r="I219" s="481">
        <v>6</v>
      </c>
      <c r="J219" s="481">
        <v>7</v>
      </c>
      <c r="K219" s="481">
        <v>8</v>
      </c>
      <c r="L219" s="481">
        <v>9</v>
      </c>
      <c r="M219" s="481">
        <v>10</v>
      </c>
      <c r="N219" s="481">
        <v>11</v>
      </c>
      <c r="O219" s="481">
        <v>12</v>
      </c>
    </row>
    <row r="220" spans="2:15" x14ac:dyDescent="0.3">
      <c r="B220" s="319" t="s">
        <v>989</v>
      </c>
      <c r="C220" s="482">
        <v>2.5099999999999998</v>
      </c>
      <c r="D220" s="483">
        <v>2.57</v>
      </c>
      <c r="E220" s="483">
        <v>2.6</v>
      </c>
      <c r="F220" s="483">
        <v>2.61</v>
      </c>
      <c r="G220" s="483">
        <v>2.59</v>
      </c>
      <c r="H220" s="483">
        <v>2.61</v>
      </c>
      <c r="I220" s="483">
        <v>2.64</v>
      </c>
      <c r="J220" s="483">
        <v>2.6</v>
      </c>
      <c r="K220" s="483">
        <v>2.62</v>
      </c>
      <c r="L220" s="483">
        <v>2.63</v>
      </c>
      <c r="M220" s="483">
        <v>2.65</v>
      </c>
      <c r="N220" s="483">
        <v>2.61</v>
      </c>
      <c r="O220" s="483">
        <v>2.65</v>
      </c>
    </row>
    <row r="221" spans="2:15" x14ac:dyDescent="0.3">
      <c r="B221" s="319" t="s">
        <v>990</v>
      </c>
      <c r="C221" s="250"/>
      <c r="D221" s="491">
        <f>LN(D220/C220)</f>
        <v>2.3623145763435893E-2</v>
      </c>
      <c r="E221" s="491">
        <f t="shared" ref="E221" si="13">LN(E220/D220)</f>
        <v>1.160554612030811E-2</v>
      </c>
      <c r="F221" s="491">
        <f t="shared" ref="F221" si="14">LN(F220/E220)</f>
        <v>3.8387763071656669E-3</v>
      </c>
      <c r="G221" s="491">
        <f t="shared" ref="G221" si="15">LN(G220/F220)</f>
        <v>-7.6923456231556137E-3</v>
      </c>
      <c r="H221" s="491">
        <f t="shared" ref="H221" si="16">LN(H220/G220)</f>
        <v>7.6923456231556449E-3</v>
      </c>
      <c r="I221" s="491">
        <f t="shared" ref="I221" si="17">LN(I220/H220)</f>
        <v>1.142869582362285E-2</v>
      </c>
      <c r="J221" s="491">
        <f t="shared" ref="J221" si="18">LN(J220/I220)</f>
        <v>-1.5267472130788421E-2</v>
      </c>
      <c r="K221" s="491">
        <f t="shared" ref="K221" si="19">LN(K220/J220)</f>
        <v>7.6628727455690972E-3</v>
      </c>
      <c r="L221" s="491">
        <f t="shared" ref="L221" si="20">LN(L220/K220)</f>
        <v>3.8095284166676487E-3</v>
      </c>
      <c r="M221" s="491">
        <f t="shared" ref="M221" si="21">LN(M220/L220)</f>
        <v>7.5757938084577226E-3</v>
      </c>
      <c r="N221" s="491">
        <f t="shared" ref="N221" si="22">LN(N220/M220)</f>
        <v>-1.5209418663528795E-2</v>
      </c>
      <c r="O221" s="491">
        <f t="shared" ref="O221" si="23">LN(O220/N220)</f>
        <v>1.5209418663528708E-2</v>
      </c>
    </row>
    <row r="222" spans="2:15" x14ac:dyDescent="0.3">
      <c r="B222" s="484"/>
      <c r="C222" s="485"/>
      <c r="D222" s="486"/>
      <c r="E222" s="486"/>
      <c r="F222" s="486"/>
      <c r="G222" s="486"/>
      <c r="H222" s="486"/>
      <c r="I222" s="486"/>
      <c r="J222" s="486"/>
      <c r="K222" s="486"/>
      <c r="L222" s="486"/>
      <c r="M222" s="486"/>
      <c r="N222" s="486"/>
      <c r="O222" s="486"/>
    </row>
    <row r="223" spans="2:15" x14ac:dyDescent="0.3">
      <c r="B223" s="484"/>
      <c r="C223" s="492" t="s">
        <v>1105</v>
      </c>
      <c r="D223" s="500">
        <f>MEDIAN(D221:O221)</f>
        <v>7.6193332770134094E-3</v>
      </c>
      <c r="E223" s="486"/>
      <c r="F223" s="486"/>
      <c r="G223" s="486"/>
      <c r="H223" s="486"/>
      <c r="I223" s="486"/>
      <c r="J223" s="486"/>
      <c r="K223" s="486"/>
      <c r="L223" s="486"/>
      <c r="M223" s="486"/>
      <c r="N223" s="486"/>
      <c r="O223" s="486"/>
    </row>
    <row r="224" spans="2:15" x14ac:dyDescent="0.3">
      <c r="D224" s="249"/>
    </row>
    <row r="225" spans="2:6" x14ac:dyDescent="0.3">
      <c r="B225" s="11" t="s">
        <v>1066</v>
      </c>
    </row>
    <row r="227" spans="2:6" x14ac:dyDescent="0.3">
      <c r="B227" s="11" t="s">
        <v>1067</v>
      </c>
    </row>
    <row r="228" spans="2:6" x14ac:dyDescent="0.3">
      <c r="B228" s="10" t="s">
        <v>996</v>
      </c>
    </row>
    <row r="230" spans="2:6" x14ac:dyDescent="0.3">
      <c r="B230" s="493" t="s">
        <v>1106</v>
      </c>
      <c r="D230" s="499">
        <f>_xlfn.STDEV.S(D221:O221)</f>
        <v>1.1821830018416636E-2</v>
      </c>
      <c r="F230" s="409"/>
    </row>
    <row r="232" spans="2:6" x14ac:dyDescent="0.3">
      <c r="B232" s="11" t="s">
        <v>1068</v>
      </c>
    </row>
    <row r="234" spans="2:6" x14ac:dyDescent="0.3">
      <c r="B234" s="11" t="s">
        <v>1069</v>
      </c>
    </row>
    <row r="235" spans="2:6" x14ac:dyDescent="0.3">
      <c r="B235" s="10" t="s">
        <v>997</v>
      </c>
    </row>
    <row r="236" spans="2:6" x14ac:dyDescent="0.3">
      <c r="B236" s="10" t="s">
        <v>998</v>
      </c>
    </row>
    <row r="238" spans="2:6" x14ac:dyDescent="0.3">
      <c r="C238" s="488" t="s">
        <v>1102</v>
      </c>
      <c r="D238" s="499">
        <f>D212</f>
        <v>4.4590714733232506E-3</v>
      </c>
    </row>
    <row r="239" spans="2:6" x14ac:dyDescent="0.3">
      <c r="B239" s="249" t="s">
        <v>1107</v>
      </c>
      <c r="D239" s="498">
        <f>D238*252</f>
        <v>1.1236860112774592</v>
      </c>
    </row>
    <row r="240" spans="2:6" x14ac:dyDescent="0.3">
      <c r="B240" s="249" t="s">
        <v>1108</v>
      </c>
      <c r="D240" s="498">
        <f>D230*252^0.5</f>
        <v>0.18766573362245131</v>
      </c>
    </row>
    <row r="242" spans="2:14" ht="18" x14ac:dyDescent="0.35">
      <c r="C242" s="4" t="s">
        <v>999</v>
      </c>
    </row>
    <row r="244" spans="2:14" x14ac:dyDescent="0.3">
      <c r="B244" s="11" t="s">
        <v>1070</v>
      </c>
    </row>
    <row r="245" spans="2:14" x14ac:dyDescent="0.3">
      <c r="B245" s="10" t="s">
        <v>904</v>
      </c>
    </row>
    <row r="246" spans="2:14" ht="16.2" thickBot="1" x14ac:dyDescent="0.35"/>
    <row r="247" spans="2:14" ht="16.2" thickBot="1" x14ac:dyDescent="0.35">
      <c r="B247" s="456" t="s">
        <v>905</v>
      </c>
      <c r="C247" s="457">
        <v>1</v>
      </c>
      <c r="D247" s="457">
        <v>2</v>
      </c>
      <c r="E247" s="457">
        <v>3</v>
      </c>
      <c r="F247" s="457">
        <v>4</v>
      </c>
      <c r="G247" s="457">
        <v>5</v>
      </c>
      <c r="H247" s="457">
        <v>6</v>
      </c>
      <c r="I247" s="457">
        <v>7</v>
      </c>
      <c r="J247" s="457">
        <v>8</v>
      </c>
      <c r="K247" s="457">
        <v>9</v>
      </c>
      <c r="L247" s="457">
        <v>10</v>
      </c>
      <c r="M247" s="457">
        <v>11</v>
      </c>
      <c r="N247" s="457">
        <v>12</v>
      </c>
    </row>
    <row r="248" spans="2:14" ht="16.2" thickBot="1" x14ac:dyDescent="0.35">
      <c r="B248" s="290" t="s">
        <v>906</v>
      </c>
      <c r="C248" s="291">
        <v>12.1</v>
      </c>
      <c r="D248" s="291">
        <v>15.2</v>
      </c>
      <c r="E248" s="291">
        <v>15.3</v>
      </c>
      <c r="F248" s="291">
        <v>15.7</v>
      </c>
      <c r="G248" s="291">
        <v>15.2</v>
      </c>
      <c r="H248" s="291">
        <v>16.100000000000001</v>
      </c>
      <c r="I248" s="291">
        <v>16.5</v>
      </c>
      <c r="J248" s="291">
        <v>17.100000000000001</v>
      </c>
      <c r="K248" s="291">
        <v>17.2</v>
      </c>
      <c r="L248" s="291">
        <v>17</v>
      </c>
      <c r="M248" s="291">
        <v>16.8</v>
      </c>
      <c r="N248" s="291">
        <v>16.899999999999999</v>
      </c>
    </row>
    <row r="249" spans="2:14" ht="16.2" thickBot="1" x14ac:dyDescent="0.35">
      <c r="B249" s="290" t="s">
        <v>907</v>
      </c>
      <c r="C249" s="291">
        <v>115</v>
      </c>
      <c r="D249" s="291">
        <v>119</v>
      </c>
      <c r="E249" s="291">
        <v>121</v>
      </c>
      <c r="F249" s="291">
        <v>130</v>
      </c>
      <c r="G249" s="291">
        <v>131</v>
      </c>
      <c r="H249" s="291">
        <v>150</v>
      </c>
      <c r="I249" s="291">
        <v>155</v>
      </c>
      <c r="J249" s="291">
        <v>172</v>
      </c>
      <c r="K249" s="291">
        <v>174</v>
      </c>
      <c r="L249" s="291">
        <v>168</v>
      </c>
      <c r="M249" s="291">
        <v>161</v>
      </c>
      <c r="N249" s="291">
        <v>159</v>
      </c>
    </row>
    <row r="251" spans="2:14" x14ac:dyDescent="0.3">
      <c r="B251" s="458" t="s">
        <v>1000</v>
      </c>
    </row>
    <row r="252" spans="2:14" x14ac:dyDescent="0.3">
      <c r="B252" s="458"/>
    </row>
    <row r="253" spans="2:14" x14ac:dyDescent="0.3">
      <c r="C253" s="493" t="s">
        <v>1109</v>
      </c>
      <c r="D253" s="498">
        <f>CORREL(C248:N248,C249:N249)</f>
        <v>0.84745070179502613</v>
      </c>
    </row>
    <row r="255" spans="2:14" x14ac:dyDescent="0.3">
      <c r="B255" s="11" t="s">
        <v>1071</v>
      </c>
    </row>
    <row r="256" spans="2:14" x14ac:dyDescent="0.3">
      <c r="B256" s="10" t="s">
        <v>1001</v>
      </c>
    </row>
    <row r="257" spans="2:14" x14ac:dyDescent="0.3">
      <c r="B257" s="10" t="s">
        <v>1002</v>
      </c>
    </row>
    <row r="260" spans="2:14" x14ac:dyDescent="0.3">
      <c r="B260" s="11" t="s">
        <v>1072</v>
      </c>
    </row>
    <row r="261" spans="2:14" x14ac:dyDescent="0.3">
      <c r="B261" s="10" t="s">
        <v>1003</v>
      </c>
    </row>
    <row r="262" spans="2:14" x14ac:dyDescent="0.3">
      <c r="B262" s="10" t="s">
        <v>1004</v>
      </c>
    </row>
    <row r="263" spans="2:14" x14ac:dyDescent="0.3">
      <c r="B263" s="10" t="s">
        <v>1005</v>
      </c>
    </row>
    <row r="264" spans="2:14" x14ac:dyDescent="0.3">
      <c r="B264" s="10" t="s">
        <v>1006</v>
      </c>
    </row>
    <row r="265" spans="2:14" x14ac:dyDescent="0.3">
      <c r="B265" s="10" t="s">
        <v>1007</v>
      </c>
    </row>
    <row r="267" spans="2:14" x14ac:dyDescent="0.3">
      <c r="B267" s="11" t="s">
        <v>1073</v>
      </c>
    </row>
    <row r="268" spans="2:14" x14ac:dyDescent="0.3">
      <c r="B268" s="10" t="s">
        <v>1008</v>
      </c>
    </row>
    <row r="269" spans="2:14" ht="16.2" thickBot="1" x14ac:dyDescent="0.35"/>
    <row r="270" spans="2:14" ht="16.2" thickBot="1" x14ac:dyDescent="0.35">
      <c r="B270" s="456" t="s">
        <v>905</v>
      </c>
      <c r="C270" s="457">
        <v>1</v>
      </c>
      <c r="D270" s="459">
        <v>2</v>
      </c>
      <c r="E270" s="459">
        <v>3</v>
      </c>
      <c r="F270" s="459">
        <v>4</v>
      </c>
      <c r="G270" s="459">
        <v>5</v>
      </c>
      <c r="H270" s="459">
        <v>6</v>
      </c>
      <c r="I270" s="459">
        <v>7</v>
      </c>
      <c r="J270" s="459">
        <v>8</v>
      </c>
      <c r="K270" s="459">
        <v>9</v>
      </c>
      <c r="L270" s="459">
        <v>10</v>
      </c>
      <c r="M270" s="459">
        <v>11</v>
      </c>
      <c r="N270" s="459">
        <v>12</v>
      </c>
    </row>
    <row r="271" spans="2:14" ht="16.2" thickBot="1" x14ac:dyDescent="0.35">
      <c r="B271" s="290" t="s">
        <v>906</v>
      </c>
      <c r="C271" s="460" t="s">
        <v>991</v>
      </c>
      <c r="D271" s="461">
        <v>15.2</v>
      </c>
      <c r="E271" s="461">
        <v>15.3</v>
      </c>
      <c r="F271" s="461">
        <v>15.7</v>
      </c>
      <c r="G271" s="461">
        <v>15.2</v>
      </c>
      <c r="H271" s="461">
        <v>16.100000000000001</v>
      </c>
      <c r="I271" s="461">
        <v>16.5</v>
      </c>
      <c r="J271" s="461">
        <v>17.100000000000001</v>
      </c>
      <c r="K271" s="461">
        <v>17.2</v>
      </c>
      <c r="L271" s="461">
        <v>17</v>
      </c>
      <c r="M271" s="461">
        <v>16.8</v>
      </c>
      <c r="N271" s="460">
        <v>16.899999999999999</v>
      </c>
    </row>
    <row r="272" spans="2:14" ht="16.2" thickBot="1" x14ac:dyDescent="0.35">
      <c r="B272" s="462" t="s">
        <v>907</v>
      </c>
      <c r="C272" s="461">
        <v>115</v>
      </c>
      <c r="D272" s="461">
        <v>119</v>
      </c>
      <c r="E272" s="461">
        <v>121</v>
      </c>
      <c r="F272" s="461">
        <v>130</v>
      </c>
      <c r="G272" s="461">
        <v>131</v>
      </c>
      <c r="H272" s="461">
        <v>150</v>
      </c>
      <c r="I272" s="461">
        <v>155</v>
      </c>
      <c r="J272" s="461">
        <v>172</v>
      </c>
      <c r="K272" s="461">
        <v>174</v>
      </c>
      <c r="L272" s="461">
        <v>168</v>
      </c>
      <c r="M272" s="460">
        <v>161</v>
      </c>
      <c r="N272" s="291" t="s">
        <v>991</v>
      </c>
    </row>
    <row r="274" spans="2:12" x14ac:dyDescent="0.3">
      <c r="B274" s="10" t="s">
        <v>1009</v>
      </c>
    </row>
    <row r="275" spans="2:12" x14ac:dyDescent="0.3">
      <c r="B275" s="10" t="s">
        <v>1010</v>
      </c>
    </row>
    <row r="277" spans="2:12" x14ac:dyDescent="0.3">
      <c r="C277" s="493" t="s">
        <v>1109</v>
      </c>
      <c r="D277" s="498">
        <f>CORREL(C272:M272,D271:N271)</f>
        <v>0.93090163437304796</v>
      </c>
    </row>
    <row r="278" spans="2:12" x14ac:dyDescent="0.3">
      <c r="D278" s="478"/>
    </row>
    <row r="279" spans="2:12" ht="18" x14ac:dyDescent="0.35">
      <c r="C279" s="4" t="s">
        <v>1011</v>
      </c>
    </row>
    <row r="281" spans="2:12" x14ac:dyDescent="0.3">
      <c r="B281" s="11" t="s">
        <v>1074</v>
      </c>
    </row>
    <row r="282" spans="2:12" ht="16.2" thickBot="1" x14ac:dyDescent="0.35"/>
    <row r="283" spans="2:12" ht="16.2" thickBot="1" x14ac:dyDescent="0.35">
      <c r="B283" s="456" t="s">
        <v>86</v>
      </c>
      <c r="C283" s="457">
        <v>1</v>
      </c>
      <c r="D283" s="457">
        <v>2</v>
      </c>
      <c r="E283" s="457">
        <v>3</v>
      </c>
      <c r="F283" s="457">
        <v>4</v>
      </c>
      <c r="G283" s="457">
        <v>5</v>
      </c>
      <c r="H283" s="457">
        <v>6</v>
      </c>
      <c r="I283" s="457">
        <v>7</v>
      </c>
      <c r="J283" s="457">
        <v>8</v>
      </c>
      <c r="K283" s="457">
        <v>9</v>
      </c>
      <c r="L283" s="457">
        <v>10</v>
      </c>
    </row>
    <row r="284" spans="2:12" ht="16.2" thickBot="1" x14ac:dyDescent="0.35">
      <c r="B284" s="290" t="s">
        <v>1012</v>
      </c>
      <c r="C284" s="291">
        <v>55</v>
      </c>
      <c r="D284" s="291">
        <v>70</v>
      </c>
      <c r="E284" s="291">
        <v>82</v>
      </c>
      <c r="F284" s="291">
        <v>90</v>
      </c>
      <c r="G284" s="291">
        <v>98</v>
      </c>
      <c r="H284" s="291">
        <v>105</v>
      </c>
      <c r="I284" s="291">
        <v>110</v>
      </c>
      <c r="J284" s="291">
        <v>120</v>
      </c>
      <c r="K284" s="291">
        <v>128</v>
      </c>
      <c r="L284" s="291">
        <v>132</v>
      </c>
    </row>
    <row r="285" spans="2:12" ht="16.2" thickBot="1" x14ac:dyDescent="0.35">
      <c r="B285" s="290" t="s">
        <v>1013</v>
      </c>
      <c r="C285" s="291">
        <v>10</v>
      </c>
      <c r="D285" s="291">
        <v>12</v>
      </c>
      <c r="E285" s="291">
        <v>13</v>
      </c>
      <c r="F285" s="291">
        <v>17</v>
      </c>
      <c r="G285" s="291">
        <v>18</v>
      </c>
      <c r="H285" s="291">
        <v>20</v>
      </c>
      <c r="I285" s="291">
        <v>22</v>
      </c>
      <c r="J285" s="291">
        <v>25</v>
      </c>
      <c r="K285" s="291">
        <v>30</v>
      </c>
      <c r="L285" s="291">
        <v>34</v>
      </c>
    </row>
    <row r="287" spans="2:12" x14ac:dyDescent="0.3">
      <c r="B287" s="10" t="s">
        <v>1014</v>
      </c>
    </row>
    <row r="288" spans="2:12" x14ac:dyDescent="0.3">
      <c r="B288" s="10" t="s">
        <v>1015</v>
      </c>
    </row>
    <row r="290" spans="2:8" x14ac:dyDescent="0.3">
      <c r="D290" s="438" t="s">
        <v>882</v>
      </c>
      <c r="E290" s="438" t="s">
        <v>883</v>
      </c>
    </row>
    <row r="291" spans="2:8" ht="18" x14ac:dyDescent="0.35">
      <c r="D291" s="497">
        <f t="array" ref="D291:E291">LINEST(C285:L285,C284:L284)</f>
        <v>0.29933051444679354</v>
      </c>
      <c r="E291" s="497">
        <v>-9.5337209302325583</v>
      </c>
      <c r="G291" s="494" t="s">
        <v>881</v>
      </c>
    </row>
    <row r="292" spans="2:8" ht="18" x14ac:dyDescent="0.35">
      <c r="D292" s="479"/>
      <c r="E292" s="479"/>
      <c r="H292" s="494"/>
    </row>
    <row r="294" spans="2:8" x14ac:dyDescent="0.3">
      <c r="B294" s="11" t="s">
        <v>1075</v>
      </c>
    </row>
    <row r="295" spans="2:8" x14ac:dyDescent="0.3">
      <c r="B295" s="10" t="s">
        <v>1016</v>
      </c>
    </row>
    <row r="298" spans="2:8" x14ac:dyDescent="0.3">
      <c r="B298" s="11" t="s">
        <v>1076</v>
      </c>
    </row>
    <row r="299" spans="2:8" x14ac:dyDescent="0.3">
      <c r="B299" s="10" t="s">
        <v>1017</v>
      </c>
    </row>
    <row r="300" spans="2:8" x14ac:dyDescent="0.3">
      <c r="B300" s="10" t="s">
        <v>1018</v>
      </c>
    </row>
    <row r="302" spans="2:8" x14ac:dyDescent="0.3">
      <c r="B302" s="11" t="s">
        <v>1077</v>
      </c>
    </row>
    <row r="303" spans="2:8" x14ac:dyDescent="0.3">
      <c r="B303" s="10" t="s">
        <v>1110</v>
      </c>
    </row>
    <row r="304" spans="2:8" ht="16.2" thickBot="1" x14ac:dyDescent="0.35"/>
    <row r="305" spans="2:12" ht="16.2" thickBot="1" x14ac:dyDescent="0.35">
      <c r="B305" s="456" t="s">
        <v>86</v>
      </c>
      <c r="C305" s="457">
        <v>1</v>
      </c>
      <c r="D305" s="457">
        <v>2</v>
      </c>
      <c r="E305" s="457">
        <v>3</v>
      </c>
      <c r="F305" s="457">
        <v>4</v>
      </c>
      <c r="G305" s="457">
        <v>5</v>
      </c>
      <c r="H305" s="457">
        <v>6</v>
      </c>
      <c r="I305" s="457">
        <v>7</v>
      </c>
      <c r="J305" s="457">
        <v>8</v>
      </c>
      <c r="K305" s="457">
        <v>9</v>
      </c>
      <c r="L305" s="457">
        <v>10</v>
      </c>
    </row>
    <row r="306" spans="2:12" ht="16.2" thickBot="1" x14ac:dyDescent="0.35">
      <c r="B306" s="290" t="s">
        <v>1012</v>
      </c>
      <c r="C306" s="291">
        <v>55</v>
      </c>
      <c r="D306" s="291">
        <v>70</v>
      </c>
      <c r="E306" s="291">
        <v>82</v>
      </c>
      <c r="F306" s="291">
        <v>90</v>
      </c>
      <c r="G306" s="291">
        <v>98</v>
      </c>
      <c r="H306" s="291">
        <v>105</v>
      </c>
      <c r="I306" s="291">
        <v>110</v>
      </c>
      <c r="J306" s="291">
        <v>120</v>
      </c>
      <c r="K306" s="291">
        <v>128</v>
      </c>
      <c r="L306" s="291">
        <v>132</v>
      </c>
    </row>
    <row r="307" spans="2:12" ht="16.2" thickBot="1" x14ac:dyDescent="0.35">
      <c r="B307" s="290" t="s">
        <v>1013</v>
      </c>
      <c r="C307" s="291">
        <v>10</v>
      </c>
      <c r="D307" s="291">
        <v>12</v>
      </c>
      <c r="E307" s="291">
        <v>13</v>
      </c>
      <c r="F307" s="291">
        <v>17</v>
      </c>
      <c r="G307" s="291">
        <v>18</v>
      </c>
      <c r="H307" s="291">
        <v>20</v>
      </c>
      <c r="I307" s="291">
        <v>22</v>
      </c>
      <c r="J307" s="291">
        <v>25</v>
      </c>
      <c r="K307" s="291">
        <v>30</v>
      </c>
      <c r="L307" s="291">
        <v>34</v>
      </c>
    </row>
    <row r="308" spans="2:12" ht="16.2" thickBot="1" x14ac:dyDescent="0.35">
      <c r="B308" s="290" t="s">
        <v>872</v>
      </c>
      <c r="C308" s="294">
        <v>0.03</v>
      </c>
      <c r="D308" s="294">
        <v>0.03</v>
      </c>
      <c r="E308" s="294">
        <v>0.03</v>
      </c>
      <c r="F308" s="294">
        <v>0.03</v>
      </c>
      <c r="G308" s="294">
        <v>0.03</v>
      </c>
      <c r="H308" s="294">
        <v>0.03</v>
      </c>
      <c r="I308" s="294">
        <v>0.03</v>
      </c>
      <c r="J308" s="294">
        <v>0.03</v>
      </c>
      <c r="K308" s="294">
        <v>0.03</v>
      </c>
      <c r="L308" s="294">
        <v>0.03</v>
      </c>
    </row>
    <row r="309" spans="2:12" ht="43.8" customHeight="1" thickBot="1" x14ac:dyDescent="0.35">
      <c r="B309" s="463" t="s">
        <v>1019</v>
      </c>
      <c r="C309" s="307">
        <f t="shared" ref="C309:K309" si="24">C306*(1+C308)^(10-C305)</f>
        <v>71.762525110608451</v>
      </c>
      <c r="D309" s="307">
        <f t="shared" si="24"/>
        <v>88.673905697133108</v>
      </c>
      <c r="E309" s="307">
        <f t="shared" si="24"/>
        <v>100.84965696483934</v>
      </c>
      <c r="F309" s="307">
        <f t="shared" si="24"/>
        <v>107.46470668760999</v>
      </c>
      <c r="G309" s="307">
        <f t="shared" si="24"/>
        <v>113.60885928139999</v>
      </c>
      <c r="H309" s="307">
        <f t="shared" si="24"/>
        <v>118.17842504999999</v>
      </c>
      <c r="I309" s="307">
        <f t="shared" si="24"/>
        <v>120.19997000000001</v>
      </c>
      <c r="J309" s="307">
        <f t="shared" si="24"/>
        <v>127.30799999999999</v>
      </c>
      <c r="K309" s="307">
        <f t="shared" si="24"/>
        <v>131.84</v>
      </c>
      <c r="L309" s="307">
        <f>L306*(1+L308)^(10-L305)</f>
        <v>132</v>
      </c>
    </row>
    <row r="310" spans="2:12" ht="15.6" customHeight="1" x14ac:dyDescent="0.3">
      <c r="B310" s="495"/>
      <c r="C310" s="476"/>
      <c r="D310" s="476"/>
      <c r="E310" s="476"/>
      <c r="F310" s="476"/>
      <c r="G310" s="476"/>
      <c r="H310" s="476"/>
      <c r="I310" s="476"/>
      <c r="J310" s="476"/>
      <c r="K310" s="476"/>
      <c r="L310" s="476"/>
    </row>
    <row r="311" spans="2:12" ht="15.6" customHeight="1" x14ac:dyDescent="0.3">
      <c r="B311" s="495"/>
      <c r="C311" s="476"/>
      <c r="D311" s="438" t="s">
        <v>882</v>
      </c>
      <c r="E311" s="438" t="s">
        <v>883</v>
      </c>
      <c r="F311" s="476"/>
      <c r="G311" s="476"/>
      <c r="H311" s="476"/>
      <c r="I311" s="476"/>
      <c r="J311" s="476"/>
      <c r="K311" s="476"/>
      <c r="L311" s="476"/>
    </row>
    <row r="312" spans="2:12" ht="15.6" customHeight="1" x14ac:dyDescent="0.3">
      <c r="B312" s="495"/>
      <c r="D312" s="496">
        <f t="array" ref="D312:E312">LINEST(C307:L307,C309:L309)</f>
        <v>0.36351942039414897</v>
      </c>
      <c r="E312" s="496">
        <v>-20.319217200105953</v>
      </c>
      <c r="F312" s="476"/>
      <c r="G312" s="476"/>
      <c r="H312" s="476"/>
      <c r="I312" s="476"/>
      <c r="J312" s="476"/>
      <c r="K312" s="476"/>
      <c r="L312" s="476"/>
    </row>
    <row r="314" spans="2:12" x14ac:dyDescent="0.3">
      <c r="B314" s="10" t="s">
        <v>1020</v>
      </c>
    </row>
    <row r="315" spans="2:12" x14ac:dyDescent="0.3">
      <c r="B315" s="10" t="s">
        <v>1021</v>
      </c>
    </row>
    <row r="316" spans="2:12" x14ac:dyDescent="0.3">
      <c r="B316" s="10" t="s">
        <v>1022</v>
      </c>
    </row>
    <row r="317" spans="2:12" x14ac:dyDescent="0.3">
      <c r="B317" s="10" t="s">
        <v>1023</v>
      </c>
    </row>
    <row r="318" spans="2:12" x14ac:dyDescent="0.3">
      <c r="B318" s="10" t="s">
        <v>1024</v>
      </c>
    </row>
    <row r="319" spans="2:12" x14ac:dyDescent="0.3">
      <c r="B319" s="10" t="s">
        <v>1025</v>
      </c>
    </row>
    <row r="322" spans="2:15" x14ac:dyDescent="0.3">
      <c r="B322" s="11" t="s">
        <v>1078</v>
      </c>
    </row>
    <row r="323" spans="2:15" x14ac:dyDescent="0.3">
      <c r="B323" s="10" t="s">
        <v>1026</v>
      </c>
    </row>
    <row r="324" spans="2:15" ht="16.2" thickBot="1" x14ac:dyDescent="0.35"/>
    <row r="325" spans="2:15" ht="16.2" thickBot="1" x14ac:dyDescent="0.35">
      <c r="B325" s="456" t="s">
        <v>905</v>
      </c>
      <c r="C325" s="457">
        <v>1</v>
      </c>
      <c r="D325" s="457">
        <v>2</v>
      </c>
      <c r="E325" s="457">
        <v>3</v>
      </c>
      <c r="F325" s="457">
        <v>4</v>
      </c>
      <c r="G325" s="457">
        <v>5</v>
      </c>
      <c r="H325" s="457">
        <v>6</v>
      </c>
      <c r="I325" s="457">
        <v>7</v>
      </c>
      <c r="J325" s="457">
        <v>8</v>
      </c>
      <c r="K325" s="457">
        <v>9</v>
      </c>
      <c r="L325" s="457">
        <v>10</v>
      </c>
      <c r="M325" s="457">
        <v>11</v>
      </c>
      <c r="N325" s="457">
        <v>12</v>
      </c>
      <c r="O325" s="457">
        <v>13</v>
      </c>
    </row>
    <row r="326" spans="2:15" ht="16.2" thickBot="1" x14ac:dyDescent="0.35">
      <c r="B326" s="290" t="s">
        <v>906</v>
      </c>
      <c r="C326" s="291">
        <v>12.1</v>
      </c>
      <c r="D326" s="291">
        <v>15.2</v>
      </c>
      <c r="E326" s="291">
        <v>15.3</v>
      </c>
      <c r="F326" s="291">
        <v>15.7</v>
      </c>
      <c r="G326" s="291">
        <v>15.2</v>
      </c>
      <c r="H326" s="291">
        <v>16.100000000000001</v>
      </c>
      <c r="I326" s="291">
        <v>16.5</v>
      </c>
      <c r="J326" s="291">
        <v>17.100000000000001</v>
      </c>
      <c r="K326" s="291">
        <v>17.2</v>
      </c>
      <c r="L326" s="291">
        <v>17</v>
      </c>
      <c r="M326" s="291">
        <v>16.8</v>
      </c>
      <c r="N326" s="291">
        <v>16.899999999999999</v>
      </c>
      <c r="O326" s="10">
        <f>K330*O327+L330</f>
        <v>16.963997896850053</v>
      </c>
    </row>
    <row r="327" spans="2:15" ht="16.2" thickBot="1" x14ac:dyDescent="0.35">
      <c r="B327" s="290" t="s">
        <v>907</v>
      </c>
      <c r="C327" s="291">
        <v>115</v>
      </c>
      <c r="D327" s="291">
        <v>119</v>
      </c>
      <c r="E327" s="291">
        <v>121</v>
      </c>
      <c r="F327" s="291">
        <v>130</v>
      </c>
      <c r="G327" s="291">
        <v>131</v>
      </c>
      <c r="H327" s="291">
        <v>150</v>
      </c>
      <c r="I327" s="291">
        <v>155</v>
      </c>
      <c r="J327" s="291">
        <v>172</v>
      </c>
      <c r="K327" s="291">
        <v>174</v>
      </c>
      <c r="L327" s="291">
        <v>168</v>
      </c>
      <c r="M327" s="291">
        <v>161</v>
      </c>
      <c r="N327" s="291">
        <v>159</v>
      </c>
      <c r="O327" s="10">
        <v>165</v>
      </c>
    </row>
    <row r="329" spans="2:15" x14ac:dyDescent="0.3">
      <c r="B329" s="10" t="s">
        <v>1027</v>
      </c>
      <c r="K329" s="438" t="s">
        <v>882</v>
      </c>
      <c r="L329" s="438" t="s">
        <v>883</v>
      </c>
    </row>
    <row r="330" spans="2:15" x14ac:dyDescent="0.3">
      <c r="B330" s="10" t="s">
        <v>1028</v>
      </c>
      <c r="K330" s="490">
        <f t="array" ref="K330:L330">LINEST(C326:N326,C327:N327)</f>
        <v>5.5413221165336278E-2</v>
      </c>
      <c r="L330" s="490">
        <v>7.8208164045695678</v>
      </c>
    </row>
    <row r="332" spans="2:15" x14ac:dyDescent="0.3">
      <c r="B332" s="11" t="s">
        <v>1079</v>
      </c>
    </row>
    <row r="333" spans="2:15" x14ac:dyDescent="0.3">
      <c r="B333" s="10" t="s">
        <v>1029</v>
      </c>
    </row>
    <row r="334" spans="2:15" x14ac:dyDescent="0.3">
      <c r="B334" s="10" t="s">
        <v>1030</v>
      </c>
    </row>
    <row r="335" spans="2:15" x14ac:dyDescent="0.3">
      <c r="B335" s="10" t="s">
        <v>1031</v>
      </c>
    </row>
  </sheetData>
  <mergeCells count="6">
    <mergeCell ref="C77:C79"/>
    <mergeCell ref="C80:C82"/>
    <mergeCell ref="C83:C85"/>
    <mergeCell ref="B80:B82"/>
    <mergeCell ref="B83:B85"/>
    <mergeCell ref="B77:B7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FBE7-ABC7-454D-8A07-13E8921978F3}">
  <dimension ref="B5:S57"/>
  <sheetViews>
    <sheetView tabSelected="1" topLeftCell="A40" workbookViewId="0">
      <selection activeCell="Q57" sqref="Q57"/>
    </sheetView>
  </sheetViews>
  <sheetFormatPr defaultRowHeight="15.6" x14ac:dyDescent="0.3"/>
  <cols>
    <col min="1" max="16384" width="8.88671875" style="11"/>
  </cols>
  <sheetData>
    <row r="5" spans="2:18" x14ac:dyDescent="0.3">
      <c r="B5" s="18" t="s">
        <v>910</v>
      </c>
      <c r="R5" s="11" t="s">
        <v>1111</v>
      </c>
    </row>
    <row r="6" spans="2:18" x14ac:dyDescent="0.3">
      <c r="B6" s="11" t="s">
        <v>895</v>
      </c>
    </row>
    <row r="7" spans="2:18" x14ac:dyDescent="0.3">
      <c r="B7" s="11" t="s">
        <v>896</v>
      </c>
    </row>
    <row r="16" spans="2:18" x14ac:dyDescent="0.3">
      <c r="B16" s="11" t="s">
        <v>911</v>
      </c>
      <c r="R16" s="11" t="s">
        <v>1112</v>
      </c>
    </row>
    <row r="17" spans="2:19" x14ac:dyDescent="0.3">
      <c r="B17" s="11" t="s">
        <v>898</v>
      </c>
    </row>
    <row r="18" spans="2:19" x14ac:dyDescent="0.3">
      <c r="B18" s="11" t="s">
        <v>897</v>
      </c>
      <c r="S18" s="11" t="s">
        <v>1114</v>
      </c>
    </row>
    <row r="20" spans="2:19" x14ac:dyDescent="0.3">
      <c r="C20" s="502">
        <v>0.05</v>
      </c>
      <c r="D20" s="502">
        <v>-0.02</v>
      </c>
      <c r="E20" s="502">
        <v>0.12</v>
      </c>
      <c r="F20" s="502">
        <v>7.0000000000000007E-2</v>
      </c>
      <c r="G20" s="502">
        <v>-0.04</v>
      </c>
      <c r="H20" s="502">
        <v>0.11</v>
      </c>
      <c r="I20" s="60" t="s">
        <v>1113</v>
      </c>
    </row>
    <row r="26" spans="2:19" x14ac:dyDescent="0.3">
      <c r="B26" s="11" t="s">
        <v>912</v>
      </c>
      <c r="R26" s="11" t="s">
        <v>1115</v>
      </c>
    </row>
    <row r="27" spans="2:19" x14ac:dyDescent="0.3">
      <c r="B27" s="11" t="s">
        <v>899</v>
      </c>
    </row>
    <row r="28" spans="2:19" x14ac:dyDescent="0.3">
      <c r="S28" s="11" t="s">
        <v>1116</v>
      </c>
    </row>
    <row r="36" spans="2:19" x14ac:dyDescent="0.3">
      <c r="B36" s="11" t="s">
        <v>913</v>
      </c>
      <c r="S36" s="11" t="s">
        <v>1117</v>
      </c>
    </row>
    <row r="37" spans="2:19" x14ac:dyDescent="0.3">
      <c r="B37" s="11" t="s">
        <v>901</v>
      </c>
    </row>
    <row r="38" spans="2:19" x14ac:dyDescent="0.3">
      <c r="B38" s="11" t="s">
        <v>902</v>
      </c>
    </row>
    <row r="39" spans="2:19" x14ac:dyDescent="0.3">
      <c r="B39" s="11" t="s">
        <v>903</v>
      </c>
    </row>
    <row r="40" spans="2:19" x14ac:dyDescent="0.3">
      <c r="B40" s="11" t="s">
        <v>900</v>
      </c>
    </row>
    <row r="49" spans="2:18" x14ac:dyDescent="0.3">
      <c r="B49" s="11" t="s">
        <v>914</v>
      </c>
      <c r="R49" s="11" t="s">
        <v>1118</v>
      </c>
    </row>
    <row r="50" spans="2:18" x14ac:dyDescent="0.3">
      <c r="B50" s="11" t="s">
        <v>904</v>
      </c>
    </row>
    <row r="51" spans="2:18" ht="16.2" thickBot="1" x14ac:dyDescent="0.35"/>
    <row r="52" spans="2:18" ht="16.2" thickBot="1" x14ac:dyDescent="0.35">
      <c r="B52" s="456" t="s">
        <v>905</v>
      </c>
      <c r="C52" s="457">
        <v>1</v>
      </c>
      <c r="D52" s="457">
        <v>2</v>
      </c>
      <c r="E52" s="457">
        <v>3</v>
      </c>
      <c r="F52" s="457">
        <v>4</v>
      </c>
      <c r="G52" s="457">
        <v>5</v>
      </c>
      <c r="H52" s="457">
        <v>6</v>
      </c>
      <c r="I52" s="457">
        <v>7</v>
      </c>
      <c r="J52" s="457">
        <v>8</v>
      </c>
      <c r="K52" s="457">
        <v>9</v>
      </c>
      <c r="L52" s="457">
        <v>10</v>
      </c>
      <c r="M52" s="457">
        <v>11</v>
      </c>
      <c r="N52" s="457">
        <v>12</v>
      </c>
    </row>
    <row r="53" spans="2:18" ht="16.2" thickBot="1" x14ac:dyDescent="0.35">
      <c r="B53" s="290" t="s">
        <v>906</v>
      </c>
      <c r="C53" s="291">
        <v>12.1</v>
      </c>
      <c r="D53" s="291">
        <v>15.2</v>
      </c>
      <c r="E53" s="291">
        <v>15.3</v>
      </c>
      <c r="F53" s="291">
        <v>15.7</v>
      </c>
      <c r="G53" s="291">
        <v>15.2</v>
      </c>
      <c r="H53" s="291">
        <v>16.100000000000001</v>
      </c>
      <c r="I53" s="291">
        <v>16.5</v>
      </c>
      <c r="J53" s="291">
        <v>17.100000000000001</v>
      </c>
      <c r="K53" s="291">
        <v>17.2</v>
      </c>
      <c r="L53" s="291">
        <v>17</v>
      </c>
      <c r="M53" s="291">
        <v>16.8</v>
      </c>
      <c r="N53" s="291">
        <v>16.899999999999999</v>
      </c>
    </row>
    <row r="54" spans="2:18" ht="16.2" thickBot="1" x14ac:dyDescent="0.35">
      <c r="B54" s="290" t="s">
        <v>907</v>
      </c>
      <c r="C54" s="291">
        <v>115</v>
      </c>
      <c r="D54" s="291">
        <v>119</v>
      </c>
      <c r="E54" s="291">
        <v>121</v>
      </c>
      <c r="F54" s="291">
        <v>130</v>
      </c>
      <c r="G54" s="291">
        <v>131</v>
      </c>
      <c r="H54" s="291">
        <v>150</v>
      </c>
      <c r="I54" s="291">
        <v>155</v>
      </c>
      <c r="J54" s="291">
        <v>172</v>
      </c>
      <c r="K54" s="291">
        <v>174</v>
      </c>
      <c r="L54" s="291">
        <v>168</v>
      </c>
      <c r="M54" s="291">
        <v>161</v>
      </c>
      <c r="N54" s="291">
        <v>159</v>
      </c>
    </row>
    <row r="56" spans="2:18" x14ac:dyDescent="0.3">
      <c r="B56" s="11" t="s">
        <v>908</v>
      </c>
    </row>
    <row r="57" spans="2:18" x14ac:dyDescent="0.3">
      <c r="B57" s="11" t="s">
        <v>909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B80BE-024F-4940-B41A-8671F2C9E7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Лекция_1</vt:lpstr>
      <vt:lpstr>Лекция_2</vt:lpstr>
      <vt:lpstr>Семинар_1</vt:lpstr>
      <vt:lpstr>ДЗ_1</vt:lpstr>
      <vt:lpstr>Лекция_3</vt:lpstr>
      <vt:lpstr>Семинар_2</vt:lpstr>
      <vt:lpstr>ДЗ_2</vt:lpstr>
      <vt:lpstr>Лекция_4</vt:lpstr>
      <vt:lpstr>Лекция_5</vt:lpstr>
      <vt:lpstr>Семинар_3</vt:lpstr>
      <vt:lpstr>ДЗ_3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Чиликин</dc:creator>
  <cp:lastModifiedBy>Иван</cp:lastModifiedBy>
  <dcterms:created xsi:type="dcterms:W3CDTF">2015-06-05T18:19:34Z</dcterms:created>
  <dcterms:modified xsi:type="dcterms:W3CDTF">2023-08-08T16:36:29Z</dcterms:modified>
</cp:coreProperties>
</file>