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Users\charlie.an\Documents\Stata\RCT_MC\set2\"/>
    </mc:Choice>
  </mc:AlternateContent>
  <xr:revisionPtr revIDLastSave="0" documentId="13_ncr:1_{ACD7A94D-5C4B-4F6C-9012-D7F9165BF8C6}" xr6:coauthVersionLast="44" xr6:coauthVersionMax="44" xr10:uidLastSave="{00000000-0000-0000-0000-000000000000}"/>
  <bookViews>
    <workbookView xWindow="-120" yWindow="-120" windowWidth="19440" windowHeight="10440" firstSheet="3" activeTab="6" xr2:uid="{1AB9602F-8A8F-4D2B-B8A4-7665D6EE0884}"/>
  </bookViews>
  <sheets>
    <sheet name="samplesize_250" sheetId="1" r:id="rId1"/>
    <sheet name="samplesize_500" sheetId="2" r:id="rId2"/>
    <sheet name="samplesize_1000" sheetId="3" r:id="rId3"/>
    <sheet name="half_zero" sheetId="4" r:id="rId4"/>
    <sheet name="halfzero_largervariance" sheetId="6" r:id="rId5"/>
    <sheet name="largervariance" sheetId="8" r:id="rId6"/>
    <sheet name="larger_categries" sheetId="7" r:id="rId7"/>
  </sheets>
  <definedNames>
    <definedName name="_xlnm.Print_Area" localSheetId="3">half_zero!$A$29:$K$55</definedName>
    <definedName name="_xlnm.Print_Area" localSheetId="4">halfzero_largervariance!$A$29:$K$55</definedName>
    <definedName name="_xlnm.Print_Area" localSheetId="5">largervariance!$A$29:$K$55</definedName>
    <definedName name="_xlnm.Print_Area" localSheetId="2">samplesize_1000!$A$29:$K$55</definedName>
    <definedName name="_xlnm.Print_Area" localSheetId="0">samplesize_250!$A$29:$K$55</definedName>
    <definedName name="_xlnm.Print_Area" localSheetId="1">samplesize_500!$A$1:$K$27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7" l="1"/>
  <c r="B21" i="7"/>
  <c r="B22" i="7"/>
  <c r="B23" i="7"/>
  <c r="B28" i="7"/>
  <c r="B35" i="7"/>
  <c r="B36" i="7"/>
  <c r="B37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AE14" i="7" l="1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K54" i="8"/>
  <c r="J54" i="8"/>
  <c r="I54" i="8"/>
  <c r="H54" i="8"/>
  <c r="G54" i="8"/>
  <c r="F54" i="8"/>
  <c r="E54" i="8"/>
  <c r="D54" i="8"/>
  <c r="C54" i="8"/>
  <c r="B54" i="8"/>
  <c r="K50" i="8"/>
  <c r="J50" i="8"/>
  <c r="I50" i="8"/>
  <c r="H50" i="8"/>
  <c r="G50" i="8"/>
  <c r="F50" i="8"/>
  <c r="E50" i="8"/>
  <c r="D50" i="8"/>
  <c r="C50" i="8"/>
  <c r="B50" i="8"/>
  <c r="K49" i="8"/>
  <c r="J49" i="8"/>
  <c r="I49" i="8"/>
  <c r="H49" i="8"/>
  <c r="G49" i="8"/>
  <c r="F49" i="8"/>
  <c r="E49" i="8"/>
  <c r="D49" i="8"/>
  <c r="C49" i="8"/>
  <c r="B49" i="8"/>
  <c r="K48" i="8"/>
  <c r="J48" i="8"/>
  <c r="I48" i="8"/>
  <c r="H48" i="8"/>
  <c r="G48" i="8"/>
  <c r="F48" i="8"/>
  <c r="E48" i="8"/>
  <c r="D48" i="8"/>
  <c r="C48" i="8"/>
  <c r="B48" i="8"/>
  <c r="K40" i="8"/>
  <c r="J40" i="8"/>
  <c r="I40" i="8"/>
  <c r="H40" i="8"/>
  <c r="G40" i="8"/>
  <c r="F40" i="8"/>
  <c r="E40" i="8"/>
  <c r="D40" i="8"/>
  <c r="C40" i="8"/>
  <c r="B40" i="8"/>
  <c r="K36" i="8"/>
  <c r="J36" i="8"/>
  <c r="I36" i="8"/>
  <c r="H36" i="8"/>
  <c r="G36" i="8"/>
  <c r="F36" i="8"/>
  <c r="E36" i="8"/>
  <c r="D36" i="8"/>
  <c r="C36" i="8"/>
  <c r="B36" i="8"/>
  <c r="K35" i="8"/>
  <c r="J35" i="8"/>
  <c r="I35" i="8"/>
  <c r="H35" i="8"/>
  <c r="G35" i="8"/>
  <c r="F35" i="8"/>
  <c r="E35" i="8"/>
  <c r="D35" i="8"/>
  <c r="C35" i="8"/>
  <c r="B35" i="8"/>
  <c r="K34" i="8"/>
  <c r="J34" i="8"/>
  <c r="I34" i="8"/>
  <c r="H34" i="8"/>
  <c r="G34" i="8"/>
  <c r="F34" i="8"/>
  <c r="E34" i="8"/>
  <c r="D34" i="8"/>
  <c r="C34" i="8"/>
  <c r="B34" i="8"/>
  <c r="K26" i="8"/>
  <c r="J26" i="8"/>
  <c r="I26" i="8"/>
  <c r="H26" i="8"/>
  <c r="G26" i="8"/>
  <c r="F26" i="8"/>
  <c r="E26" i="8"/>
  <c r="D26" i="8"/>
  <c r="C26" i="8"/>
  <c r="B26" i="8"/>
  <c r="K22" i="8"/>
  <c r="J22" i="8"/>
  <c r="I22" i="8"/>
  <c r="H22" i="8"/>
  <c r="G22" i="8"/>
  <c r="F22" i="8"/>
  <c r="E22" i="8"/>
  <c r="D22" i="8"/>
  <c r="C22" i="8"/>
  <c r="B22" i="8"/>
  <c r="K21" i="8"/>
  <c r="J21" i="8"/>
  <c r="I21" i="8"/>
  <c r="H21" i="8"/>
  <c r="G21" i="8"/>
  <c r="F21" i="8"/>
  <c r="E21" i="8"/>
  <c r="D21" i="8"/>
  <c r="C21" i="8"/>
  <c r="B21" i="8"/>
  <c r="K20" i="8"/>
  <c r="J20" i="8"/>
  <c r="I20" i="8"/>
  <c r="H20" i="8"/>
  <c r="G20" i="8"/>
  <c r="F20" i="8"/>
  <c r="E20" i="8"/>
  <c r="D20" i="8"/>
  <c r="C20" i="8"/>
  <c r="B20" i="8"/>
  <c r="K12" i="8"/>
  <c r="J12" i="8"/>
  <c r="I12" i="8"/>
  <c r="H12" i="8"/>
  <c r="G12" i="8"/>
  <c r="F12" i="8"/>
  <c r="E12" i="8"/>
  <c r="D12" i="8"/>
  <c r="C12" i="8"/>
  <c r="B12" i="8"/>
  <c r="K8" i="8"/>
  <c r="J8" i="8"/>
  <c r="I8" i="8"/>
  <c r="H8" i="8"/>
  <c r="G8" i="8"/>
  <c r="F8" i="8"/>
  <c r="E8" i="8"/>
  <c r="D8" i="8"/>
  <c r="C8" i="8"/>
  <c r="B8" i="8"/>
  <c r="K7" i="8"/>
  <c r="J7" i="8"/>
  <c r="I7" i="8"/>
  <c r="H7" i="8"/>
  <c r="G7" i="8"/>
  <c r="F7" i="8"/>
  <c r="E7" i="8"/>
  <c r="D7" i="8"/>
  <c r="C7" i="8"/>
  <c r="B7" i="8"/>
  <c r="K6" i="8"/>
  <c r="J6" i="8"/>
  <c r="I6" i="8"/>
  <c r="H6" i="8"/>
  <c r="G6" i="8"/>
  <c r="F6" i="8"/>
  <c r="E6" i="8"/>
  <c r="D6" i="8"/>
  <c r="C6" i="8"/>
  <c r="B6" i="8"/>
  <c r="K54" i="3" l="1"/>
  <c r="J54" i="3"/>
  <c r="I54" i="3"/>
  <c r="H54" i="3"/>
  <c r="G54" i="3"/>
  <c r="F54" i="3"/>
  <c r="E54" i="3"/>
  <c r="D54" i="3"/>
  <c r="C54" i="3"/>
  <c r="B54" i="3"/>
  <c r="K40" i="3"/>
  <c r="J40" i="3"/>
  <c r="I40" i="3"/>
  <c r="H40" i="3"/>
  <c r="G40" i="3"/>
  <c r="F40" i="3"/>
  <c r="E40" i="3"/>
  <c r="D40" i="3"/>
  <c r="C40" i="3"/>
  <c r="B40" i="3"/>
  <c r="K26" i="3"/>
  <c r="J26" i="3"/>
  <c r="I26" i="3"/>
  <c r="H26" i="3"/>
  <c r="G26" i="3"/>
  <c r="F26" i="3"/>
  <c r="E26" i="3"/>
  <c r="D26" i="3"/>
  <c r="C26" i="3"/>
  <c r="B26" i="3"/>
  <c r="K12" i="3"/>
  <c r="J12" i="3"/>
  <c r="I12" i="3"/>
  <c r="H12" i="3"/>
  <c r="G12" i="3"/>
  <c r="F12" i="3"/>
  <c r="E12" i="3"/>
  <c r="D12" i="3"/>
  <c r="C12" i="3"/>
  <c r="B12" i="3"/>
  <c r="K49" i="3"/>
  <c r="J49" i="3"/>
  <c r="I49" i="3"/>
  <c r="H49" i="3"/>
  <c r="G49" i="3"/>
  <c r="F49" i="3"/>
  <c r="E49" i="3"/>
  <c r="D49" i="3"/>
  <c r="C49" i="3"/>
  <c r="B49" i="3"/>
  <c r="K48" i="3"/>
  <c r="J48" i="3"/>
  <c r="I48" i="3"/>
  <c r="H48" i="3"/>
  <c r="G48" i="3"/>
  <c r="F48" i="3"/>
  <c r="E48" i="3"/>
  <c r="D48" i="3"/>
  <c r="C48" i="3"/>
  <c r="B48" i="3"/>
  <c r="K41" i="3"/>
  <c r="J41" i="3"/>
  <c r="I41" i="3"/>
  <c r="H41" i="3"/>
  <c r="G41" i="3"/>
  <c r="F41" i="3"/>
  <c r="E41" i="3"/>
  <c r="D41" i="3"/>
  <c r="C41" i="3"/>
  <c r="B41" i="3"/>
  <c r="K36" i="3"/>
  <c r="J36" i="3"/>
  <c r="I36" i="3"/>
  <c r="H36" i="3"/>
  <c r="G36" i="3"/>
  <c r="F36" i="3"/>
  <c r="E36" i="3"/>
  <c r="D36" i="3"/>
  <c r="C36" i="3"/>
  <c r="B36" i="3"/>
  <c r="K35" i="3"/>
  <c r="J35" i="3"/>
  <c r="I35" i="3"/>
  <c r="H35" i="3"/>
  <c r="G35" i="3"/>
  <c r="F35" i="3"/>
  <c r="E35" i="3"/>
  <c r="D35" i="3"/>
  <c r="C35" i="3"/>
  <c r="B35" i="3"/>
  <c r="K34" i="3"/>
  <c r="J34" i="3"/>
  <c r="I34" i="3"/>
  <c r="H34" i="3"/>
  <c r="G34" i="3"/>
  <c r="F34" i="3"/>
  <c r="E34" i="3"/>
  <c r="D34" i="3"/>
  <c r="C34" i="3"/>
  <c r="B34" i="3"/>
  <c r="K21" i="3"/>
  <c r="J21" i="3"/>
  <c r="I21" i="3"/>
  <c r="H21" i="3"/>
  <c r="G21" i="3"/>
  <c r="F21" i="3"/>
  <c r="E21" i="3"/>
  <c r="D21" i="3"/>
  <c r="C21" i="3"/>
  <c r="B21" i="3"/>
  <c r="K20" i="3"/>
  <c r="J20" i="3"/>
  <c r="I20" i="3"/>
  <c r="H20" i="3"/>
  <c r="G20" i="3"/>
  <c r="F20" i="3"/>
  <c r="E20" i="3"/>
  <c r="D20" i="3"/>
  <c r="C20" i="3"/>
  <c r="B20" i="3"/>
  <c r="K7" i="3"/>
  <c r="J7" i="3"/>
  <c r="I7" i="3"/>
  <c r="H7" i="3"/>
  <c r="G7" i="3"/>
  <c r="F7" i="3"/>
  <c r="E7" i="3"/>
  <c r="D7" i="3"/>
  <c r="C7" i="3"/>
  <c r="B7" i="3"/>
  <c r="K6" i="3"/>
  <c r="J6" i="3"/>
  <c r="I6" i="3"/>
  <c r="H6" i="3"/>
  <c r="G6" i="3"/>
  <c r="F6" i="3"/>
  <c r="E6" i="3"/>
  <c r="D6" i="3"/>
  <c r="C6" i="3"/>
  <c r="B6" i="3"/>
  <c r="K54" i="2"/>
  <c r="J54" i="2"/>
  <c r="I54" i="2"/>
  <c r="H54" i="2"/>
  <c r="G54" i="2"/>
  <c r="F54" i="2"/>
  <c r="E54" i="2"/>
  <c r="D54" i="2"/>
  <c r="C54" i="2"/>
  <c r="B54" i="2"/>
  <c r="K40" i="2"/>
  <c r="J40" i="2"/>
  <c r="I40" i="2"/>
  <c r="H40" i="2"/>
  <c r="G40" i="2"/>
  <c r="F40" i="2"/>
  <c r="E40" i="2"/>
  <c r="D40" i="2"/>
  <c r="C40" i="2"/>
  <c r="B40" i="2"/>
  <c r="C26" i="2"/>
  <c r="D26" i="2"/>
  <c r="K26" i="2"/>
  <c r="J26" i="2"/>
  <c r="I26" i="2"/>
  <c r="H26" i="2"/>
  <c r="G26" i="2"/>
  <c r="F26" i="2"/>
  <c r="E26" i="2"/>
  <c r="B26" i="2"/>
  <c r="K12" i="2"/>
  <c r="J12" i="2"/>
  <c r="I12" i="2"/>
  <c r="H12" i="2"/>
  <c r="G12" i="2"/>
  <c r="F12" i="2"/>
  <c r="E12" i="2"/>
  <c r="D12" i="2"/>
  <c r="C12" i="2"/>
  <c r="B12" i="2"/>
  <c r="K49" i="2"/>
  <c r="J49" i="2"/>
  <c r="I49" i="2"/>
  <c r="H49" i="2"/>
  <c r="G49" i="2"/>
  <c r="F49" i="2"/>
  <c r="E49" i="2"/>
  <c r="D49" i="2"/>
  <c r="C49" i="2"/>
  <c r="B49" i="2"/>
  <c r="K48" i="2"/>
  <c r="J48" i="2"/>
  <c r="I48" i="2"/>
  <c r="H48" i="2"/>
  <c r="G48" i="2"/>
  <c r="F48" i="2"/>
  <c r="E48" i="2"/>
  <c r="D48" i="2"/>
  <c r="C48" i="2"/>
  <c r="B48" i="2"/>
  <c r="K35" i="2"/>
  <c r="J35" i="2"/>
  <c r="I35" i="2"/>
  <c r="H35" i="2"/>
  <c r="G35" i="2"/>
  <c r="F35" i="2"/>
  <c r="E35" i="2"/>
  <c r="D35" i="2"/>
  <c r="C35" i="2"/>
  <c r="B35" i="2"/>
  <c r="K34" i="2"/>
  <c r="J34" i="2"/>
  <c r="I34" i="2"/>
  <c r="H34" i="2"/>
  <c r="G34" i="2"/>
  <c r="F34" i="2"/>
  <c r="E34" i="2"/>
  <c r="D34" i="2"/>
  <c r="C34" i="2"/>
  <c r="B34" i="2"/>
  <c r="K21" i="2"/>
  <c r="J21" i="2"/>
  <c r="I21" i="2"/>
  <c r="H21" i="2"/>
  <c r="G21" i="2"/>
  <c r="F21" i="2"/>
  <c r="E21" i="2"/>
  <c r="D21" i="2"/>
  <c r="C21" i="2"/>
  <c r="B21" i="2"/>
  <c r="K20" i="2"/>
  <c r="J20" i="2"/>
  <c r="I20" i="2"/>
  <c r="H20" i="2"/>
  <c r="G20" i="2"/>
  <c r="F20" i="2"/>
  <c r="E20" i="2"/>
  <c r="D20" i="2"/>
  <c r="C20" i="2"/>
  <c r="B20" i="2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4" i="1"/>
  <c r="K55" i="1"/>
  <c r="J54" i="1"/>
  <c r="I54" i="1"/>
  <c r="H54" i="1"/>
  <c r="G54" i="1"/>
  <c r="F54" i="1"/>
  <c r="E54" i="1"/>
  <c r="D54" i="1"/>
  <c r="C54" i="1"/>
  <c r="B54" i="1"/>
  <c r="K49" i="1"/>
  <c r="J49" i="1"/>
  <c r="I49" i="1"/>
  <c r="H49" i="1"/>
  <c r="G49" i="1"/>
  <c r="F49" i="1"/>
  <c r="E49" i="1"/>
  <c r="D49" i="1"/>
  <c r="C49" i="1"/>
  <c r="B49" i="1"/>
  <c r="K48" i="1"/>
  <c r="J48" i="1"/>
  <c r="I48" i="1"/>
  <c r="H48" i="1"/>
  <c r="G48" i="1"/>
  <c r="F48" i="1"/>
  <c r="E48" i="1"/>
  <c r="D48" i="1"/>
  <c r="C48" i="1"/>
  <c r="B48" i="1"/>
  <c r="K40" i="1"/>
  <c r="J40" i="1"/>
  <c r="I40" i="1"/>
  <c r="H40" i="1"/>
  <c r="G40" i="1"/>
  <c r="F40" i="1"/>
  <c r="E40" i="1"/>
  <c r="D40" i="1"/>
  <c r="C40" i="1"/>
  <c r="B40" i="1"/>
  <c r="K35" i="1"/>
  <c r="J35" i="1"/>
  <c r="I35" i="1"/>
  <c r="H35" i="1"/>
  <c r="G35" i="1"/>
  <c r="F35" i="1"/>
  <c r="E35" i="1"/>
  <c r="D35" i="1"/>
  <c r="C35" i="1"/>
  <c r="B35" i="1"/>
  <c r="K34" i="1"/>
  <c r="J34" i="1"/>
  <c r="I34" i="1"/>
  <c r="H34" i="1"/>
  <c r="G34" i="1"/>
  <c r="F34" i="1"/>
  <c r="E34" i="1"/>
  <c r="D34" i="1"/>
  <c r="C34" i="1"/>
  <c r="B34" i="1"/>
  <c r="K26" i="1"/>
  <c r="J26" i="1"/>
  <c r="I26" i="1"/>
  <c r="H26" i="1"/>
  <c r="G26" i="1"/>
  <c r="F26" i="1"/>
  <c r="E26" i="1"/>
  <c r="D26" i="1"/>
  <c r="C26" i="1"/>
  <c r="B26" i="1"/>
  <c r="K21" i="1"/>
  <c r="J21" i="1"/>
  <c r="I21" i="1"/>
  <c r="H21" i="1"/>
  <c r="G21" i="1"/>
  <c r="F21" i="1"/>
  <c r="E21" i="1"/>
  <c r="D21" i="1"/>
  <c r="C21" i="1"/>
  <c r="B21" i="1"/>
  <c r="K20" i="1"/>
  <c r="J20" i="1"/>
  <c r="I20" i="1"/>
  <c r="H20" i="1"/>
  <c r="G20" i="1"/>
  <c r="F20" i="1"/>
  <c r="E20" i="1"/>
  <c r="D20" i="1"/>
  <c r="C20" i="1"/>
  <c r="B20" i="1"/>
  <c r="K12" i="1"/>
  <c r="J12" i="1"/>
  <c r="I12" i="1"/>
  <c r="H12" i="1"/>
  <c r="G12" i="1"/>
  <c r="F12" i="1"/>
  <c r="E12" i="1"/>
  <c r="D12" i="1"/>
  <c r="C12" i="1"/>
  <c r="B12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  <c r="K54" i="6"/>
  <c r="J54" i="6"/>
  <c r="I54" i="6"/>
  <c r="H54" i="6"/>
  <c r="G54" i="6"/>
  <c r="F54" i="6"/>
  <c r="E54" i="6"/>
  <c r="D54" i="6"/>
  <c r="C54" i="6"/>
  <c r="B54" i="6"/>
  <c r="K49" i="6"/>
  <c r="J49" i="6"/>
  <c r="I49" i="6"/>
  <c r="H49" i="6"/>
  <c r="G49" i="6"/>
  <c r="F49" i="6"/>
  <c r="E49" i="6"/>
  <c r="D49" i="6"/>
  <c r="C49" i="6"/>
  <c r="B49" i="6"/>
  <c r="K48" i="6"/>
  <c r="J48" i="6"/>
  <c r="I48" i="6"/>
  <c r="H48" i="6"/>
  <c r="G48" i="6"/>
  <c r="F48" i="6"/>
  <c r="E48" i="6"/>
  <c r="D48" i="6"/>
  <c r="C48" i="6"/>
  <c r="B48" i="6"/>
  <c r="K40" i="6"/>
  <c r="J40" i="6"/>
  <c r="I40" i="6"/>
  <c r="H40" i="6"/>
  <c r="G40" i="6"/>
  <c r="F40" i="6"/>
  <c r="E40" i="6"/>
  <c r="D40" i="6"/>
  <c r="C40" i="6"/>
  <c r="B40" i="6"/>
  <c r="K35" i="6"/>
  <c r="J35" i="6"/>
  <c r="I35" i="6"/>
  <c r="H35" i="6"/>
  <c r="G35" i="6"/>
  <c r="F35" i="6"/>
  <c r="E35" i="6"/>
  <c r="D35" i="6"/>
  <c r="C35" i="6"/>
  <c r="B35" i="6"/>
  <c r="K34" i="6"/>
  <c r="J34" i="6"/>
  <c r="I34" i="6"/>
  <c r="H34" i="6"/>
  <c r="G34" i="6"/>
  <c r="F34" i="6"/>
  <c r="E34" i="6"/>
  <c r="D34" i="6"/>
  <c r="C34" i="6"/>
  <c r="B34" i="6"/>
  <c r="K26" i="6"/>
  <c r="J26" i="6"/>
  <c r="I26" i="6"/>
  <c r="H26" i="6"/>
  <c r="G26" i="6"/>
  <c r="F26" i="6"/>
  <c r="E26" i="6"/>
  <c r="D26" i="6"/>
  <c r="C26" i="6"/>
  <c r="B26" i="6"/>
  <c r="K12" i="6"/>
  <c r="J12" i="6"/>
  <c r="I12" i="6"/>
  <c r="H12" i="6"/>
  <c r="G12" i="6"/>
  <c r="F12" i="6"/>
  <c r="E12" i="6"/>
  <c r="D12" i="6"/>
  <c r="C12" i="6"/>
  <c r="B12" i="6"/>
  <c r="K54" i="4"/>
  <c r="J54" i="4"/>
  <c r="I54" i="4"/>
  <c r="H54" i="4"/>
  <c r="G54" i="4"/>
  <c r="F54" i="4"/>
  <c r="E54" i="4"/>
  <c r="D54" i="4"/>
  <c r="C54" i="4"/>
  <c r="B54" i="4"/>
  <c r="K49" i="4"/>
  <c r="J49" i="4"/>
  <c r="I49" i="4"/>
  <c r="H49" i="4"/>
  <c r="G49" i="4"/>
  <c r="F49" i="4"/>
  <c r="E49" i="4"/>
  <c r="D49" i="4"/>
  <c r="C49" i="4"/>
  <c r="B49" i="4"/>
  <c r="K48" i="4"/>
  <c r="J48" i="4"/>
  <c r="I48" i="4"/>
  <c r="H48" i="4"/>
  <c r="G48" i="4"/>
  <c r="F48" i="4"/>
  <c r="E48" i="4"/>
  <c r="D48" i="4"/>
  <c r="C48" i="4"/>
  <c r="B48" i="4"/>
  <c r="K40" i="4"/>
  <c r="J40" i="4"/>
  <c r="I40" i="4"/>
  <c r="H40" i="4"/>
  <c r="G40" i="4"/>
  <c r="F40" i="4"/>
  <c r="E40" i="4"/>
  <c r="D40" i="4"/>
  <c r="C40" i="4"/>
  <c r="B40" i="4"/>
  <c r="K35" i="4"/>
  <c r="J35" i="4"/>
  <c r="I35" i="4"/>
  <c r="H35" i="4"/>
  <c r="G35" i="4"/>
  <c r="F35" i="4"/>
  <c r="E35" i="4"/>
  <c r="D35" i="4"/>
  <c r="C35" i="4"/>
  <c r="B35" i="4"/>
  <c r="K34" i="4"/>
  <c r="J34" i="4"/>
  <c r="I34" i="4"/>
  <c r="H34" i="4"/>
  <c r="G34" i="4"/>
  <c r="F34" i="4"/>
  <c r="E34" i="4"/>
  <c r="D34" i="4"/>
  <c r="C34" i="4"/>
  <c r="B34" i="4"/>
  <c r="K26" i="4"/>
  <c r="J26" i="4"/>
  <c r="I26" i="4"/>
  <c r="H26" i="4"/>
  <c r="G26" i="4"/>
  <c r="F26" i="4"/>
  <c r="E26" i="4"/>
  <c r="D26" i="4"/>
  <c r="C26" i="4"/>
  <c r="B26" i="4"/>
  <c r="K21" i="4"/>
  <c r="J21" i="4"/>
  <c r="I21" i="4"/>
  <c r="H21" i="4"/>
  <c r="G21" i="4"/>
  <c r="F21" i="4"/>
  <c r="E21" i="4"/>
  <c r="D21" i="4"/>
  <c r="C21" i="4"/>
  <c r="B21" i="4"/>
  <c r="K20" i="4"/>
  <c r="J20" i="4"/>
  <c r="I20" i="4"/>
  <c r="H20" i="4"/>
  <c r="G20" i="4"/>
  <c r="F20" i="4"/>
  <c r="E20" i="4"/>
  <c r="D20" i="4"/>
  <c r="C20" i="4"/>
  <c r="B20" i="4"/>
  <c r="K7" i="4"/>
  <c r="J7" i="4"/>
  <c r="I7" i="4"/>
  <c r="H7" i="4"/>
  <c r="G7" i="4"/>
  <c r="F7" i="4"/>
  <c r="E7" i="4"/>
  <c r="D7" i="4"/>
  <c r="C7" i="4"/>
  <c r="B7" i="4"/>
  <c r="K6" i="4"/>
  <c r="J6" i="4"/>
  <c r="I6" i="4"/>
  <c r="H6" i="4"/>
  <c r="G6" i="4"/>
  <c r="F6" i="4"/>
  <c r="E6" i="4"/>
  <c r="D6" i="4"/>
  <c r="C6" i="4"/>
  <c r="B6" i="4"/>
  <c r="K12" i="4"/>
  <c r="J12" i="4"/>
  <c r="I12" i="4"/>
  <c r="H12" i="4"/>
  <c r="G12" i="4"/>
  <c r="F12" i="4"/>
  <c r="E12" i="4"/>
  <c r="D12" i="4"/>
  <c r="C12" i="4"/>
  <c r="B12" i="4"/>
  <c r="K21" i="6"/>
  <c r="J21" i="6"/>
  <c r="I21" i="6"/>
  <c r="H21" i="6"/>
  <c r="G21" i="6"/>
  <c r="F21" i="6"/>
  <c r="E21" i="6"/>
  <c r="D21" i="6"/>
  <c r="C21" i="6"/>
  <c r="B21" i="6"/>
  <c r="K20" i="6"/>
  <c r="J20" i="6"/>
  <c r="I20" i="6"/>
  <c r="H20" i="6"/>
  <c r="G20" i="6"/>
  <c r="F20" i="6"/>
  <c r="E20" i="6"/>
  <c r="D20" i="6"/>
  <c r="C20" i="6"/>
  <c r="B20" i="6"/>
  <c r="K7" i="6"/>
  <c r="J7" i="6"/>
  <c r="I7" i="6"/>
  <c r="H7" i="6"/>
  <c r="G7" i="6"/>
  <c r="F7" i="6"/>
  <c r="E7" i="6"/>
  <c r="D7" i="6"/>
  <c r="C7" i="6"/>
  <c r="B7" i="6"/>
  <c r="K6" i="6"/>
  <c r="J6" i="6"/>
  <c r="I6" i="6"/>
  <c r="H6" i="6"/>
  <c r="G6" i="6"/>
  <c r="F6" i="6"/>
  <c r="E6" i="6"/>
  <c r="D6" i="6"/>
  <c r="C6" i="6"/>
  <c r="B6" i="6"/>
  <c r="K50" i="6"/>
  <c r="J50" i="6"/>
  <c r="I50" i="6"/>
  <c r="H50" i="6"/>
  <c r="G50" i="6"/>
  <c r="F50" i="6"/>
  <c r="E50" i="6"/>
  <c r="D50" i="6"/>
  <c r="C50" i="6"/>
  <c r="B50" i="6"/>
  <c r="K36" i="6"/>
  <c r="J36" i="6"/>
  <c r="I36" i="6"/>
  <c r="H36" i="6"/>
  <c r="G36" i="6"/>
  <c r="F36" i="6"/>
  <c r="E36" i="6"/>
  <c r="D36" i="6"/>
  <c r="C36" i="6"/>
  <c r="B36" i="6"/>
  <c r="K22" i="6"/>
  <c r="J22" i="6"/>
  <c r="I22" i="6"/>
  <c r="H22" i="6"/>
  <c r="G22" i="6"/>
  <c r="F22" i="6"/>
  <c r="E22" i="6"/>
  <c r="D22" i="6"/>
  <c r="C22" i="6"/>
  <c r="B22" i="6"/>
  <c r="K8" i="6"/>
  <c r="J8" i="6"/>
  <c r="I8" i="6"/>
  <c r="H8" i="6"/>
  <c r="G8" i="6"/>
  <c r="F8" i="6"/>
  <c r="E8" i="6"/>
  <c r="D8" i="6"/>
  <c r="C8" i="6"/>
  <c r="B8" i="6"/>
  <c r="K13" i="1" l="1"/>
  <c r="J13" i="1"/>
  <c r="I13" i="1"/>
  <c r="H13" i="1"/>
  <c r="G13" i="1"/>
  <c r="F13" i="1"/>
  <c r="E13" i="1"/>
  <c r="D13" i="1"/>
  <c r="C13" i="1"/>
  <c r="B13" i="1"/>
  <c r="K8" i="1" l="1"/>
  <c r="J8" i="1"/>
  <c r="I8" i="1"/>
  <c r="H8" i="1"/>
  <c r="G8" i="1"/>
  <c r="F8" i="1"/>
  <c r="E8" i="1"/>
  <c r="D8" i="1"/>
  <c r="C8" i="1"/>
  <c r="B8" i="1"/>
  <c r="K50" i="4" l="1"/>
  <c r="J50" i="4"/>
  <c r="I50" i="4"/>
  <c r="H50" i="4"/>
  <c r="G50" i="4"/>
  <c r="F50" i="4"/>
  <c r="E50" i="4"/>
  <c r="D50" i="4"/>
  <c r="C50" i="4"/>
  <c r="B50" i="4"/>
  <c r="K36" i="4"/>
  <c r="J36" i="4"/>
  <c r="I36" i="4"/>
  <c r="H36" i="4"/>
  <c r="G36" i="4"/>
  <c r="F36" i="4"/>
  <c r="E36" i="4"/>
  <c r="D36" i="4"/>
  <c r="C36" i="4"/>
  <c r="B36" i="4"/>
  <c r="B22" i="4"/>
  <c r="C22" i="4"/>
  <c r="D22" i="4"/>
  <c r="E22" i="4"/>
  <c r="F22" i="4"/>
  <c r="G22" i="4"/>
  <c r="H22" i="4"/>
  <c r="I22" i="4"/>
  <c r="J22" i="4"/>
  <c r="K22" i="4"/>
  <c r="K8" i="4"/>
  <c r="J8" i="4"/>
  <c r="I8" i="4"/>
  <c r="H8" i="4"/>
  <c r="G8" i="4"/>
  <c r="F8" i="4"/>
  <c r="E8" i="4"/>
  <c r="D8" i="4"/>
  <c r="C8" i="4"/>
  <c r="B8" i="4"/>
  <c r="K50" i="3"/>
  <c r="J50" i="3"/>
  <c r="I50" i="3"/>
  <c r="H50" i="3"/>
  <c r="G50" i="3"/>
  <c r="F50" i="3"/>
  <c r="E50" i="3"/>
  <c r="D50" i="3"/>
  <c r="C50" i="3"/>
  <c r="B50" i="3"/>
  <c r="K22" i="3"/>
  <c r="J22" i="3"/>
  <c r="I22" i="3"/>
  <c r="H22" i="3"/>
  <c r="G22" i="3"/>
  <c r="F22" i="3"/>
  <c r="E22" i="3"/>
  <c r="D22" i="3"/>
  <c r="C22" i="3"/>
  <c r="B22" i="3"/>
  <c r="K13" i="3"/>
  <c r="J13" i="3"/>
  <c r="I13" i="3"/>
  <c r="H13" i="3"/>
  <c r="G13" i="3"/>
  <c r="F13" i="3"/>
  <c r="E13" i="3"/>
  <c r="D13" i="3"/>
  <c r="C13" i="3"/>
  <c r="B13" i="3"/>
  <c r="K27" i="3"/>
  <c r="J27" i="3"/>
  <c r="I27" i="3"/>
  <c r="H27" i="3"/>
  <c r="G27" i="3"/>
  <c r="F27" i="3"/>
  <c r="E27" i="3"/>
  <c r="D27" i="3"/>
  <c r="C27" i="3"/>
  <c r="B27" i="3"/>
  <c r="K55" i="3"/>
  <c r="J55" i="3"/>
  <c r="I55" i="3"/>
  <c r="H55" i="3"/>
  <c r="G55" i="3"/>
  <c r="F55" i="3"/>
  <c r="E55" i="3"/>
  <c r="D55" i="3"/>
  <c r="C55" i="3"/>
  <c r="B55" i="3"/>
  <c r="K8" i="3"/>
  <c r="J8" i="3"/>
  <c r="I8" i="3"/>
  <c r="H8" i="3"/>
  <c r="G8" i="3"/>
  <c r="F8" i="3"/>
  <c r="E8" i="3"/>
  <c r="D8" i="3"/>
  <c r="C8" i="3"/>
  <c r="B8" i="3"/>
  <c r="K50" i="1" l="1"/>
  <c r="J50" i="1"/>
  <c r="I50" i="1"/>
  <c r="H50" i="1"/>
  <c r="G50" i="1"/>
  <c r="F50" i="1"/>
  <c r="E50" i="1"/>
  <c r="D50" i="1"/>
  <c r="C50" i="1"/>
  <c r="B50" i="1"/>
  <c r="J55" i="1"/>
  <c r="I55" i="1"/>
  <c r="H55" i="1"/>
  <c r="G55" i="1"/>
  <c r="F55" i="1"/>
  <c r="E55" i="1"/>
  <c r="D55" i="1"/>
  <c r="C55" i="1"/>
  <c r="B55" i="1"/>
  <c r="K36" i="1"/>
  <c r="J36" i="1"/>
  <c r="I36" i="1"/>
  <c r="H36" i="1"/>
  <c r="G36" i="1"/>
  <c r="F36" i="1"/>
  <c r="E36" i="1"/>
  <c r="D36" i="1"/>
  <c r="C36" i="1"/>
  <c r="B36" i="1"/>
  <c r="K41" i="1"/>
  <c r="J41" i="1"/>
  <c r="I41" i="1"/>
  <c r="H41" i="1"/>
  <c r="G41" i="1"/>
  <c r="F41" i="1"/>
  <c r="E41" i="1"/>
  <c r="D41" i="1"/>
  <c r="C41" i="1"/>
  <c r="B41" i="1"/>
  <c r="K22" i="1"/>
  <c r="J22" i="1"/>
  <c r="I22" i="1"/>
  <c r="H22" i="1"/>
  <c r="G22" i="1"/>
  <c r="F22" i="1"/>
  <c r="E22" i="1"/>
  <c r="D22" i="1"/>
  <c r="C22" i="1"/>
  <c r="B22" i="1"/>
  <c r="K27" i="1"/>
  <c r="J27" i="1"/>
  <c r="I27" i="1"/>
  <c r="H27" i="1"/>
  <c r="G27" i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<sst xmlns="http://schemas.openxmlformats.org/spreadsheetml/2006/main" count="992" uniqueCount="155">
  <si>
    <t>outcome1</t>
  </si>
  <si>
    <t>outcome2</t>
  </si>
  <si>
    <t>outcome3</t>
  </si>
  <si>
    <t>outcome4</t>
  </si>
  <si>
    <t>outcome5</t>
  </si>
  <si>
    <t>outcome6</t>
  </si>
  <si>
    <t>outcome7</t>
  </si>
  <si>
    <t>outcome8</t>
  </si>
  <si>
    <t>outcome9</t>
  </si>
  <si>
    <t>outcome10</t>
  </si>
  <si>
    <t>True Beta</t>
  </si>
  <si>
    <t>Error term</t>
  </si>
  <si>
    <t>N(0,1)</t>
  </si>
  <si>
    <t>Separate Regression</t>
  </si>
  <si>
    <t>w</t>
  </si>
  <si>
    <t>N</t>
  </si>
  <si>
    <t>Moment Forests: 200 trees, 300 bootstraps</t>
  </si>
  <si>
    <t>N(0,2)</t>
  </si>
  <si>
    <t>N(0,3)</t>
  </si>
  <si>
    <t>N(0,4)</t>
  </si>
  <si>
    <t>N(0,5)</t>
  </si>
  <si>
    <t>N(0,6)</t>
  </si>
  <si>
    <t>N(0,7)</t>
  </si>
  <si>
    <t>N(0,8)</t>
  </si>
  <si>
    <t>N(0,9)</t>
  </si>
  <si>
    <t>N(0,10)</t>
  </si>
  <si>
    <t>Moment Forests: 50 trees, 300 bootstraps</t>
  </si>
  <si>
    <t>N(0,20)</t>
  </si>
  <si>
    <t>N(0,30)</t>
  </si>
  <si>
    <t>N(0,40)</t>
  </si>
  <si>
    <t>N(0,50)</t>
  </si>
  <si>
    <t>N(0,60)</t>
  </si>
  <si>
    <t>N(0,70)</t>
  </si>
  <si>
    <t>N(0,80)</t>
  </si>
  <si>
    <t>N(0,90)</t>
  </si>
  <si>
    <t>N(0,100)</t>
  </si>
  <si>
    <t>not yet</t>
  </si>
  <si>
    <t>Estimating 6 unique treatment effects.</t>
  </si>
  <si>
    <t>Estimating 7 unique treatment effects.</t>
  </si>
  <si>
    <t>Moment Forests: 30 trees, 300 bootstraps</t>
  </si>
  <si>
    <t>Estimating 10 unique treatment effects.</t>
  </si>
  <si>
    <t>Estimating 9 unique treatment effects.</t>
  </si>
  <si>
    <t>Estimating 8 unique treatment effects.</t>
  </si>
  <si>
    <t>outcome11</t>
  </si>
  <si>
    <t>outcome12</t>
  </si>
  <si>
    <t>outcome13</t>
  </si>
  <si>
    <t>outcome14</t>
  </si>
  <si>
    <t>outcome15</t>
  </si>
  <si>
    <t>outcome16</t>
  </si>
  <si>
    <t>outcome17</t>
  </si>
  <si>
    <t>outcome18</t>
  </si>
  <si>
    <t>outcome19</t>
  </si>
  <si>
    <t>outcome20</t>
  </si>
  <si>
    <t>outcome21</t>
  </si>
  <si>
    <t>outcome22</t>
  </si>
  <si>
    <t>outcome23</t>
  </si>
  <si>
    <t>outcome24</t>
  </si>
  <si>
    <t>outcome25</t>
  </si>
  <si>
    <t>outcome26</t>
  </si>
  <si>
    <t>outcome27</t>
  </si>
  <si>
    <t>outcome28</t>
  </si>
  <si>
    <t>outcome29</t>
  </si>
  <si>
    <t>outcome30</t>
  </si>
  <si>
    <t>Estimating 16 unique treatment effects.</t>
  </si>
  <si>
    <t>Moment Forests: 20 trees, 300 bootstraps</t>
  </si>
  <si>
    <t>Estimating 17 unique treatment effects.</t>
  </si>
  <si>
    <t>(0.2028)</t>
  </si>
  <si>
    <t>(0.1984)</t>
  </si>
  <si>
    <t>(0.2125)</t>
  </si>
  <si>
    <t>(0.2206)</t>
  </si>
  <si>
    <t>(0.2105)</t>
  </si>
  <si>
    <t>(0.0537)</t>
  </si>
  <si>
    <t>(0.0531)</t>
  </si>
  <si>
    <t>(0.0533)</t>
  </si>
  <si>
    <t>(0.0534)</t>
  </si>
  <si>
    <t>(0.0543)</t>
  </si>
  <si>
    <t>(0.0524)</t>
  </si>
  <si>
    <t>(0.0535)</t>
  </si>
  <si>
    <t>(0.0549)</t>
  </si>
  <si>
    <t>(0.0541)</t>
  </si>
  <si>
    <t>(0.0546)</t>
  </si>
  <si>
    <t>(0.0564)</t>
  </si>
  <si>
    <t>(0.0536)</t>
  </si>
  <si>
    <t>(0.0538)</t>
  </si>
  <si>
    <t>(0.2063)</t>
  </si>
  <si>
    <t>(0.2046)</t>
  </si>
  <si>
    <t>(0.2039)</t>
  </si>
  <si>
    <t>(0.2116)</t>
  </si>
  <si>
    <t>(0.2087)</t>
  </si>
  <si>
    <t>(0.1957)</t>
  </si>
  <si>
    <t>(0.2865)</t>
  </si>
  <si>
    <t>(0.2022)</t>
  </si>
  <si>
    <t>(0.2058)</t>
  </si>
  <si>
    <t>(0.2216)</t>
  </si>
  <si>
    <t>(1.4876)</t>
  </si>
  <si>
    <t>(1.2978)</t>
  </si>
  <si>
    <t>(1.7426)</t>
  </si>
  <si>
    <t>(1.5631)</t>
  </si>
  <si>
    <t>(1.6028)</t>
  </si>
  <si>
    <t>(0.4002)</t>
  </si>
  <si>
    <t>(0.3991)</t>
  </si>
  <si>
    <t>(0.3982)</t>
  </si>
  <si>
    <t>(0.3994)</t>
  </si>
  <si>
    <t>(0.3960)</t>
  </si>
  <si>
    <t>(0.3971)</t>
  </si>
  <si>
    <t>(0.4004)</t>
  </si>
  <si>
    <t>(0.3992)</t>
  </si>
  <si>
    <t>(0.4013)</t>
  </si>
  <si>
    <t>(0.3985)</t>
  </si>
  <si>
    <t>(0.3981)</t>
  </si>
  <si>
    <t>(0.3978)</t>
  </si>
  <si>
    <t>(0.3998)</t>
  </si>
  <si>
    <t>(0.4001)</t>
  </si>
  <si>
    <t>(0.3995)</t>
  </si>
  <si>
    <t>(0.8695)</t>
  </si>
  <si>
    <t>(1.0182)</t>
  </si>
  <si>
    <t>(0.6241)</t>
  </si>
  <si>
    <t>(1.0014)</t>
  </si>
  <si>
    <t>(1.0145)</t>
  </si>
  <si>
    <t>(1.5898)</t>
  </si>
  <si>
    <t>(3.2107)</t>
  </si>
  <si>
    <t>(2.0796)</t>
  </si>
  <si>
    <t>(1.3968)</t>
  </si>
  <si>
    <t>(1.4354)</t>
  </si>
  <si>
    <t>(0.6746)</t>
  </si>
  <si>
    <t>(0.5725)</t>
  </si>
  <si>
    <t>(0.6767)</t>
  </si>
  <si>
    <t>(0.6807)</t>
  </si>
  <si>
    <t>(0.6307)</t>
  </si>
  <si>
    <t>(0.2905)</t>
  </si>
  <si>
    <t>(0.2875)</t>
  </si>
  <si>
    <t>(0.2857)</t>
  </si>
  <si>
    <t>(0.2873)</t>
  </si>
  <si>
    <t>(0.2863)</t>
  </si>
  <si>
    <t>(0.3062)</t>
  </si>
  <si>
    <t>(0.3499)</t>
  </si>
  <si>
    <t>(0.2944)</t>
  </si>
  <si>
    <t>(0.2922)</t>
  </si>
  <si>
    <t>(0.3222)</t>
  </si>
  <si>
    <t>(0.3719)</t>
  </si>
  <si>
    <t>(0.4141)</t>
  </si>
  <si>
    <t>(0.4462)</t>
  </si>
  <si>
    <t>(0.3188)</t>
  </si>
  <si>
    <t>(0.3101)</t>
  </si>
  <si>
    <t>(1.3790)</t>
  </si>
  <si>
    <t>(1.4014)</t>
  </si>
  <si>
    <t>(1.4030)</t>
  </si>
  <si>
    <t>(1.3978)</t>
  </si>
  <si>
    <t>(1.5582)</t>
  </si>
  <si>
    <t>(1.5929)</t>
  </si>
  <si>
    <t>(1.6832)</t>
  </si>
  <si>
    <t>(1.7057)</t>
  </si>
  <si>
    <t>(1.4586)</t>
  </si>
  <si>
    <t>(1.7432)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</si>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</sst>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7248-697F-4A73-B52E-674A71C98677}">
  <dimension ref="A1:L55"/>
  <sheetViews>
    <sheetView workbookViewId="0">
      <selection activeCell="B1" sqref="B1:K1048576"/>
    </sheetView>
  </sheetViews>
  <sheetFormatPr defaultRowHeight="15" x14ac:dyDescent="0.25"/>
  <cols>
    <col min="1" max="1" width="19.28515625" customWidth="1"/>
    <col min="2" max="5" width="9.85546875" bestFit="1" customWidth="1"/>
    <col min="6" max="6" width="12.7109375" bestFit="1" customWidth="1"/>
    <col min="7" max="10" width="9.85546875" bestFit="1" customWidth="1"/>
    <col min="11" max="11" width="10.85546875" bestFit="1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4" t="s">
        <v>10</v>
      </c>
      <c r="B2" s="5">
        <v>-40</v>
      </c>
      <c r="C2" s="5">
        <v>-30</v>
      </c>
      <c r="D2" s="5">
        <v>-20</v>
      </c>
      <c r="E2" s="5">
        <v>-10</v>
      </c>
      <c r="F2" s="5">
        <v>0</v>
      </c>
      <c r="G2" s="5">
        <v>10</v>
      </c>
      <c r="H2" s="5">
        <v>20</v>
      </c>
      <c r="I2" s="5">
        <v>30</v>
      </c>
      <c r="J2" s="5">
        <v>40</v>
      </c>
      <c r="K2" s="6">
        <v>50</v>
      </c>
    </row>
    <row r="3" spans="1:12" x14ac:dyDescent="0.25">
      <c r="A3" s="4" t="s">
        <v>11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8" t="s">
        <v>12</v>
      </c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2" x14ac:dyDescent="0.25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25">
      <c r="A6" s="4" t="s">
        <v>14</v>
      </c>
      <c r="B6" s="5" t="str">
        <f>"-39.945"</f>
        <v>-39.945</v>
      </c>
      <c r="C6" s="5" t="str">
        <f>"-30.133"</f>
        <v>-30.133</v>
      </c>
      <c r="D6" s="5" t="str">
        <f>"-20.063"</f>
        <v>-20.063</v>
      </c>
      <c r="E6" s="5" t="str">
        <f>"-9.894"</f>
        <v>-9.894</v>
      </c>
      <c r="F6" s="5" t="str">
        <f>"-0.209"</f>
        <v>-0.209</v>
      </c>
      <c r="G6" s="5" t="str">
        <f>"9.974"</f>
        <v>9.974</v>
      </c>
      <c r="H6" s="5" t="str">
        <f>"19.927"</f>
        <v>19.927</v>
      </c>
      <c r="I6" s="5" t="str">
        <f>"30.119"</f>
        <v>30.119</v>
      </c>
      <c r="J6" s="5" t="str">
        <f>"40.131"</f>
        <v>40.131</v>
      </c>
      <c r="K6" s="6" t="str">
        <f>"49.969"</f>
        <v>49.969</v>
      </c>
    </row>
    <row r="7" spans="1:12" x14ac:dyDescent="0.25">
      <c r="A7" s="4"/>
      <c r="B7" s="5" t="str">
        <f>"(0.1259)"</f>
        <v>(0.1259)</v>
      </c>
      <c r="C7" s="5" t="str">
        <f>"(0.1213)"</f>
        <v>(0.1213)</v>
      </c>
      <c r="D7" s="5" t="str">
        <f>"(0.1301)"</f>
        <v>(0.1301)</v>
      </c>
      <c r="E7" s="5" t="str">
        <f>"(0.1300)"</f>
        <v>(0.1300)</v>
      </c>
      <c r="F7" s="5" t="str">
        <f>"(0.1270)"</f>
        <v>(0.1270)</v>
      </c>
      <c r="G7" s="5" t="str">
        <f>"(0.1135)"</f>
        <v>(0.1135)</v>
      </c>
      <c r="H7" s="5" t="str">
        <f>"(0.1211)"</f>
        <v>(0.1211)</v>
      </c>
      <c r="I7" s="5" t="str">
        <f>"(0.1310)"</f>
        <v>(0.1310)</v>
      </c>
      <c r="J7" s="5" t="str">
        <f>"(0.1282)"</f>
        <v>(0.1282)</v>
      </c>
      <c r="K7" s="6" t="str">
        <f>"(0.1235)"</f>
        <v>(0.1235)</v>
      </c>
    </row>
    <row r="8" spans="1:12" x14ac:dyDescent="0.25">
      <c r="A8" s="4" t="s">
        <v>15</v>
      </c>
      <c r="B8" s="5" t="str">
        <f t="shared" ref="B8:K8" si="0">"250"</f>
        <v>250</v>
      </c>
      <c r="C8" s="5" t="str">
        <f t="shared" si="0"/>
        <v>250</v>
      </c>
      <c r="D8" s="5" t="str">
        <f t="shared" si="0"/>
        <v>250</v>
      </c>
      <c r="E8" s="5" t="str">
        <f t="shared" si="0"/>
        <v>250</v>
      </c>
      <c r="F8" s="5" t="str">
        <f t="shared" si="0"/>
        <v>250</v>
      </c>
      <c r="G8" s="5" t="str">
        <f t="shared" si="0"/>
        <v>250</v>
      </c>
      <c r="H8" s="5" t="str">
        <f t="shared" si="0"/>
        <v>250</v>
      </c>
      <c r="I8" s="5" t="str">
        <f t="shared" si="0"/>
        <v>250</v>
      </c>
      <c r="J8" s="5" t="str">
        <f t="shared" si="0"/>
        <v>250</v>
      </c>
      <c r="K8" s="6" t="str">
        <f t="shared" si="0"/>
        <v>250</v>
      </c>
    </row>
    <row r="9" spans="1:1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2" x14ac:dyDescent="0.25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2" x14ac:dyDescent="0.25">
      <c r="A11" s="4" t="s">
        <v>14</v>
      </c>
      <c r="B11" s="9">
        <v>-40.215367180000001</v>
      </c>
      <c r="C11" s="9">
        <v>-30.303634970000001</v>
      </c>
      <c r="D11" s="9">
        <v>-20.216125559999998</v>
      </c>
      <c r="E11" s="9">
        <v>-9.8112694200000004</v>
      </c>
      <c r="F11" s="5">
        <v>-0.2258207341</v>
      </c>
      <c r="G11" s="9">
        <v>9.8704134749999994</v>
      </c>
      <c r="H11" s="9">
        <v>20.014594079999998</v>
      </c>
      <c r="I11" s="9">
        <v>30.292874550000001</v>
      </c>
      <c r="J11" s="9">
        <v>40.374581229999997</v>
      </c>
      <c r="K11" s="10">
        <v>49.872935349999999</v>
      </c>
      <c r="L11" t="s">
        <v>40</v>
      </c>
    </row>
    <row r="12" spans="1:12" x14ac:dyDescent="0.25">
      <c r="A12" s="4"/>
      <c r="B12" s="11" t="str">
        <f>"(0.1798)"</f>
        <v>(0.1798)</v>
      </c>
      <c r="C12" s="11" t="str">
        <f>"(0.1718)"</f>
        <v>(0.1718)</v>
      </c>
      <c r="D12" s="11" t="str">
        <f>"(0.1855)"</f>
        <v>(0.1855)</v>
      </c>
      <c r="E12" s="11" t="str">
        <f>"(0.1850)"</f>
        <v>(0.1850)</v>
      </c>
      <c r="F12" s="11" t="str">
        <f>"(0.1730)"</f>
        <v>(0.1730)</v>
      </c>
      <c r="G12" s="11" t="str">
        <f>"(0.1621)"</f>
        <v>(0.1621)</v>
      </c>
      <c r="H12" s="11" t="str">
        <f>"(0.1814)"</f>
        <v>(0.1814)</v>
      </c>
      <c r="I12" s="11" t="str">
        <f>"(0.1982)"</f>
        <v>(0.1982)</v>
      </c>
      <c r="J12" s="11" t="str">
        <f>"(0.1945)"</f>
        <v>(0.1945)</v>
      </c>
      <c r="K12" s="12" t="str">
        <f>"(0.1740)"</f>
        <v>(0.1740)</v>
      </c>
    </row>
    <row r="13" spans="1:12" ht="15.75" thickBot="1" x14ac:dyDescent="0.3">
      <c r="A13" s="13" t="s">
        <v>15</v>
      </c>
      <c r="B13" s="14" t="str">
        <f t="shared" ref="B13:K13" si="1">"250"</f>
        <v>250</v>
      </c>
      <c r="C13" s="14" t="str">
        <f t="shared" si="1"/>
        <v>250</v>
      </c>
      <c r="D13" s="14" t="str">
        <f t="shared" si="1"/>
        <v>250</v>
      </c>
      <c r="E13" s="14" t="str">
        <f t="shared" si="1"/>
        <v>250</v>
      </c>
      <c r="F13" s="14" t="str">
        <f t="shared" si="1"/>
        <v>250</v>
      </c>
      <c r="G13" s="14" t="str">
        <f t="shared" si="1"/>
        <v>250</v>
      </c>
      <c r="H13" s="14" t="str">
        <f t="shared" si="1"/>
        <v>250</v>
      </c>
      <c r="I13" s="14" t="str">
        <f t="shared" si="1"/>
        <v>250</v>
      </c>
      <c r="J13" s="14" t="str">
        <f t="shared" si="1"/>
        <v>250</v>
      </c>
      <c r="K13" s="15" t="str">
        <f t="shared" si="1"/>
        <v>250</v>
      </c>
    </row>
    <row r="14" spans="1:12" ht="15.75" thickBot="1" x14ac:dyDescent="0.3"/>
    <row r="15" spans="1:12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3" t="s">
        <v>9</v>
      </c>
    </row>
    <row r="16" spans="1:12" x14ac:dyDescent="0.25">
      <c r="A16" s="4" t="s">
        <v>10</v>
      </c>
      <c r="B16" s="5">
        <v>-40</v>
      </c>
      <c r="C16" s="5">
        <v>-40</v>
      </c>
      <c r="D16" s="5">
        <v>-20</v>
      </c>
      <c r="E16" s="5">
        <v>-20</v>
      </c>
      <c r="F16" s="5">
        <v>0</v>
      </c>
      <c r="G16" s="5">
        <v>0</v>
      </c>
      <c r="H16" s="5">
        <v>0</v>
      </c>
      <c r="I16" s="5">
        <v>30</v>
      </c>
      <c r="J16" s="5">
        <v>40</v>
      </c>
      <c r="K16" s="6">
        <v>50</v>
      </c>
    </row>
    <row r="17" spans="1:12" x14ac:dyDescent="0.25">
      <c r="A17" s="4" t="s">
        <v>11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8" t="s">
        <v>12</v>
      </c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2" x14ac:dyDescent="0.25">
      <c r="A19" s="4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2" x14ac:dyDescent="0.25">
      <c r="A20" s="4" t="s">
        <v>14</v>
      </c>
      <c r="B20" s="5" t="str">
        <f>"-39.899"</f>
        <v>-39.899</v>
      </c>
      <c r="C20" s="5" t="str">
        <f>"-40.018"</f>
        <v>-40.018</v>
      </c>
      <c r="D20" s="5" t="str">
        <f>"-19.982"</f>
        <v>-19.982</v>
      </c>
      <c r="E20" s="5" t="str">
        <f>"-19.946"</f>
        <v>-19.946</v>
      </c>
      <c r="F20" s="5" t="str">
        <f>"0.109"</f>
        <v>0.109</v>
      </c>
      <c r="G20" s="5" t="str">
        <f>"0.054"</f>
        <v>0.054</v>
      </c>
      <c r="H20" s="5" t="str">
        <f>"-0.152"</f>
        <v>-0.152</v>
      </c>
      <c r="I20" s="5" t="str">
        <f>"30.060"</f>
        <v>30.060</v>
      </c>
      <c r="J20" s="5" t="str">
        <f>"40.139"</f>
        <v>40.139</v>
      </c>
      <c r="K20" s="6" t="str">
        <f>"49.884"</f>
        <v>49.884</v>
      </c>
    </row>
    <row r="21" spans="1:12" x14ac:dyDescent="0.25">
      <c r="A21" s="4"/>
      <c r="B21" s="5" t="str">
        <f>"(0.1205)"</f>
        <v>(0.1205)</v>
      </c>
      <c r="C21" s="5" t="str">
        <f>"(0.1318)"</f>
        <v>(0.1318)</v>
      </c>
      <c r="D21" s="5" t="str">
        <f>"(0.1247)"</f>
        <v>(0.1247)</v>
      </c>
      <c r="E21" s="5" t="str">
        <f>"(0.1293)"</f>
        <v>(0.1293)</v>
      </c>
      <c r="F21" s="5" t="str">
        <f>"(0.1206)"</f>
        <v>(0.1206)</v>
      </c>
      <c r="G21" s="5" t="str">
        <f>"(0.1229)"</f>
        <v>(0.1229)</v>
      </c>
      <c r="H21" s="5" t="str">
        <f>"(0.1292)"</f>
        <v>(0.1292)</v>
      </c>
      <c r="I21" s="5" t="str">
        <f>"(0.1296)"</f>
        <v>(0.1296)</v>
      </c>
      <c r="J21" s="5" t="str">
        <f>"(0.1223)"</f>
        <v>(0.1223)</v>
      </c>
      <c r="K21" s="6" t="str">
        <f>"(0.1133)"</f>
        <v>(0.1133)</v>
      </c>
    </row>
    <row r="22" spans="1:12" x14ac:dyDescent="0.25">
      <c r="A22" s="4" t="s">
        <v>15</v>
      </c>
      <c r="B22" s="5" t="str">
        <f t="shared" ref="B22:K22" si="2">"250"</f>
        <v>250</v>
      </c>
      <c r="C22" s="5" t="str">
        <f t="shared" si="2"/>
        <v>250</v>
      </c>
      <c r="D22" s="5" t="str">
        <f t="shared" si="2"/>
        <v>250</v>
      </c>
      <c r="E22" s="5" t="str">
        <f t="shared" si="2"/>
        <v>250</v>
      </c>
      <c r="F22" s="5" t="str">
        <f t="shared" si="2"/>
        <v>250</v>
      </c>
      <c r="G22" s="5" t="str">
        <f t="shared" si="2"/>
        <v>250</v>
      </c>
      <c r="H22" s="5" t="str">
        <f t="shared" si="2"/>
        <v>250</v>
      </c>
      <c r="I22" s="5" t="str">
        <f t="shared" si="2"/>
        <v>250</v>
      </c>
      <c r="J22" s="5" t="str">
        <f t="shared" si="2"/>
        <v>250</v>
      </c>
      <c r="K22" s="6" t="str">
        <f t="shared" si="2"/>
        <v>250</v>
      </c>
    </row>
    <row r="23" spans="1:1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25">
      <c r="A24" s="4" t="s">
        <v>16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x14ac:dyDescent="0.25">
      <c r="A25" s="4" t="s">
        <v>14</v>
      </c>
      <c r="B25" s="9">
        <v>-39.733455239999998</v>
      </c>
      <c r="C25" s="9">
        <v>-39.989519100000003</v>
      </c>
      <c r="D25" s="9">
        <v>-19.899905950000001</v>
      </c>
      <c r="E25" s="9">
        <v>-20.023532459999998</v>
      </c>
      <c r="F25" s="9">
        <v>0.20038478700000001</v>
      </c>
      <c r="G25" s="9">
        <v>0.20151508409999999</v>
      </c>
      <c r="H25" s="9">
        <v>0.20038478700000001</v>
      </c>
      <c r="I25" s="9">
        <v>30.087837159999999</v>
      </c>
      <c r="J25" s="9">
        <v>40.243083040000002</v>
      </c>
      <c r="K25" s="10">
        <v>49.798680640000001</v>
      </c>
      <c r="L25" t="s">
        <v>41</v>
      </c>
    </row>
    <row r="26" spans="1:12" x14ac:dyDescent="0.25">
      <c r="A26" s="4"/>
      <c r="B26" s="11" t="str">
        <f>"(0.1645)"</f>
        <v>(0.1645)</v>
      </c>
      <c r="C26" s="11" t="str">
        <f>"(0.1778)"</f>
        <v>(0.1778)</v>
      </c>
      <c r="D26" s="11" t="str">
        <f>"(0.1866)"</f>
        <v>(0.1866)</v>
      </c>
      <c r="E26" s="11" t="str">
        <f>"(0.1869)"</f>
        <v>(0.1869)</v>
      </c>
      <c r="F26" s="11" t="str">
        <f>"(0.0995)"</f>
        <v>(0.0995)</v>
      </c>
      <c r="G26" s="11" t="str">
        <f>"(0.0990)"</f>
        <v>(0.0990)</v>
      </c>
      <c r="H26" s="11" t="str">
        <f>"(0.0990)"</f>
        <v>(0.0990)</v>
      </c>
      <c r="I26" s="11" t="str">
        <f>"(0.1807)"</f>
        <v>(0.1807)</v>
      </c>
      <c r="J26" s="11" t="str">
        <f>"(0.1699)"</f>
        <v>(0.1699)</v>
      </c>
      <c r="K26" s="12" t="str">
        <f>"(0.1609)"</f>
        <v>(0.1609)</v>
      </c>
    </row>
    <row r="27" spans="1:12" ht="15.75" thickBot="1" x14ac:dyDescent="0.3">
      <c r="A27" s="13" t="s">
        <v>15</v>
      </c>
      <c r="B27" s="14" t="str">
        <f t="shared" ref="B27:K27" si="3">"250"</f>
        <v>250</v>
      </c>
      <c r="C27" s="14" t="str">
        <f t="shared" si="3"/>
        <v>250</v>
      </c>
      <c r="D27" s="14" t="str">
        <f t="shared" si="3"/>
        <v>250</v>
      </c>
      <c r="E27" s="14" t="str">
        <f t="shared" si="3"/>
        <v>250</v>
      </c>
      <c r="F27" s="14" t="str">
        <f t="shared" si="3"/>
        <v>250</v>
      </c>
      <c r="G27" s="14" t="str">
        <f t="shared" si="3"/>
        <v>250</v>
      </c>
      <c r="H27" s="14" t="str">
        <f t="shared" si="3"/>
        <v>250</v>
      </c>
      <c r="I27" s="14" t="str">
        <f t="shared" si="3"/>
        <v>250</v>
      </c>
      <c r="J27" s="14" t="str">
        <f t="shared" si="3"/>
        <v>250</v>
      </c>
      <c r="K27" s="15" t="str">
        <f t="shared" si="3"/>
        <v>250</v>
      </c>
    </row>
    <row r="28" spans="1:12" ht="15.75" thickBot="1" x14ac:dyDescent="0.3"/>
    <row r="29" spans="1:12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3" t="s">
        <v>9</v>
      </c>
    </row>
    <row r="30" spans="1:12" x14ac:dyDescent="0.25">
      <c r="A30" s="4" t="s">
        <v>10</v>
      </c>
      <c r="B30" s="5">
        <v>-40</v>
      </c>
      <c r="C30" s="5">
        <v>-30</v>
      </c>
      <c r="D30" s="5">
        <v>-20</v>
      </c>
      <c r="E30" s="5">
        <v>-10</v>
      </c>
      <c r="F30" s="5">
        <v>0</v>
      </c>
      <c r="G30" s="5">
        <v>10</v>
      </c>
      <c r="H30" s="5">
        <v>20</v>
      </c>
      <c r="I30" s="5">
        <v>30</v>
      </c>
      <c r="J30" s="5">
        <v>40</v>
      </c>
      <c r="K30" s="6">
        <v>50</v>
      </c>
    </row>
    <row r="31" spans="1:12" x14ac:dyDescent="0.25">
      <c r="A31" s="4" t="s">
        <v>11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8" t="s">
        <v>25</v>
      </c>
    </row>
    <row r="32" spans="1:1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2" x14ac:dyDescent="0.25">
      <c r="A33" s="4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2" x14ac:dyDescent="0.25">
      <c r="A34" s="4" t="s">
        <v>14</v>
      </c>
      <c r="B34" s="5" t="str">
        <f>"-40.123"</f>
        <v>-40.123</v>
      </c>
      <c r="C34" s="5" t="str">
        <f>"-30.109"</f>
        <v>-30.109</v>
      </c>
      <c r="D34" s="5" t="str">
        <f>"-20.069"</f>
        <v>-20.069</v>
      </c>
      <c r="E34" s="5" t="str">
        <f>"-10.411"</f>
        <v>-10.411</v>
      </c>
      <c r="F34" s="5" t="str">
        <f>"0.152"</f>
        <v>0.152</v>
      </c>
      <c r="G34" s="5" t="str">
        <f>"10.137"</f>
        <v>10.137</v>
      </c>
      <c r="H34" s="5" t="str">
        <f>"19.919"</f>
        <v>19.919</v>
      </c>
      <c r="I34" s="5" t="str">
        <f>"29.796"</f>
        <v>29.796</v>
      </c>
      <c r="J34" s="5" t="str">
        <f>"39.612"</f>
        <v>39.612</v>
      </c>
      <c r="K34" s="6" t="str">
        <f>"50.771"</f>
        <v>50.771</v>
      </c>
    </row>
    <row r="35" spans="1:12" x14ac:dyDescent="0.25">
      <c r="A35" s="4"/>
      <c r="B35" s="5" t="str">
        <f>"(0.1342)"</f>
        <v>(0.1342)</v>
      </c>
      <c r="C35" s="5" t="str">
        <f>"(0.1838)"</f>
        <v>(0.1838)</v>
      </c>
      <c r="D35" s="5" t="str">
        <f>"(0.2194)"</f>
        <v>(0.2194)</v>
      </c>
      <c r="E35" s="5" t="str">
        <f>"(0.2572)"</f>
        <v>(0.2572)</v>
      </c>
      <c r="F35" s="5" t="str">
        <f>"(0.2800)"</f>
        <v>(0.2800)</v>
      </c>
      <c r="G35" s="5" t="str">
        <f>"(0.3055)"</f>
        <v>(0.3055)</v>
      </c>
      <c r="H35" s="5" t="str">
        <f>"(0.3227)"</f>
        <v>(0.3227)</v>
      </c>
      <c r="I35" s="5" t="str">
        <f>"(0.3389)"</f>
        <v>(0.3389)</v>
      </c>
      <c r="J35" s="5" t="str">
        <f>"(0.3950)"</f>
        <v>(0.3950)</v>
      </c>
      <c r="K35" s="6" t="str">
        <f>"(0.4048)"</f>
        <v>(0.4048)</v>
      </c>
    </row>
    <row r="36" spans="1:12" x14ac:dyDescent="0.25">
      <c r="A36" s="4" t="s">
        <v>15</v>
      </c>
      <c r="B36" s="5" t="str">
        <f t="shared" ref="B36:K36" si="4">"250"</f>
        <v>250</v>
      </c>
      <c r="C36" s="5" t="str">
        <f t="shared" si="4"/>
        <v>250</v>
      </c>
      <c r="D36" s="5" t="str">
        <f t="shared" si="4"/>
        <v>250</v>
      </c>
      <c r="E36" s="5" t="str">
        <f t="shared" si="4"/>
        <v>250</v>
      </c>
      <c r="F36" s="5" t="str">
        <f t="shared" si="4"/>
        <v>250</v>
      </c>
      <c r="G36" s="5" t="str">
        <f t="shared" si="4"/>
        <v>250</v>
      </c>
      <c r="H36" s="5" t="str">
        <f t="shared" si="4"/>
        <v>250</v>
      </c>
      <c r="I36" s="5" t="str">
        <f t="shared" si="4"/>
        <v>250</v>
      </c>
      <c r="J36" s="5" t="str">
        <f t="shared" si="4"/>
        <v>250</v>
      </c>
      <c r="K36" s="6" t="str">
        <f t="shared" si="4"/>
        <v>250</v>
      </c>
    </row>
    <row r="37" spans="1:1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2" x14ac:dyDescent="0.25">
      <c r="A38" s="4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2" x14ac:dyDescent="0.25">
      <c r="A39" s="4" t="s">
        <v>14</v>
      </c>
      <c r="B39" s="9">
        <v>-40.380367210000003</v>
      </c>
      <c r="C39" s="9">
        <v>-29.45605377</v>
      </c>
      <c r="D39" s="9">
        <v>-20.098608299999999</v>
      </c>
      <c r="E39" s="9">
        <v>-10.46465534</v>
      </c>
      <c r="F39" s="9">
        <v>0.83395615980000004</v>
      </c>
      <c r="G39" s="9">
        <v>10.33645054</v>
      </c>
      <c r="H39" s="9">
        <v>19.504267850000002</v>
      </c>
      <c r="I39" s="9">
        <v>29.291697039999999</v>
      </c>
      <c r="J39" s="9">
        <v>39.593301390000001</v>
      </c>
      <c r="K39" s="10">
        <v>50.821511409999999</v>
      </c>
      <c r="L39" t="s">
        <v>40</v>
      </c>
    </row>
    <row r="40" spans="1:12" x14ac:dyDescent="0.25">
      <c r="A40" s="4"/>
      <c r="B40" s="11" t="str">
        <f>"(0.8201)"</f>
        <v>(0.8201)</v>
      </c>
      <c r="C40" s="11" t="str">
        <f>"(0.9840)"</f>
        <v>(0.9840)</v>
      </c>
      <c r="D40" s="11" t="str">
        <f>"(0.9039)"</f>
        <v>(0.9039)</v>
      </c>
      <c r="E40" s="11" t="str">
        <f>"(0.7419)"</f>
        <v>(0.7419)</v>
      </c>
      <c r="F40" s="11" t="str">
        <f>"(0.6509)"</f>
        <v>(0.6509)</v>
      </c>
      <c r="G40" s="11" t="str">
        <f>"(0.8130)"</f>
        <v>(0.8130)</v>
      </c>
      <c r="H40" s="11" t="str">
        <f>"(0.7397)"</f>
        <v>(0.7397)</v>
      </c>
      <c r="I40" s="11" t="str">
        <f>"(0.8057)"</f>
        <v>(0.8057)</v>
      </c>
      <c r="J40" s="11" t="str">
        <f>"(0.9662)"</f>
        <v>(0.9662)</v>
      </c>
      <c r="K40" s="12" t="str">
        <f>"(1.1721)"</f>
        <v>(1.1721)</v>
      </c>
    </row>
    <row r="41" spans="1:12" ht="15.75" thickBot="1" x14ac:dyDescent="0.3">
      <c r="A41" s="13" t="s">
        <v>15</v>
      </c>
      <c r="B41" s="14" t="str">
        <f t="shared" ref="B41:K41" si="5">"250"</f>
        <v>250</v>
      </c>
      <c r="C41" s="14" t="str">
        <f t="shared" si="5"/>
        <v>250</v>
      </c>
      <c r="D41" s="14" t="str">
        <f t="shared" si="5"/>
        <v>250</v>
      </c>
      <c r="E41" s="14" t="str">
        <f t="shared" si="5"/>
        <v>250</v>
      </c>
      <c r="F41" s="14" t="str">
        <f t="shared" si="5"/>
        <v>250</v>
      </c>
      <c r="G41" s="14" t="str">
        <f t="shared" si="5"/>
        <v>250</v>
      </c>
      <c r="H41" s="14" t="str">
        <f t="shared" si="5"/>
        <v>250</v>
      </c>
      <c r="I41" s="14" t="str">
        <f t="shared" si="5"/>
        <v>250</v>
      </c>
      <c r="J41" s="14" t="str">
        <f t="shared" si="5"/>
        <v>250</v>
      </c>
      <c r="K41" s="15" t="str">
        <f t="shared" si="5"/>
        <v>250</v>
      </c>
    </row>
    <row r="42" spans="1:12" ht="15.75" thickBot="1" x14ac:dyDescent="0.3"/>
    <row r="43" spans="1:12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3" t="s">
        <v>9</v>
      </c>
    </row>
    <row r="44" spans="1:12" x14ac:dyDescent="0.25">
      <c r="A44" s="4" t="s">
        <v>10</v>
      </c>
      <c r="B44" s="5">
        <v>-40</v>
      </c>
      <c r="C44" s="5">
        <v>-40</v>
      </c>
      <c r="D44" s="5">
        <v>-20</v>
      </c>
      <c r="E44" s="5">
        <v>-20</v>
      </c>
      <c r="F44" s="5">
        <v>0</v>
      </c>
      <c r="G44" s="5">
        <v>0</v>
      </c>
      <c r="H44" s="5">
        <v>0</v>
      </c>
      <c r="I44" s="5">
        <v>30</v>
      </c>
      <c r="J44" s="5">
        <v>40</v>
      </c>
      <c r="K44" s="6">
        <v>50</v>
      </c>
    </row>
    <row r="45" spans="1:12" x14ac:dyDescent="0.25">
      <c r="A45" s="4" t="s">
        <v>11</v>
      </c>
      <c r="B45" s="7" t="s">
        <v>12</v>
      </c>
      <c r="C45" s="7" t="s">
        <v>17</v>
      </c>
      <c r="D45" s="7" t="s">
        <v>18</v>
      </c>
      <c r="E45" s="7" t="s">
        <v>19</v>
      </c>
      <c r="F45" s="7" t="s">
        <v>20</v>
      </c>
      <c r="G45" s="7" t="s">
        <v>21</v>
      </c>
      <c r="H45" s="7" t="s">
        <v>22</v>
      </c>
      <c r="I45" s="7" t="s">
        <v>23</v>
      </c>
      <c r="J45" s="7" t="s">
        <v>24</v>
      </c>
      <c r="K45" s="8" t="s">
        <v>25</v>
      </c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2" x14ac:dyDescent="0.25">
      <c r="A47" s="4" t="s">
        <v>13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2" x14ac:dyDescent="0.25">
      <c r="A48" s="4" t="s">
        <v>14</v>
      </c>
      <c r="B48" s="5" t="str">
        <f>"-40.109"</f>
        <v>-40.109</v>
      </c>
      <c r="C48" s="5" t="str">
        <f>"-40.284"</f>
        <v>-40.284</v>
      </c>
      <c r="D48" s="5" t="str">
        <f>"-20.083"</f>
        <v>-20.083</v>
      </c>
      <c r="E48" s="5" t="str">
        <f>"-19.912"</f>
        <v>-19.912</v>
      </c>
      <c r="F48" s="5" t="str">
        <f>"0.187"</f>
        <v>0.187</v>
      </c>
      <c r="G48" s="5" t="str">
        <f>"-0.008"</f>
        <v>-0.008</v>
      </c>
      <c r="H48" s="5" t="str">
        <f>"-0.158"</f>
        <v>-0.158</v>
      </c>
      <c r="I48" s="5" t="str">
        <f>"29.909"</f>
        <v>29.909</v>
      </c>
      <c r="J48" s="5" t="str">
        <f>"40.042"</f>
        <v>40.042</v>
      </c>
      <c r="K48" s="6" t="str">
        <f>"49.941"</f>
        <v>49.941</v>
      </c>
    </row>
    <row r="49" spans="1:12" x14ac:dyDescent="0.25">
      <c r="A49" s="4"/>
      <c r="B49" s="5" t="str">
        <f>"(0.1264)"</f>
        <v>(0.1264)</v>
      </c>
      <c r="C49" s="5" t="str">
        <f>"(0.1717)"</f>
        <v>(0.1717)</v>
      </c>
      <c r="D49" s="5" t="str">
        <f>"(0.2237)"</f>
        <v>(0.2237)</v>
      </c>
      <c r="E49" s="5" t="str">
        <f>"(0.2591)"</f>
        <v>(0.2591)</v>
      </c>
      <c r="F49" s="5" t="str">
        <f>"(0.3032)"</f>
        <v>(0.3032)</v>
      </c>
      <c r="G49" s="5" t="str">
        <f>"(0.3035)"</f>
        <v>(0.3035)</v>
      </c>
      <c r="H49" s="5" t="str">
        <f>"(0.3186)"</f>
        <v>(0.3186)</v>
      </c>
      <c r="I49" s="5" t="str">
        <f>"(0.3718)"</f>
        <v>(0.3718)</v>
      </c>
      <c r="J49" s="5" t="str">
        <f>"(0.3840)"</f>
        <v>(0.3840)</v>
      </c>
      <c r="K49" s="6" t="str">
        <f>"(0.3944)"</f>
        <v>(0.3944)</v>
      </c>
    </row>
    <row r="50" spans="1:12" x14ac:dyDescent="0.25">
      <c r="A50" s="4" t="s">
        <v>15</v>
      </c>
      <c r="B50" s="5" t="str">
        <f t="shared" ref="B50:K50" si="6">"250"</f>
        <v>250</v>
      </c>
      <c r="C50" s="5" t="str">
        <f t="shared" si="6"/>
        <v>250</v>
      </c>
      <c r="D50" s="5" t="str">
        <f t="shared" si="6"/>
        <v>250</v>
      </c>
      <c r="E50" s="5" t="str">
        <f t="shared" si="6"/>
        <v>250</v>
      </c>
      <c r="F50" s="5" t="str">
        <f t="shared" si="6"/>
        <v>250</v>
      </c>
      <c r="G50" s="5" t="str">
        <f t="shared" si="6"/>
        <v>250</v>
      </c>
      <c r="H50" s="5" t="str">
        <f t="shared" si="6"/>
        <v>250</v>
      </c>
      <c r="I50" s="5" t="str">
        <f t="shared" si="6"/>
        <v>250</v>
      </c>
      <c r="J50" s="5" t="str">
        <f t="shared" si="6"/>
        <v>250</v>
      </c>
      <c r="K50" s="6" t="str">
        <f t="shared" si="6"/>
        <v>250</v>
      </c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2" x14ac:dyDescent="0.25">
      <c r="A52" s="4" t="s">
        <v>16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2" x14ac:dyDescent="0.25">
      <c r="A53" s="4" t="s">
        <v>14</v>
      </c>
      <c r="B53" s="9">
        <v>-40.218665379999997</v>
      </c>
      <c r="C53" s="9">
        <v>-40.115497560000001</v>
      </c>
      <c r="D53" s="9">
        <v>-20.062816359999999</v>
      </c>
      <c r="E53" s="9">
        <v>-19.858869120000001</v>
      </c>
      <c r="F53" s="9">
        <v>3.4550056900000001E-2</v>
      </c>
      <c r="G53" s="9">
        <v>3.5483954200000001E-2</v>
      </c>
      <c r="H53" s="9">
        <v>3.1561741999999997E-2</v>
      </c>
      <c r="I53" s="9">
        <v>29.96141836</v>
      </c>
      <c r="J53" s="9">
        <v>40.918998729999998</v>
      </c>
      <c r="K53" s="10">
        <v>50.210541800000001</v>
      </c>
      <c r="L53" t="s">
        <v>40</v>
      </c>
    </row>
    <row r="54" spans="1:12" x14ac:dyDescent="0.25">
      <c r="A54" s="4"/>
      <c r="B54" s="11" t="str">
        <f>"(0.1769)"</f>
        <v>(0.1769)</v>
      </c>
      <c r="C54" s="11" t="str">
        <f>"(0.2320)"</f>
        <v>(0.2320)</v>
      </c>
      <c r="D54" s="11" t="str">
        <f>"(0.3037)"</f>
        <v>(0.3037)</v>
      </c>
      <c r="E54" s="11" t="str">
        <f>"(0.3551)"</f>
        <v>(0.3551)</v>
      </c>
      <c r="F54" s="11" t="str">
        <f>"(0.2451)"</f>
        <v>(0.2451)</v>
      </c>
      <c r="G54" s="11" t="str">
        <f>"(0.2460)"</f>
        <v>(0.2460)</v>
      </c>
      <c r="H54" s="11" t="str">
        <f>"(0.2447)"</f>
        <v>(0.2447)</v>
      </c>
      <c r="I54" s="11" t="str">
        <f>"(0.4778)"</f>
        <v>(0.4778)</v>
      </c>
      <c r="J54" s="11" t="str">
        <f>"(0.5092)"</f>
        <v>(0.5092)</v>
      </c>
      <c r="K54" s="12" t="str">
        <f>"(0.5739)"</f>
        <v>(0.5739)</v>
      </c>
    </row>
    <row r="55" spans="1:12" ht="15.75" thickBot="1" x14ac:dyDescent="0.3">
      <c r="A55" s="13" t="s">
        <v>15</v>
      </c>
      <c r="B55" s="14" t="str">
        <f t="shared" ref="B55:K55" si="7">"250"</f>
        <v>250</v>
      </c>
      <c r="C55" s="14" t="str">
        <f t="shared" si="7"/>
        <v>250</v>
      </c>
      <c r="D55" s="14" t="str">
        <f t="shared" si="7"/>
        <v>250</v>
      </c>
      <c r="E55" s="14" t="str">
        <f t="shared" si="7"/>
        <v>250</v>
      </c>
      <c r="F55" s="14" t="str">
        <f t="shared" si="7"/>
        <v>250</v>
      </c>
      <c r="G55" s="14" t="str">
        <f t="shared" si="7"/>
        <v>250</v>
      </c>
      <c r="H55" s="14" t="str">
        <f t="shared" si="7"/>
        <v>250</v>
      </c>
      <c r="I55" s="14" t="str">
        <f t="shared" si="7"/>
        <v>250</v>
      </c>
      <c r="J55" s="14" t="str">
        <f t="shared" si="7"/>
        <v>250</v>
      </c>
      <c r="K55" s="15" t="str">
        <f t="shared" si="7"/>
        <v>250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B5DF-B758-4312-95C3-489F50E7BBBC}">
  <dimension ref="A1:L55"/>
  <sheetViews>
    <sheetView zoomScaleNormal="100" workbookViewId="0"/>
  </sheetViews>
  <sheetFormatPr defaultRowHeight="15" x14ac:dyDescent="0.25"/>
  <cols>
    <col min="1" max="1" width="18.85546875" customWidth="1"/>
    <col min="2" max="10" width="9.140625" bestFit="1" customWidth="1"/>
    <col min="11" max="11" width="10.140625" bestFit="1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4" t="s">
        <v>10</v>
      </c>
      <c r="B2" s="5">
        <v>-40</v>
      </c>
      <c r="C2" s="5">
        <v>-30</v>
      </c>
      <c r="D2" s="5">
        <v>-20</v>
      </c>
      <c r="E2" s="5">
        <v>-10</v>
      </c>
      <c r="F2" s="5">
        <v>0</v>
      </c>
      <c r="G2" s="5">
        <v>10</v>
      </c>
      <c r="H2" s="5">
        <v>20</v>
      </c>
      <c r="I2" s="5">
        <v>30</v>
      </c>
      <c r="J2" s="5">
        <v>40</v>
      </c>
      <c r="K2" s="6">
        <v>50</v>
      </c>
    </row>
    <row r="3" spans="1:12" x14ac:dyDescent="0.25">
      <c r="A3" s="4" t="s">
        <v>11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8" t="s">
        <v>12</v>
      </c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2" x14ac:dyDescent="0.25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25">
      <c r="A6" s="4" t="s">
        <v>14</v>
      </c>
      <c r="B6" s="5" t="str">
        <f>"-40.106"</f>
        <v>-40.106</v>
      </c>
      <c r="C6" s="5" t="str">
        <f>"-30.082"</f>
        <v>-30.082</v>
      </c>
      <c r="D6" s="5" t="str">
        <f>"-19.982"</f>
        <v>-19.982</v>
      </c>
      <c r="E6" s="5" t="str">
        <f>"-9.852"</f>
        <v>-9.852</v>
      </c>
      <c r="F6" s="5" t="str">
        <f>"0.050"</f>
        <v>0.050</v>
      </c>
      <c r="G6" s="5" t="str">
        <f>"9.989"</f>
        <v>9.989</v>
      </c>
      <c r="H6" s="5" t="str">
        <f>"19.871"</f>
        <v>19.871</v>
      </c>
      <c r="I6" s="5" t="str">
        <f>"30.064"</f>
        <v>30.064</v>
      </c>
      <c r="J6" s="5" t="str">
        <f>"39.875"</f>
        <v>39.875</v>
      </c>
      <c r="K6" s="6" t="str">
        <f>"50.046"</f>
        <v>50.046</v>
      </c>
    </row>
    <row r="7" spans="1:12" x14ac:dyDescent="0.25">
      <c r="A7" s="4"/>
      <c r="B7" s="5" t="str">
        <f>"(0.0872)"</f>
        <v>(0.0872)</v>
      </c>
      <c r="C7" s="5" t="str">
        <f>"(0.0920)"</f>
        <v>(0.0920)</v>
      </c>
      <c r="D7" s="5" t="str">
        <f>"(0.0853)"</f>
        <v>(0.0853)</v>
      </c>
      <c r="E7" s="5" t="str">
        <f>"(0.0889)"</f>
        <v>(0.0889)</v>
      </c>
      <c r="F7" s="5" t="str">
        <f>"(0.0889)"</f>
        <v>(0.0889)</v>
      </c>
      <c r="G7" s="5" t="str">
        <f>"(0.0906)"</f>
        <v>(0.0906)</v>
      </c>
      <c r="H7" s="5" t="str">
        <f>"(0.0889)"</f>
        <v>(0.0889)</v>
      </c>
      <c r="I7" s="5" t="str">
        <f>"(0.0974)"</f>
        <v>(0.0974)</v>
      </c>
      <c r="J7" s="5" t="str">
        <f>"(0.0886)"</f>
        <v>(0.0886)</v>
      </c>
      <c r="K7" s="6" t="str">
        <f>"(0.0856)"</f>
        <v>(0.0856)</v>
      </c>
    </row>
    <row r="8" spans="1:12" x14ac:dyDescent="0.25">
      <c r="A8" s="4" t="s">
        <v>15</v>
      </c>
      <c r="B8" s="5">
        <v>500</v>
      </c>
      <c r="C8" s="5">
        <v>500</v>
      </c>
      <c r="D8" s="5">
        <v>500</v>
      </c>
      <c r="E8" s="5">
        <v>500</v>
      </c>
      <c r="F8" s="5">
        <v>500</v>
      </c>
      <c r="G8" s="5">
        <v>500</v>
      </c>
      <c r="H8" s="5">
        <v>500</v>
      </c>
      <c r="I8" s="5">
        <v>500</v>
      </c>
      <c r="J8" s="5">
        <v>500</v>
      </c>
      <c r="K8" s="6">
        <v>500</v>
      </c>
    </row>
    <row r="9" spans="1:1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2" x14ac:dyDescent="0.25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2" x14ac:dyDescent="0.25">
      <c r="A11" s="4" t="s">
        <v>14</v>
      </c>
      <c r="B11" s="9">
        <v>-40.101524140000002</v>
      </c>
      <c r="C11" s="9">
        <v>-30.093026529999999</v>
      </c>
      <c r="D11" s="9">
        <v>-19.869944390000001</v>
      </c>
      <c r="E11" s="9">
        <v>-9.8778662140000009</v>
      </c>
      <c r="F11" s="9">
        <v>2.3907854900000001E-2</v>
      </c>
      <c r="G11" s="9">
        <v>10.06272955</v>
      </c>
      <c r="H11" s="9">
        <v>19.93574607</v>
      </c>
      <c r="I11" s="9">
        <v>30.140225300000001</v>
      </c>
      <c r="J11" s="9">
        <v>39.78145318</v>
      </c>
      <c r="K11" s="10">
        <v>49.980166769999997</v>
      </c>
      <c r="L11" t="s">
        <v>40</v>
      </c>
    </row>
    <row r="12" spans="1:12" x14ac:dyDescent="0.25">
      <c r="A12" s="4"/>
      <c r="B12" s="11" t="str">
        <f>"(0.2074)"</f>
        <v>(0.2074)</v>
      </c>
      <c r="C12" s="11" t="str">
        <f>"(0.1989)"</f>
        <v>(0.1989)</v>
      </c>
      <c r="D12" s="11" t="str">
        <f>"(0.1219)"</f>
        <v>(0.1219)</v>
      </c>
      <c r="E12" s="11" t="str">
        <f>"(0.1402)"</f>
        <v>(0.1402)</v>
      </c>
      <c r="F12" s="11" t="str">
        <f>"(0.1443)"</f>
        <v>(0.1443)</v>
      </c>
      <c r="G12" s="11" t="str">
        <f>"(0.1475)"</f>
        <v>(0.1475)</v>
      </c>
      <c r="H12" s="11" t="str">
        <f>"(0.2440)"</f>
        <v>(0.2440)</v>
      </c>
      <c r="I12" s="11" t="str">
        <f>"(0.2116)"</f>
        <v>(0.2116)</v>
      </c>
      <c r="J12" s="11" t="str">
        <f>"(0.1352)"</f>
        <v>(0.1352)</v>
      </c>
      <c r="K12" s="12" t="str">
        <f>"(0.1262)"</f>
        <v>(0.1262)</v>
      </c>
    </row>
    <row r="13" spans="1:12" ht="15.75" thickBot="1" x14ac:dyDescent="0.3">
      <c r="A13" s="13" t="s">
        <v>15</v>
      </c>
      <c r="B13" s="14">
        <v>500</v>
      </c>
      <c r="C13" s="14">
        <v>500</v>
      </c>
      <c r="D13" s="14">
        <v>500</v>
      </c>
      <c r="E13" s="14">
        <v>500</v>
      </c>
      <c r="F13" s="14">
        <v>500</v>
      </c>
      <c r="G13" s="14">
        <v>500</v>
      </c>
      <c r="H13" s="14">
        <v>500</v>
      </c>
      <c r="I13" s="14">
        <v>500</v>
      </c>
      <c r="J13" s="14">
        <v>500</v>
      </c>
      <c r="K13" s="15">
        <v>500</v>
      </c>
    </row>
    <row r="14" spans="1:12" ht="15.75" thickBot="1" x14ac:dyDescent="0.3"/>
    <row r="15" spans="1:12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3" t="s">
        <v>9</v>
      </c>
    </row>
    <row r="16" spans="1:12" x14ac:dyDescent="0.25">
      <c r="A16" s="4" t="s">
        <v>10</v>
      </c>
      <c r="B16" s="5">
        <v>-40</v>
      </c>
      <c r="C16" s="5">
        <v>-40</v>
      </c>
      <c r="D16" s="5">
        <v>-20</v>
      </c>
      <c r="E16" s="5">
        <v>-20</v>
      </c>
      <c r="F16" s="5">
        <v>0</v>
      </c>
      <c r="G16" s="5">
        <v>0</v>
      </c>
      <c r="H16" s="5">
        <v>0</v>
      </c>
      <c r="I16" s="5">
        <v>30</v>
      </c>
      <c r="J16" s="5">
        <v>40</v>
      </c>
      <c r="K16" s="6">
        <v>50</v>
      </c>
    </row>
    <row r="17" spans="1:12" x14ac:dyDescent="0.25">
      <c r="A17" s="4" t="s">
        <v>11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8" t="s">
        <v>12</v>
      </c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2" x14ac:dyDescent="0.25">
      <c r="A19" s="4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2" x14ac:dyDescent="0.25">
      <c r="A20" s="4" t="s">
        <v>14</v>
      </c>
      <c r="B20" s="5" t="str">
        <f>"-40.000"</f>
        <v>-40.000</v>
      </c>
      <c r="C20" s="5" t="str">
        <f>"-39.903"</f>
        <v>-39.903</v>
      </c>
      <c r="D20" s="5" t="str">
        <f>"-19.888"</f>
        <v>-19.888</v>
      </c>
      <c r="E20" s="5" t="str">
        <f>"-19.926"</f>
        <v>-19.926</v>
      </c>
      <c r="F20" s="5" t="str">
        <f>"-0.012"</f>
        <v>-0.012</v>
      </c>
      <c r="G20" s="5" t="str">
        <f>"0.086"</f>
        <v>0.086</v>
      </c>
      <c r="H20" s="5" t="str">
        <f>"0.039"</f>
        <v>0.039</v>
      </c>
      <c r="I20" s="5" t="str">
        <f>"29.948"</f>
        <v>29.948</v>
      </c>
      <c r="J20" s="5" t="str">
        <f>"40.181"</f>
        <v>40.181</v>
      </c>
      <c r="K20" s="6" t="str">
        <f>"49.793"</f>
        <v>49.793</v>
      </c>
    </row>
    <row r="21" spans="1:12" x14ac:dyDescent="0.25">
      <c r="A21" s="4"/>
      <c r="B21" s="5" t="str">
        <f>"(0.0893)"</f>
        <v>(0.0893)</v>
      </c>
      <c r="C21" s="5" t="str">
        <f>"(0.0894)"</f>
        <v>(0.0894)</v>
      </c>
      <c r="D21" s="5" t="str">
        <f>"(0.0864)"</f>
        <v>(0.0864)</v>
      </c>
      <c r="E21" s="5" t="str">
        <f>"(0.0913)"</f>
        <v>(0.0913)</v>
      </c>
      <c r="F21" s="5" t="str">
        <f>"(0.0835)"</f>
        <v>(0.0835)</v>
      </c>
      <c r="G21" s="5" t="str">
        <f>"(0.0908)"</f>
        <v>(0.0908)</v>
      </c>
      <c r="H21" s="5" t="str">
        <f>"(0.0908)"</f>
        <v>(0.0908)</v>
      </c>
      <c r="I21" s="5" t="str">
        <f>"(0.0850)"</f>
        <v>(0.0850)</v>
      </c>
      <c r="J21" s="5" t="str">
        <f>"(0.0876)"</f>
        <v>(0.0876)</v>
      </c>
      <c r="K21" s="6" t="str">
        <f>"(0.0901)"</f>
        <v>(0.0901)</v>
      </c>
    </row>
    <row r="22" spans="1:12" x14ac:dyDescent="0.25">
      <c r="A22" s="4" t="s">
        <v>15</v>
      </c>
      <c r="B22" s="5">
        <v>500</v>
      </c>
      <c r="C22" s="5">
        <v>500</v>
      </c>
      <c r="D22" s="5">
        <v>500</v>
      </c>
      <c r="E22" s="5">
        <v>500</v>
      </c>
      <c r="F22" s="5">
        <v>500</v>
      </c>
      <c r="G22" s="5">
        <v>500</v>
      </c>
      <c r="H22" s="5">
        <v>500</v>
      </c>
      <c r="I22" s="5">
        <v>500</v>
      </c>
      <c r="J22" s="5">
        <v>500</v>
      </c>
      <c r="K22" s="6">
        <v>500</v>
      </c>
    </row>
    <row r="23" spans="1:1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25">
      <c r="A24" s="4" t="s">
        <v>16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x14ac:dyDescent="0.25">
      <c r="A25" s="4" t="s">
        <v>14</v>
      </c>
      <c r="B25" s="9">
        <v>-39.873953810000003</v>
      </c>
      <c r="C25" s="9">
        <v>-39.710993979999998</v>
      </c>
      <c r="D25" s="9">
        <v>-20.031960059999999</v>
      </c>
      <c r="E25" s="9">
        <v>-19.898861069999999</v>
      </c>
      <c r="F25" s="9">
        <v>0.12129494139999999</v>
      </c>
      <c r="G25" s="9">
        <v>0.1235516054</v>
      </c>
      <c r="H25" s="9">
        <v>7.1511682100000001E-2</v>
      </c>
      <c r="I25" s="9">
        <v>29.928190319999999</v>
      </c>
      <c r="J25" s="9">
        <v>40.093846849999998</v>
      </c>
      <c r="K25" s="10">
        <v>49.915546489999997</v>
      </c>
      <c r="L25" t="s">
        <v>40</v>
      </c>
    </row>
    <row r="26" spans="1:12" x14ac:dyDescent="0.25">
      <c r="A26" s="4"/>
      <c r="B26" s="11" t="str">
        <f>"(0.3803)"</f>
        <v>(0.3803)</v>
      </c>
      <c r="C26" s="11" t="str">
        <f>"(0.3555)"</f>
        <v>(0.3555)</v>
      </c>
      <c r="D26" s="11" t="str">
        <f>"(0.5079)"</f>
        <v>(0.5079)</v>
      </c>
      <c r="E26" s="11" t="str">
        <f>"(0.4239)"</f>
        <v>(0.4239)</v>
      </c>
      <c r="F26" s="11" t="str">
        <f>"(0.3133)"</f>
        <v>(0.3133)</v>
      </c>
      <c r="G26" s="11" t="str">
        <f>"(0.4985)"</f>
        <v>(0.4985)</v>
      </c>
      <c r="H26" s="11" t="str">
        <f>"(0.5844)"</f>
        <v>(0.5844)</v>
      </c>
      <c r="I26" s="11" t="str">
        <f>"(0.3851)"</f>
        <v>(0.3851)</v>
      </c>
      <c r="J26" s="11" t="str">
        <f>"(0.8112)"</f>
        <v>(0.8112)</v>
      </c>
      <c r="K26" s="12" t="str">
        <f>"(0.5708)"</f>
        <v>(0.5708)</v>
      </c>
    </row>
    <row r="27" spans="1:12" ht="15.75" thickBot="1" x14ac:dyDescent="0.3">
      <c r="A27" s="13" t="s">
        <v>15</v>
      </c>
      <c r="B27" s="14">
        <v>500</v>
      </c>
      <c r="C27" s="14">
        <v>500</v>
      </c>
      <c r="D27" s="14">
        <v>500</v>
      </c>
      <c r="E27" s="14">
        <v>500</v>
      </c>
      <c r="F27" s="14">
        <v>500</v>
      </c>
      <c r="G27" s="14">
        <v>500</v>
      </c>
      <c r="H27" s="14">
        <v>500</v>
      </c>
      <c r="I27" s="14">
        <v>500</v>
      </c>
      <c r="J27" s="14">
        <v>500</v>
      </c>
      <c r="K27" s="15">
        <v>500</v>
      </c>
    </row>
    <row r="28" spans="1:12" ht="15.75" thickBot="1" x14ac:dyDescent="0.3"/>
    <row r="29" spans="1:12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3" t="s">
        <v>9</v>
      </c>
    </row>
    <row r="30" spans="1:12" x14ac:dyDescent="0.25">
      <c r="A30" s="4" t="s">
        <v>10</v>
      </c>
      <c r="B30" s="5">
        <v>-40</v>
      </c>
      <c r="C30" s="5">
        <v>-30</v>
      </c>
      <c r="D30" s="5">
        <v>-20</v>
      </c>
      <c r="E30" s="5">
        <v>-10</v>
      </c>
      <c r="F30" s="5">
        <v>0</v>
      </c>
      <c r="G30" s="5">
        <v>10</v>
      </c>
      <c r="H30" s="5">
        <v>20</v>
      </c>
      <c r="I30" s="5">
        <v>30</v>
      </c>
      <c r="J30" s="5">
        <v>40</v>
      </c>
      <c r="K30" s="6">
        <v>50</v>
      </c>
    </row>
    <row r="31" spans="1:12" x14ac:dyDescent="0.25">
      <c r="A31" s="4" t="s">
        <v>11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8" t="s">
        <v>25</v>
      </c>
    </row>
    <row r="32" spans="1:1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2" x14ac:dyDescent="0.25">
      <c r="A33" s="4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2" x14ac:dyDescent="0.25">
      <c r="A34" s="4" t="s">
        <v>14</v>
      </c>
      <c r="B34" s="5" t="str">
        <f>"-39.909"</f>
        <v>-39.909</v>
      </c>
      <c r="C34" s="5" t="str">
        <f>"-29.914"</f>
        <v>-29.914</v>
      </c>
      <c r="D34" s="5" t="str">
        <f>"-20.043"</f>
        <v>-20.043</v>
      </c>
      <c r="E34" s="5" t="str">
        <f>"-9.796"</f>
        <v>-9.796</v>
      </c>
      <c r="F34" s="5" t="str">
        <f>"-0.118"</f>
        <v>-0.118</v>
      </c>
      <c r="G34" s="5" t="str">
        <f>"10.476"</f>
        <v>10.476</v>
      </c>
      <c r="H34" s="5" t="str">
        <f>"20.107"</f>
        <v>20.107</v>
      </c>
      <c r="I34" s="5" t="str">
        <f>"29.725"</f>
        <v>29.725</v>
      </c>
      <c r="J34" s="5" t="str">
        <f>"39.364"</f>
        <v>39.364</v>
      </c>
      <c r="K34" s="6" t="str">
        <f>"49.856"</f>
        <v>49.856</v>
      </c>
    </row>
    <row r="35" spans="1:12" x14ac:dyDescent="0.25">
      <c r="A35" s="4"/>
      <c r="B35" s="5" t="str">
        <f>"(0.0931)"</f>
        <v>(0.0931)</v>
      </c>
      <c r="C35" s="5" t="str">
        <f>"(0.1277)"</f>
        <v>(0.1277)</v>
      </c>
      <c r="D35" s="5" t="str">
        <f>"(0.1523)"</f>
        <v>(0.1523)</v>
      </c>
      <c r="E35" s="5" t="str">
        <f>"(0.1706)"</f>
        <v>(0.1706)</v>
      </c>
      <c r="F35" s="5" t="str">
        <f>"(0.2057)"</f>
        <v>(0.2057)</v>
      </c>
      <c r="G35" s="5" t="str">
        <f>"(0.2238)"</f>
        <v>(0.2238)</v>
      </c>
      <c r="H35" s="5" t="str">
        <f>"(0.2375)"</f>
        <v>(0.2375)</v>
      </c>
      <c r="I35" s="5" t="str">
        <f>"(0.2564)"</f>
        <v>(0.2564)</v>
      </c>
      <c r="J35" s="5" t="str">
        <f>"(0.2596)"</f>
        <v>(0.2596)</v>
      </c>
      <c r="K35" s="6" t="str">
        <f>"(0.2836)"</f>
        <v>(0.2836)</v>
      </c>
    </row>
    <row r="36" spans="1:12" x14ac:dyDescent="0.25">
      <c r="A36" s="4" t="s">
        <v>15</v>
      </c>
      <c r="B36" s="5">
        <v>500</v>
      </c>
      <c r="C36" s="5">
        <v>500</v>
      </c>
      <c r="D36" s="5">
        <v>500</v>
      </c>
      <c r="E36" s="5">
        <v>500</v>
      </c>
      <c r="F36" s="5">
        <v>500</v>
      </c>
      <c r="G36" s="5">
        <v>500</v>
      </c>
      <c r="H36" s="5">
        <v>500</v>
      </c>
      <c r="I36" s="5">
        <v>500</v>
      </c>
      <c r="J36" s="5">
        <v>500</v>
      </c>
      <c r="K36" s="6">
        <v>500</v>
      </c>
    </row>
    <row r="37" spans="1:1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2" x14ac:dyDescent="0.25">
      <c r="A38" s="4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2" x14ac:dyDescent="0.25">
      <c r="A39" s="4" t="s">
        <v>14</v>
      </c>
      <c r="B39" s="9">
        <v>-39.87118049</v>
      </c>
      <c r="C39" s="9">
        <v>-30.077574500000001</v>
      </c>
      <c r="D39" s="9">
        <v>-20.195828639999998</v>
      </c>
      <c r="E39" s="9">
        <v>-9.7318905089999994</v>
      </c>
      <c r="F39" s="9">
        <v>-0.1180155128</v>
      </c>
      <c r="G39" s="9">
        <v>10.25595568</v>
      </c>
      <c r="H39" s="9">
        <v>20.222193229999998</v>
      </c>
      <c r="I39" s="9">
        <v>30.00155878</v>
      </c>
      <c r="J39" s="9">
        <v>39.169086739999997</v>
      </c>
      <c r="K39" s="10">
        <v>49.496462780000002</v>
      </c>
      <c r="L39" t="s">
        <v>40</v>
      </c>
    </row>
    <row r="40" spans="1:12" x14ac:dyDescent="0.25">
      <c r="A40" s="4"/>
      <c r="B40" s="11" t="str">
        <f>"(0.1302)"</f>
        <v>(0.1302)</v>
      </c>
      <c r="C40" s="11" t="str">
        <f>"(0.1919)"</f>
        <v>(0.1919)</v>
      </c>
      <c r="D40" s="11" t="str">
        <f>"(0.2316)"</f>
        <v>(0.2316)</v>
      </c>
      <c r="E40" s="11" t="str">
        <f>"(0.2385)"</f>
        <v>(0.2385)</v>
      </c>
      <c r="F40" s="11" t="str">
        <f>"(0.2943)"</f>
        <v>(0.2943)</v>
      </c>
      <c r="G40" s="11" t="str">
        <f>"(0.3523)"</f>
        <v>(0.3523)</v>
      </c>
      <c r="H40" s="11" t="str">
        <f>"(0.3507)"</f>
        <v>(0.3507)</v>
      </c>
      <c r="I40" s="11" t="str">
        <f>"(0.3360)"</f>
        <v>(0.3360)</v>
      </c>
      <c r="J40" s="11" t="str">
        <f>"(0.3709)"</f>
        <v>(0.3709)</v>
      </c>
      <c r="K40" s="12" t="str">
        <f>"(0.4153)"</f>
        <v>(0.4153)</v>
      </c>
    </row>
    <row r="41" spans="1:12" ht="15.75" thickBot="1" x14ac:dyDescent="0.3">
      <c r="A41" s="13" t="s">
        <v>15</v>
      </c>
      <c r="B41" s="14">
        <v>500</v>
      </c>
      <c r="C41" s="14">
        <v>500</v>
      </c>
      <c r="D41" s="14">
        <v>500</v>
      </c>
      <c r="E41" s="14">
        <v>500</v>
      </c>
      <c r="F41" s="14">
        <v>500</v>
      </c>
      <c r="G41" s="14">
        <v>500</v>
      </c>
      <c r="H41" s="14">
        <v>500</v>
      </c>
      <c r="I41" s="14">
        <v>500</v>
      </c>
      <c r="J41" s="14">
        <v>500</v>
      </c>
      <c r="K41" s="15">
        <v>500</v>
      </c>
    </row>
    <row r="42" spans="1:12" ht="15.75" thickBot="1" x14ac:dyDescent="0.3"/>
    <row r="43" spans="1:12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3" t="s">
        <v>9</v>
      </c>
    </row>
    <row r="44" spans="1:12" x14ac:dyDescent="0.25">
      <c r="A44" s="4" t="s">
        <v>10</v>
      </c>
      <c r="B44" s="5">
        <v>-4</v>
      </c>
      <c r="C44" s="5">
        <v>-4</v>
      </c>
      <c r="D44" s="5">
        <v>-2</v>
      </c>
      <c r="E44" s="5">
        <v>-2</v>
      </c>
      <c r="F44" s="5">
        <v>0</v>
      </c>
      <c r="G44" s="5">
        <v>0</v>
      </c>
      <c r="H44" s="5">
        <v>0</v>
      </c>
      <c r="I44" s="5">
        <v>3</v>
      </c>
      <c r="J44" s="5">
        <v>4</v>
      </c>
      <c r="K44" s="6">
        <v>5</v>
      </c>
    </row>
    <row r="45" spans="1:12" x14ac:dyDescent="0.25">
      <c r="A45" s="4" t="s">
        <v>11</v>
      </c>
      <c r="B45" s="7" t="s">
        <v>12</v>
      </c>
      <c r="C45" s="7" t="s">
        <v>17</v>
      </c>
      <c r="D45" s="7" t="s">
        <v>18</v>
      </c>
      <c r="E45" s="7" t="s">
        <v>19</v>
      </c>
      <c r="F45" s="7" t="s">
        <v>20</v>
      </c>
      <c r="G45" s="7" t="s">
        <v>21</v>
      </c>
      <c r="H45" s="7" t="s">
        <v>22</v>
      </c>
      <c r="I45" s="7" t="s">
        <v>23</v>
      </c>
      <c r="J45" s="7" t="s">
        <v>24</v>
      </c>
      <c r="K45" s="8" t="s">
        <v>25</v>
      </c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2" x14ac:dyDescent="0.25">
      <c r="A47" s="4" t="s">
        <v>13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2" x14ac:dyDescent="0.25">
      <c r="A48" s="4" t="s">
        <v>14</v>
      </c>
      <c r="B48" s="5" t="str">
        <f>"-39.954"</f>
        <v>-39.954</v>
      </c>
      <c r="C48" s="5" t="str">
        <f>"-40.223"</f>
        <v>-40.223</v>
      </c>
      <c r="D48" s="5" t="str">
        <f>"-20.321"</f>
        <v>-20.321</v>
      </c>
      <c r="E48" s="5" t="str">
        <f>"-20.033"</f>
        <v>-20.033</v>
      </c>
      <c r="F48" s="5" t="str">
        <f>"0.141"</f>
        <v>0.141</v>
      </c>
      <c r="G48" s="5" t="str">
        <f>"-0.125"</f>
        <v>-0.125</v>
      </c>
      <c r="H48" s="5" t="str">
        <f>"0.086"</f>
        <v>0.086</v>
      </c>
      <c r="I48" s="5" t="str">
        <f>"30.067"</f>
        <v>30.067</v>
      </c>
      <c r="J48" s="5" t="str">
        <f>"39.877"</f>
        <v>39.877</v>
      </c>
      <c r="K48" s="6" t="str">
        <f>"49.703"</f>
        <v>49.703</v>
      </c>
    </row>
    <row r="49" spans="1:12" x14ac:dyDescent="0.25">
      <c r="A49" s="4"/>
      <c r="B49" s="5" t="str">
        <f>"(0.0878)"</f>
        <v>(0.0878)</v>
      </c>
      <c r="C49" s="5" t="str">
        <f>"(0.1284)"</f>
        <v>(0.1284)</v>
      </c>
      <c r="D49" s="5" t="str">
        <f>"(0.1578)"</f>
        <v>(0.1578)</v>
      </c>
      <c r="E49" s="5" t="str">
        <f>"(0.1773)"</f>
        <v>(0.1773)</v>
      </c>
      <c r="F49" s="5" t="str">
        <f>"(0.1999)"</f>
        <v>(0.1999)</v>
      </c>
      <c r="G49" s="5" t="str">
        <f>"(0.2203)"</f>
        <v>(0.2203)</v>
      </c>
      <c r="H49" s="5" t="str">
        <f>"(0.2471)"</f>
        <v>(0.2471)</v>
      </c>
      <c r="I49" s="5" t="str">
        <f>"(0.2596)"</f>
        <v>(0.2596)</v>
      </c>
      <c r="J49" s="5" t="str">
        <f>"(0.2568)"</f>
        <v>(0.2568)</v>
      </c>
      <c r="K49" s="6" t="str">
        <f>"(0.2879)"</f>
        <v>(0.2879)</v>
      </c>
    </row>
    <row r="50" spans="1:12" x14ac:dyDescent="0.25">
      <c r="A50" s="4" t="s">
        <v>15</v>
      </c>
      <c r="B50" s="5">
        <v>500</v>
      </c>
      <c r="C50" s="5">
        <v>500</v>
      </c>
      <c r="D50" s="5">
        <v>500</v>
      </c>
      <c r="E50" s="5">
        <v>500</v>
      </c>
      <c r="F50" s="5">
        <v>500</v>
      </c>
      <c r="G50" s="5">
        <v>500</v>
      </c>
      <c r="H50" s="5">
        <v>500</v>
      </c>
      <c r="I50" s="5">
        <v>500</v>
      </c>
      <c r="J50" s="5">
        <v>500</v>
      </c>
      <c r="K50" s="6">
        <v>500</v>
      </c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2" x14ac:dyDescent="0.25">
      <c r="A52" s="4" t="s">
        <v>16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2" x14ac:dyDescent="0.25">
      <c r="A53" s="4" t="s">
        <v>14</v>
      </c>
      <c r="B53" s="9">
        <v>-39.91582373</v>
      </c>
      <c r="C53" s="9">
        <v>-40.244628390000003</v>
      </c>
      <c r="D53" s="9">
        <v>-20.432753739999999</v>
      </c>
      <c r="E53" s="9">
        <v>-20.234409379999999</v>
      </c>
      <c r="F53" s="9">
        <v>5.2095283700000002E-2</v>
      </c>
      <c r="G53" s="9">
        <v>5.2095283700000002E-2</v>
      </c>
      <c r="H53" s="9">
        <v>5.2095283700000002E-2</v>
      </c>
      <c r="I53" s="9">
        <v>30.2478935</v>
      </c>
      <c r="J53" s="9">
        <v>39.871811950000001</v>
      </c>
      <c r="K53" s="10">
        <v>50.201915120000002</v>
      </c>
      <c r="L53" t="s">
        <v>42</v>
      </c>
    </row>
    <row r="54" spans="1:12" x14ac:dyDescent="0.25">
      <c r="A54" s="4"/>
      <c r="B54" s="11" t="str">
        <f>"(0.1310)"</f>
        <v>(0.1310)</v>
      </c>
      <c r="C54" s="11" t="str">
        <f>"(0.1706)"</f>
        <v>(0.1706)</v>
      </c>
      <c r="D54" s="11" t="str">
        <f>"(0.2020)"</f>
        <v>(0.2020)</v>
      </c>
      <c r="E54" s="11" t="str">
        <f>"(0.2224)"</f>
        <v>(0.2224)</v>
      </c>
      <c r="F54" s="11" t="str">
        <f>"(0.1983)"</f>
        <v>(0.1983)</v>
      </c>
      <c r="G54" s="11" t="str">
        <f>"(0.1983)"</f>
        <v>(0.1983)</v>
      </c>
      <c r="H54" s="11" t="str">
        <f>"(0.1992)"</f>
        <v>(0.1992)</v>
      </c>
      <c r="I54" s="11" t="str">
        <f>"(0.3299)"</f>
        <v>(0.3299)</v>
      </c>
      <c r="J54" s="11" t="str">
        <f>"(0.3849)"</f>
        <v>(0.3849)</v>
      </c>
      <c r="K54" s="12" t="str">
        <f>"(0.4279)"</f>
        <v>(0.4279)</v>
      </c>
    </row>
    <row r="55" spans="1:12" ht="15.75" thickBot="1" x14ac:dyDescent="0.3">
      <c r="A55" s="13" t="s">
        <v>15</v>
      </c>
      <c r="B55" s="14">
        <v>500</v>
      </c>
      <c r="C55" s="14">
        <v>500</v>
      </c>
      <c r="D55" s="14">
        <v>500</v>
      </c>
      <c r="E55" s="14">
        <v>500</v>
      </c>
      <c r="F55" s="14">
        <v>500</v>
      </c>
      <c r="G55" s="14">
        <v>500</v>
      </c>
      <c r="H55" s="14">
        <v>500</v>
      </c>
      <c r="I55" s="14">
        <v>500</v>
      </c>
      <c r="J55" s="14">
        <v>500</v>
      </c>
      <c r="K55" s="15">
        <v>500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09A-0771-4046-816D-62DBF27B7245}">
  <dimension ref="A1:L55"/>
  <sheetViews>
    <sheetView workbookViewId="0"/>
  </sheetViews>
  <sheetFormatPr defaultRowHeight="15" x14ac:dyDescent="0.25"/>
  <cols>
    <col min="1" max="1" width="18.5703125" customWidth="1"/>
    <col min="2" max="10" width="9.85546875" bestFit="1" customWidth="1"/>
    <col min="11" max="11" width="10.85546875" bestFit="1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4" t="s">
        <v>10</v>
      </c>
      <c r="B2" s="5">
        <v>-40</v>
      </c>
      <c r="C2" s="5">
        <v>-30</v>
      </c>
      <c r="D2" s="5">
        <v>-20</v>
      </c>
      <c r="E2" s="5">
        <v>-10</v>
      </c>
      <c r="F2" s="5">
        <v>0</v>
      </c>
      <c r="G2" s="5">
        <v>10</v>
      </c>
      <c r="H2" s="5">
        <v>20</v>
      </c>
      <c r="I2" s="5">
        <v>30</v>
      </c>
      <c r="J2" s="5">
        <v>40</v>
      </c>
      <c r="K2" s="6">
        <v>50</v>
      </c>
    </row>
    <row r="3" spans="1:12" x14ac:dyDescent="0.25">
      <c r="A3" s="4" t="s">
        <v>11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8" t="s">
        <v>12</v>
      </c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2" x14ac:dyDescent="0.25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25">
      <c r="A6" s="4" t="s">
        <v>14</v>
      </c>
      <c r="B6" s="5" t="str">
        <f>"-40.028"</f>
        <v>-40.028</v>
      </c>
      <c r="C6" s="5" t="str">
        <f>"-30.014"</f>
        <v>-30.014</v>
      </c>
      <c r="D6" s="5" t="str">
        <f>"-20.102"</f>
        <v>-20.102</v>
      </c>
      <c r="E6" s="5" t="str">
        <f>"-9.982"</f>
        <v>-9.982</v>
      </c>
      <c r="F6" s="5" t="str">
        <f>"0.051"</f>
        <v>0.051</v>
      </c>
      <c r="G6" s="5" t="str">
        <f>"10.037"</f>
        <v>10.037</v>
      </c>
      <c r="H6" s="5" t="str">
        <f>"20.008"</f>
        <v>20.008</v>
      </c>
      <c r="I6" s="5" t="str">
        <f>"29.996"</f>
        <v>29.996</v>
      </c>
      <c r="J6" s="5" t="str">
        <f>"39.918"</f>
        <v>39.918</v>
      </c>
      <c r="K6" s="6" t="str">
        <f>"50.016"</f>
        <v>50.016</v>
      </c>
    </row>
    <row r="7" spans="1:12" x14ac:dyDescent="0.25">
      <c r="A7" s="4"/>
      <c r="B7" s="5" t="str">
        <f>"(0.0633)"</f>
        <v>(0.0633)</v>
      </c>
      <c r="C7" s="5" t="str">
        <f>"(0.0616)"</f>
        <v>(0.0616)</v>
      </c>
      <c r="D7" s="5" t="str">
        <f>"(0.0634)"</f>
        <v>(0.0634)</v>
      </c>
      <c r="E7" s="5" t="str">
        <f>"(0.0659)"</f>
        <v>(0.0659)</v>
      </c>
      <c r="F7" s="5" t="str">
        <f>"(0.0616)"</f>
        <v>(0.0616)</v>
      </c>
      <c r="G7" s="5" t="str">
        <f>"(0.0629)"</f>
        <v>(0.0629)</v>
      </c>
      <c r="H7" s="5" t="str">
        <f>"(0.0631)"</f>
        <v>(0.0631)</v>
      </c>
      <c r="I7" s="5" t="str">
        <f>"(0.0625)"</f>
        <v>(0.0625)</v>
      </c>
      <c r="J7" s="5" t="str">
        <f>"(0.0638)"</f>
        <v>(0.0638)</v>
      </c>
      <c r="K7" s="6" t="str">
        <f>"(0.0636)"</f>
        <v>(0.0636)</v>
      </c>
    </row>
    <row r="8" spans="1:12" x14ac:dyDescent="0.25">
      <c r="A8" s="4" t="s">
        <v>15</v>
      </c>
      <c r="B8" s="5" t="str">
        <f t="shared" ref="B8:K8" si="0">"1000"</f>
        <v>1000</v>
      </c>
      <c r="C8" s="5" t="str">
        <f t="shared" si="0"/>
        <v>1000</v>
      </c>
      <c r="D8" s="5" t="str">
        <f t="shared" si="0"/>
        <v>1000</v>
      </c>
      <c r="E8" s="5" t="str">
        <f t="shared" si="0"/>
        <v>1000</v>
      </c>
      <c r="F8" s="5" t="str">
        <f t="shared" si="0"/>
        <v>1000</v>
      </c>
      <c r="G8" s="5" t="str">
        <f t="shared" si="0"/>
        <v>1000</v>
      </c>
      <c r="H8" s="5" t="str">
        <f t="shared" si="0"/>
        <v>1000</v>
      </c>
      <c r="I8" s="5" t="str">
        <f t="shared" si="0"/>
        <v>1000</v>
      </c>
      <c r="J8" s="5" t="str">
        <f t="shared" si="0"/>
        <v>1000</v>
      </c>
      <c r="K8" s="6" t="str">
        <f t="shared" si="0"/>
        <v>1000</v>
      </c>
    </row>
    <row r="9" spans="1:1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2" x14ac:dyDescent="0.25">
      <c r="A10" s="4" t="s">
        <v>26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2" x14ac:dyDescent="0.25">
      <c r="A11" s="4" t="s">
        <v>14</v>
      </c>
      <c r="B11" s="9">
        <v>-40.092786879999998</v>
      </c>
      <c r="C11" s="9">
        <v>-30.012785950000001</v>
      </c>
      <c r="D11" s="9">
        <v>-20.2259414</v>
      </c>
      <c r="E11" s="9">
        <v>-9.9173117729999998</v>
      </c>
      <c r="F11" s="9">
        <v>2.6621289100000001E-2</v>
      </c>
      <c r="G11" s="9">
        <v>10.06209771</v>
      </c>
      <c r="H11" s="9">
        <v>20.07286259</v>
      </c>
      <c r="I11" s="9">
        <v>29.973115379999999</v>
      </c>
      <c r="J11" s="9">
        <v>39.845958240000002</v>
      </c>
      <c r="K11" s="10">
        <v>49.931089839999999</v>
      </c>
      <c r="L11" t="s">
        <v>40</v>
      </c>
    </row>
    <row r="12" spans="1:12" x14ac:dyDescent="0.25">
      <c r="A12" s="4"/>
      <c r="B12" s="11" t="str">
        <f>"(0.0924)"</f>
        <v>(0.0924)</v>
      </c>
      <c r="C12" s="11" t="str">
        <f>"(0.0916)"</f>
        <v>(0.0916)</v>
      </c>
      <c r="D12" s="11" t="str">
        <f>"(0.0902)"</f>
        <v>(0.0902)</v>
      </c>
      <c r="E12" s="11" t="str">
        <f>"(0.1010)"</f>
        <v>(0.1010)</v>
      </c>
      <c r="F12" s="11" t="str">
        <f>"(0.0870)"</f>
        <v>(0.0870)</v>
      </c>
      <c r="G12" s="11" t="str">
        <f>"(0.0871)"</f>
        <v>(0.0871)</v>
      </c>
      <c r="H12" s="11" t="str">
        <f>"(0.0884)"</f>
        <v>(0.0884)</v>
      </c>
      <c r="I12" s="11" t="str">
        <f>"(0.0890)"</f>
        <v>(0.0890)</v>
      </c>
      <c r="J12" s="11" t="str">
        <f>"(0.0925)"</f>
        <v>(0.0925)</v>
      </c>
      <c r="K12" s="12" t="str">
        <f>"(0.0927)"</f>
        <v>(0.0927)</v>
      </c>
    </row>
    <row r="13" spans="1:12" ht="15.75" thickBot="1" x14ac:dyDescent="0.3">
      <c r="A13" s="13" t="s">
        <v>15</v>
      </c>
      <c r="B13" s="14" t="str">
        <f t="shared" ref="B13:K13" si="1">"1000"</f>
        <v>1000</v>
      </c>
      <c r="C13" s="14" t="str">
        <f t="shared" si="1"/>
        <v>1000</v>
      </c>
      <c r="D13" s="14" t="str">
        <f t="shared" si="1"/>
        <v>1000</v>
      </c>
      <c r="E13" s="14" t="str">
        <f t="shared" si="1"/>
        <v>1000</v>
      </c>
      <c r="F13" s="14" t="str">
        <f t="shared" si="1"/>
        <v>1000</v>
      </c>
      <c r="G13" s="14" t="str">
        <f t="shared" si="1"/>
        <v>1000</v>
      </c>
      <c r="H13" s="14" t="str">
        <f t="shared" si="1"/>
        <v>1000</v>
      </c>
      <c r="I13" s="14" t="str">
        <f t="shared" si="1"/>
        <v>1000</v>
      </c>
      <c r="J13" s="14" t="str">
        <f t="shared" si="1"/>
        <v>1000</v>
      </c>
      <c r="K13" s="15" t="str">
        <f t="shared" si="1"/>
        <v>1000</v>
      </c>
    </row>
    <row r="14" spans="1:12" ht="15.75" thickBot="1" x14ac:dyDescent="0.3"/>
    <row r="15" spans="1:12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3" t="s">
        <v>9</v>
      </c>
    </row>
    <row r="16" spans="1:12" x14ac:dyDescent="0.25">
      <c r="A16" s="4" t="s">
        <v>10</v>
      </c>
      <c r="B16" s="5">
        <v>-40</v>
      </c>
      <c r="C16" s="5">
        <v>-40</v>
      </c>
      <c r="D16" s="5">
        <v>-20</v>
      </c>
      <c r="E16" s="5">
        <v>-20</v>
      </c>
      <c r="F16" s="5">
        <v>0</v>
      </c>
      <c r="G16" s="5">
        <v>0</v>
      </c>
      <c r="H16" s="5">
        <v>0</v>
      </c>
      <c r="I16" s="5">
        <v>30</v>
      </c>
      <c r="J16" s="5">
        <v>40</v>
      </c>
      <c r="K16" s="6">
        <v>50</v>
      </c>
    </row>
    <row r="17" spans="1:12" x14ac:dyDescent="0.25">
      <c r="A17" s="4" t="s">
        <v>11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8" t="s">
        <v>12</v>
      </c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2" x14ac:dyDescent="0.25">
      <c r="A19" s="4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2" x14ac:dyDescent="0.25">
      <c r="A20" s="4" t="s">
        <v>14</v>
      </c>
      <c r="B20" s="5" t="str">
        <f>"-40.120"</f>
        <v>-40.120</v>
      </c>
      <c r="C20" s="5" t="str">
        <f>"-40.016"</f>
        <v>-40.016</v>
      </c>
      <c r="D20" s="5" t="str">
        <f>"-19.961"</f>
        <v>-19.961</v>
      </c>
      <c r="E20" s="5" t="str">
        <f>"-19.999"</f>
        <v>-19.999</v>
      </c>
      <c r="F20" s="5" t="str">
        <f>"-0.019"</f>
        <v>-0.019</v>
      </c>
      <c r="G20" s="5" t="str">
        <f>"-0.044"</f>
        <v>-0.044</v>
      </c>
      <c r="H20" s="5" t="str">
        <f>"-0.047"</f>
        <v>-0.047</v>
      </c>
      <c r="I20" s="5" t="str">
        <f>"30.134"</f>
        <v>30.134</v>
      </c>
      <c r="J20" s="5" t="str">
        <f>"39.851"</f>
        <v>39.851</v>
      </c>
      <c r="K20" s="6" t="str">
        <f>"49.913"</f>
        <v>49.913</v>
      </c>
    </row>
    <row r="21" spans="1:12" x14ac:dyDescent="0.25">
      <c r="A21" s="4"/>
      <c r="B21" s="5" t="str">
        <f>"(0.0631)"</f>
        <v>(0.0631)</v>
      </c>
      <c r="C21" s="5" t="str">
        <f>"(0.0628)"</f>
        <v>(0.0628)</v>
      </c>
      <c r="D21" s="5" t="str">
        <f>"(0.0618)"</f>
        <v>(0.0618)</v>
      </c>
      <c r="E21" s="5" t="str">
        <f>"(0.0621)"</f>
        <v>(0.0621)</v>
      </c>
      <c r="F21" s="5" t="str">
        <f>"(0.0631)"</f>
        <v>(0.0631)</v>
      </c>
      <c r="G21" s="5" t="str">
        <f>"(0.0647)"</f>
        <v>(0.0647)</v>
      </c>
      <c r="H21" s="5" t="str">
        <f>"(0.0665)"</f>
        <v>(0.0665)</v>
      </c>
      <c r="I21" s="5" t="str">
        <f>"(0.0624)"</f>
        <v>(0.0624)</v>
      </c>
      <c r="J21" s="5" t="str">
        <f>"(0.0629)"</f>
        <v>(0.0629)</v>
      </c>
      <c r="K21" s="6" t="str">
        <f>"(0.0652)"</f>
        <v>(0.0652)</v>
      </c>
    </row>
    <row r="22" spans="1:12" x14ac:dyDescent="0.25">
      <c r="A22" s="4" t="s">
        <v>15</v>
      </c>
      <c r="B22" s="5" t="str">
        <f t="shared" ref="B22:K22" si="2">"1000"</f>
        <v>1000</v>
      </c>
      <c r="C22" s="5" t="str">
        <f t="shared" si="2"/>
        <v>1000</v>
      </c>
      <c r="D22" s="5" t="str">
        <f t="shared" si="2"/>
        <v>1000</v>
      </c>
      <c r="E22" s="5" t="str">
        <f t="shared" si="2"/>
        <v>1000</v>
      </c>
      <c r="F22" s="5" t="str">
        <f t="shared" si="2"/>
        <v>1000</v>
      </c>
      <c r="G22" s="5" t="str">
        <f t="shared" si="2"/>
        <v>1000</v>
      </c>
      <c r="H22" s="5" t="str">
        <f t="shared" si="2"/>
        <v>1000</v>
      </c>
      <c r="I22" s="5" t="str">
        <f t="shared" si="2"/>
        <v>1000</v>
      </c>
      <c r="J22" s="5" t="str">
        <f t="shared" si="2"/>
        <v>1000</v>
      </c>
      <c r="K22" s="6" t="str">
        <f t="shared" si="2"/>
        <v>1000</v>
      </c>
    </row>
    <row r="23" spans="1:1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25">
      <c r="A24" s="4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x14ac:dyDescent="0.25">
      <c r="A25" s="4" t="s">
        <v>14</v>
      </c>
      <c r="B25" s="9">
        <v>-40.07102081</v>
      </c>
      <c r="C25" s="9">
        <v>-40.070223380000002</v>
      </c>
      <c r="D25" s="9">
        <v>-20.04045464</v>
      </c>
      <c r="E25" s="9">
        <v>-19.984726439999999</v>
      </c>
      <c r="F25" s="9">
        <v>-9.9512743900000006E-2</v>
      </c>
      <c r="G25" s="9">
        <v>-9.9512743900000006E-2</v>
      </c>
      <c r="H25" s="9">
        <v>-9.9512743900000006E-2</v>
      </c>
      <c r="I25" s="9">
        <v>30.069161390000001</v>
      </c>
      <c r="J25" s="9">
        <v>39.903525739999999</v>
      </c>
      <c r="K25" s="10">
        <v>49.925999760000003</v>
      </c>
      <c r="L25" t="s">
        <v>42</v>
      </c>
    </row>
    <row r="26" spans="1:12" x14ac:dyDescent="0.25">
      <c r="A26" s="4"/>
      <c r="B26" s="11" t="str">
        <f>"(0.0902)"</f>
        <v>(0.0902)</v>
      </c>
      <c r="C26" s="11" t="str">
        <f>"(0.0911)"</f>
        <v>(0.0911)</v>
      </c>
      <c r="D26" s="11" t="str">
        <f>"(0.0884)"</f>
        <v>(0.0884)</v>
      </c>
      <c r="E26" s="11" t="str">
        <f>"(0.0851)"</f>
        <v>(0.0851)</v>
      </c>
      <c r="F26" s="11" t="str">
        <f>"(0.0528)"</f>
        <v>(0.0528)</v>
      </c>
      <c r="G26" s="11" t="str">
        <f>"(0.0528)"</f>
        <v>(0.0528)</v>
      </c>
      <c r="H26" s="11" t="str">
        <f>"(0.0528)"</f>
        <v>(0.0528)</v>
      </c>
      <c r="I26" s="11" t="str">
        <f>"(0.0900)"</f>
        <v>(0.0900)</v>
      </c>
      <c r="J26" s="11" t="str">
        <f>"(0.0920)"</f>
        <v>(0.0920)</v>
      </c>
      <c r="K26" s="12" t="str">
        <f>"(0.0943)"</f>
        <v>(0.0943)</v>
      </c>
    </row>
    <row r="27" spans="1:12" ht="15.75" thickBot="1" x14ac:dyDescent="0.3">
      <c r="A27" s="13" t="s">
        <v>15</v>
      </c>
      <c r="B27" s="14" t="str">
        <f t="shared" ref="B27:K27" si="3">"1000"</f>
        <v>1000</v>
      </c>
      <c r="C27" s="14" t="str">
        <f t="shared" si="3"/>
        <v>1000</v>
      </c>
      <c r="D27" s="14" t="str">
        <f t="shared" si="3"/>
        <v>1000</v>
      </c>
      <c r="E27" s="14" t="str">
        <f t="shared" si="3"/>
        <v>1000</v>
      </c>
      <c r="F27" s="14" t="str">
        <f t="shared" si="3"/>
        <v>1000</v>
      </c>
      <c r="G27" s="14" t="str">
        <f t="shared" si="3"/>
        <v>1000</v>
      </c>
      <c r="H27" s="14" t="str">
        <f t="shared" si="3"/>
        <v>1000</v>
      </c>
      <c r="I27" s="14" t="str">
        <f t="shared" si="3"/>
        <v>1000</v>
      </c>
      <c r="J27" s="14" t="str">
        <f t="shared" si="3"/>
        <v>1000</v>
      </c>
      <c r="K27" s="15" t="str">
        <f t="shared" si="3"/>
        <v>1000</v>
      </c>
    </row>
    <row r="28" spans="1:12" ht="15.75" thickBot="1" x14ac:dyDescent="0.3"/>
    <row r="29" spans="1:12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3" t="s">
        <v>9</v>
      </c>
    </row>
    <row r="30" spans="1:12" x14ac:dyDescent="0.25">
      <c r="A30" s="4" t="s">
        <v>10</v>
      </c>
      <c r="B30" s="5">
        <v>-40</v>
      </c>
      <c r="C30" s="5">
        <v>-30</v>
      </c>
      <c r="D30" s="5">
        <v>-20</v>
      </c>
      <c r="E30" s="5">
        <v>-10</v>
      </c>
      <c r="F30" s="5">
        <v>0</v>
      </c>
      <c r="G30" s="5">
        <v>10</v>
      </c>
      <c r="H30" s="5">
        <v>20</v>
      </c>
      <c r="I30" s="5">
        <v>30</v>
      </c>
      <c r="J30" s="5">
        <v>40</v>
      </c>
      <c r="K30" s="6">
        <v>50</v>
      </c>
    </row>
    <row r="31" spans="1:12" x14ac:dyDescent="0.25">
      <c r="A31" s="4" t="s">
        <v>11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8" t="s">
        <v>25</v>
      </c>
    </row>
    <row r="32" spans="1:1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2" x14ac:dyDescent="0.25">
      <c r="A33" s="4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2" x14ac:dyDescent="0.25">
      <c r="A34" s="4" t="s">
        <v>14</v>
      </c>
      <c r="B34" s="5" t="str">
        <f>"-40.114"</f>
        <v>-40.114</v>
      </c>
      <c r="C34" s="5" t="str">
        <f>"-29.872"</f>
        <v>-29.872</v>
      </c>
      <c r="D34" s="5" t="str">
        <f>"-19.795"</f>
        <v>-19.795</v>
      </c>
      <c r="E34" s="5" t="str">
        <f>"-9.852"</f>
        <v>-9.852</v>
      </c>
      <c r="F34" s="5" t="str">
        <f>"0.105"</f>
        <v>0.105</v>
      </c>
      <c r="G34" s="5" t="str">
        <f>"9.716"</f>
        <v>9.716</v>
      </c>
      <c r="H34" s="5" t="str">
        <f>"19.942"</f>
        <v>19.942</v>
      </c>
      <c r="I34" s="5" t="str">
        <f>"30.088"</f>
        <v>30.088</v>
      </c>
      <c r="J34" s="5" t="str">
        <f>"39.780"</f>
        <v>39.780</v>
      </c>
      <c r="K34" s="6" t="str">
        <f>"50.168"</f>
        <v>50.168</v>
      </c>
    </row>
    <row r="35" spans="1:12" x14ac:dyDescent="0.25">
      <c r="A35" s="4"/>
      <c r="B35" s="5" t="str">
        <f>"(0.0648)"</f>
        <v>(0.0648)</v>
      </c>
      <c r="C35" s="5" t="str">
        <f>"(0.0866)"</f>
        <v>(0.0866)</v>
      </c>
      <c r="D35" s="5" t="str">
        <f>"(0.1121)"</f>
        <v>(0.1121)</v>
      </c>
      <c r="E35" s="5" t="str">
        <f>"(0.1275)"</f>
        <v>(0.1275)</v>
      </c>
      <c r="F35" s="5" t="str">
        <f>"(0.1398)"</f>
        <v>(0.1398)</v>
      </c>
      <c r="G35" s="5" t="str">
        <f>"(0.1590)"</f>
        <v>(0.1590)</v>
      </c>
      <c r="H35" s="5" t="str">
        <f>"(0.1693)"</f>
        <v>(0.1693)</v>
      </c>
      <c r="I35" s="5" t="str">
        <f>"(0.1720)"</f>
        <v>(0.1720)</v>
      </c>
      <c r="J35" s="5" t="str">
        <f>"(0.1869)"</f>
        <v>(0.1869)</v>
      </c>
      <c r="K35" s="6" t="str">
        <f>"(0.1931)"</f>
        <v>(0.1931)</v>
      </c>
    </row>
    <row r="36" spans="1:12" x14ac:dyDescent="0.25">
      <c r="A36" s="4" t="s">
        <v>15</v>
      </c>
      <c r="B36" s="5" t="str">
        <f t="shared" ref="B36:K36" si="4">"1000"</f>
        <v>1000</v>
      </c>
      <c r="C36" s="5" t="str">
        <f t="shared" si="4"/>
        <v>1000</v>
      </c>
      <c r="D36" s="5" t="str">
        <f t="shared" si="4"/>
        <v>1000</v>
      </c>
      <c r="E36" s="5" t="str">
        <f t="shared" si="4"/>
        <v>1000</v>
      </c>
      <c r="F36" s="5" t="str">
        <f t="shared" si="4"/>
        <v>1000</v>
      </c>
      <c r="G36" s="5" t="str">
        <f t="shared" si="4"/>
        <v>1000</v>
      </c>
      <c r="H36" s="5" t="str">
        <f t="shared" si="4"/>
        <v>1000</v>
      </c>
      <c r="I36" s="5" t="str">
        <f t="shared" si="4"/>
        <v>1000</v>
      </c>
      <c r="J36" s="5" t="str">
        <f t="shared" si="4"/>
        <v>1000</v>
      </c>
      <c r="K36" s="6" t="str">
        <f t="shared" si="4"/>
        <v>1000</v>
      </c>
    </row>
    <row r="37" spans="1:1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2" x14ac:dyDescent="0.25">
      <c r="A38" s="4" t="s">
        <v>26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2" x14ac:dyDescent="0.25">
      <c r="A39" s="4" t="s">
        <v>14</v>
      </c>
      <c r="B39" s="9">
        <v>-40.050644349999999</v>
      </c>
      <c r="C39" s="9">
        <v>-29.887205850000001</v>
      </c>
      <c r="D39" s="9">
        <v>-19.956017379999999</v>
      </c>
      <c r="E39" s="9">
        <v>-9.8885078669999995</v>
      </c>
      <c r="F39" s="9">
        <v>0.13296703209999999</v>
      </c>
      <c r="G39" s="9">
        <v>9.6016981300000008</v>
      </c>
      <c r="H39" s="9">
        <v>20.082201349999998</v>
      </c>
      <c r="I39" s="9">
        <v>29.967837200000002</v>
      </c>
      <c r="J39" s="9">
        <v>39.475559660000002</v>
      </c>
      <c r="K39" s="10">
        <v>50.102683079999998</v>
      </c>
      <c r="L39" t="s">
        <v>40</v>
      </c>
    </row>
    <row r="40" spans="1:12" x14ac:dyDescent="0.25">
      <c r="A40" s="4"/>
      <c r="B40" s="11" t="str">
        <f>"(0.0892)"</f>
        <v>(0.0892)</v>
      </c>
      <c r="C40" s="11" t="str">
        <f>"(0.1220)"</f>
        <v>(0.1220)</v>
      </c>
      <c r="D40" s="11" t="str">
        <f>"(0.1560)"</f>
        <v>(0.1560)</v>
      </c>
      <c r="E40" s="11" t="str">
        <f>"(0.1664)"</f>
        <v>(0.1664)</v>
      </c>
      <c r="F40" s="11" t="str">
        <f>"(0.1939)"</f>
        <v>(0.1939)</v>
      </c>
      <c r="G40" s="11" t="str">
        <f>"(0.2012)"</f>
        <v>(0.2012)</v>
      </c>
      <c r="H40" s="11" t="str">
        <f>"(0.2503)"</f>
        <v>(0.2503)</v>
      </c>
      <c r="I40" s="11" t="str">
        <f>"(0.2504)"</f>
        <v>(0.2504)</v>
      </c>
      <c r="J40" s="11" t="str">
        <f>"(0.2736)"</f>
        <v>(0.2736)</v>
      </c>
      <c r="K40" s="12" t="str">
        <f>"(0.2789)"</f>
        <v>(0.2789)</v>
      </c>
    </row>
    <row r="41" spans="1:12" ht="15.75" thickBot="1" x14ac:dyDescent="0.3">
      <c r="A41" s="13" t="s">
        <v>15</v>
      </c>
      <c r="B41" s="14" t="str">
        <f t="shared" ref="B41:K41" si="5">"1000"</f>
        <v>1000</v>
      </c>
      <c r="C41" s="14" t="str">
        <f t="shared" si="5"/>
        <v>1000</v>
      </c>
      <c r="D41" s="14" t="str">
        <f t="shared" si="5"/>
        <v>1000</v>
      </c>
      <c r="E41" s="14" t="str">
        <f t="shared" si="5"/>
        <v>1000</v>
      </c>
      <c r="F41" s="14" t="str">
        <f t="shared" si="5"/>
        <v>1000</v>
      </c>
      <c r="G41" s="14" t="str">
        <f t="shared" si="5"/>
        <v>1000</v>
      </c>
      <c r="H41" s="14" t="str">
        <f t="shared" si="5"/>
        <v>1000</v>
      </c>
      <c r="I41" s="14" t="str">
        <f t="shared" si="5"/>
        <v>1000</v>
      </c>
      <c r="J41" s="14" t="str">
        <f t="shared" si="5"/>
        <v>1000</v>
      </c>
      <c r="K41" s="15" t="str">
        <f t="shared" si="5"/>
        <v>1000</v>
      </c>
    </row>
    <row r="42" spans="1:12" ht="15.75" thickBot="1" x14ac:dyDescent="0.3"/>
    <row r="43" spans="1:12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3" t="s">
        <v>9</v>
      </c>
    </row>
    <row r="44" spans="1:12" x14ac:dyDescent="0.25">
      <c r="A44" s="4" t="s">
        <v>10</v>
      </c>
      <c r="B44" s="5">
        <v>-40</v>
      </c>
      <c r="C44" s="5">
        <v>-40</v>
      </c>
      <c r="D44" s="5">
        <v>-20</v>
      </c>
      <c r="E44" s="5">
        <v>-20</v>
      </c>
      <c r="F44" s="5">
        <v>0</v>
      </c>
      <c r="G44" s="5">
        <v>0</v>
      </c>
      <c r="H44" s="5">
        <v>0</v>
      </c>
      <c r="I44" s="5">
        <v>30</v>
      </c>
      <c r="J44" s="5">
        <v>40</v>
      </c>
      <c r="K44" s="6">
        <v>50</v>
      </c>
    </row>
    <row r="45" spans="1:12" x14ac:dyDescent="0.25">
      <c r="A45" s="4" t="s">
        <v>11</v>
      </c>
      <c r="B45" s="7" t="s">
        <v>12</v>
      </c>
      <c r="C45" s="7" t="s">
        <v>17</v>
      </c>
      <c r="D45" s="7" t="s">
        <v>18</v>
      </c>
      <c r="E45" s="7" t="s">
        <v>19</v>
      </c>
      <c r="F45" s="7" t="s">
        <v>20</v>
      </c>
      <c r="G45" s="7" t="s">
        <v>21</v>
      </c>
      <c r="H45" s="7" t="s">
        <v>22</v>
      </c>
      <c r="I45" s="7" t="s">
        <v>23</v>
      </c>
      <c r="J45" s="7" t="s">
        <v>24</v>
      </c>
      <c r="K45" s="8" t="s">
        <v>25</v>
      </c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2" x14ac:dyDescent="0.25">
      <c r="A47" s="4" t="s">
        <v>13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2" x14ac:dyDescent="0.25">
      <c r="A48" s="4" t="s">
        <v>14</v>
      </c>
      <c r="B48" s="5" t="str">
        <f>"-39.954"</f>
        <v>-39.954</v>
      </c>
      <c r="C48" s="5" t="str">
        <f>"-40.223"</f>
        <v>-40.223</v>
      </c>
      <c r="D48" s="5" t="str">
        <f>"-20.321"</f>
        <v>-20.321</v>
      </c>
      <c r="E48" s="5" t="str">
        <f>"-20.033"</f>
        <v>-20.033</v>
      </c>
      <c r="F48" s="5" t="str">
        <f>"0.141"</f>
        <v>0.141</v>
      </c>
      <c r="G48" s="5" t="str">
        <f>"-0.125"</f>
        <v>-0.125</v>
      </c>
      <c r="H48" s="5" t="str">
        <f>"0.086"</f>
        <v>0.086</v>
      </c>
      <c r="I48" s="5" t="str">
        <f>"30.067"</f>
        <v>30.067</v>
      </c>
      <c r="J48" s="5" t="str">
        <f>"39.877"</f>
        <v>39.877</v>
      </c>
      <c r="K48" s="6" t="str">
        <f>"49.703"</f>
        <v>49.703</v>
      </c>
    </row>
    <row r="49" spans="1:12" x14ac:dyDescent="0.25">
      <c r="A49" s="4"/>
      <c r="B49" s="5" t="str">
        <f>"(0.0878)"</f>
        <v>(0.0878)</v>
      </c>
      <c r="C49" s="5" t="str">
        <f>"(0.1284)"</f>
        <v>(0.1284)</v>
      </c>
      <c r="D49" s="5" t="str">
        <f>"(0.1578)"</f>
        <v>(0.1578)</v>
      </c>
      <c r="E49" s="5" t="str">
        <f>"(0.1773)"</f>
        <v>(0.1773)</v>
      </c>
      <c r="F49" s="5" t="str">
        <f>"(0.1999)"</f>
        <v>(0.1999)</v>
      </c>
      <c r="G49" s="5" t="str">
        <f>"(0.2203)"</f>
        <v>(0.2203)</v>
      </c>
      <c r="H49" s="5" t="str">
        <f>"(0.2471)"</f>
        <v>(0.2471)</v>
      </c>
      <c r="I49" s="5" t="str">
        <f>"(0.2596)"</f>
        <v>(0.2596)</v>
      </c>
      <c r="J49" s="5" t="str">
        <f>"(0.2568)"</f>
        <v>(0.2568)</v>
      </c>
      <c r="K49" s="6" t="str">
        <f>"(0.2879)"</f>
        <v>(0.2879)</v>
      </c>
    </row>
    <row r="50" spans="1:12" x14ac:dyDescent="0.25">
      <c r="A50" s="4" t="s">
        <v>15</v>
      </c>
      <c r="B50" s="5" t="str">
        <f t="shared" ref="B50:K50" si="6">"1000"</f>
        <v>1000</v>
      </c>
      <c r="C50" s="5" t="str">
        <f t="shared" si="6"/>
        <v>1000</v>
      </c>
      <c r="D50" s="5" t="str">
        <f t="shared" si="6"/>
        <v>1000</v>
      </c>
      <c r="E50" s="5" t="str">
        <f t="shared" si="6"/>
        <v>1000</v>
      </c>
      <c r="F50" s="5" t="str">
        <f t="shared" si="6"/>
        <v>1000</v>
      </c>
      <c r="G50" s="5" t="str">
        <f t="shared" si="6"/>
        <v>1000</v>
      </c>
      <c r="H50" s="5" t="str">
        <f t="shared" si="6"/>
        <v>1000</v>
      </c>
      <c r="I50" s="5" t="str">
        <f t="shared" si="6"/>
        <v>1000</v>
      </c>
      <c r="J50" s="5" t="str">
        <f t="shared" si="6"/>
        <v>1000</v>
      </c>
      <c r="K50" s="6" t="str">
        <f t="shared" si="6"/>
        <v>1000</v>
      </c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2" x14ac:dyDescent="0.25">
      <c r="A52" s="4" t="s">
        <v>26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2" x14ac:dyDescent="0.25">
      <c r="A53" s="4" t="s">
        <v>14</v>
      </c>
      <c r="B53" s="9">
        <v>-39.888961219999999</v>
      </c>
      <c r="C53" s="9">
        <v>-40.262758740000002</v>
      </c>
      <c r="D53" s="9">
        <v>-20.472643160000001</v>
      </c>
      <c r="E53" s="9">
        <v>-20.242549610000001</v>
      </c>
      <c r="F53" s="9">
        <v>5.0109641699999999E-2</v>
      </c>
      <c r="G53" s="9">
        <v>5.0109641699999999E-2</v>
      </c>
      <c r="H53" s="9">
        <v>5.0109641699999999E-2</v>
      </c>
      <c r="I53" s="9">
        <v>30.238463939999999</v>
      </c>
      <c r="J53" s="9">
        <v>39.905239760000001</v>
      </c>
      <c r="K53" s="10">
        <v>50.287135589999998</v>
      </c>
      <c r="L53" t="s">
        <v>42</v>
      </c>
    </row>
    <row r="54" spans="1:12" x14ac:dyDescent="0.25">
      <c r="A54" s="4"/>
      <c r="B54" s="11" t="str">
        <f>"(0.1341)"</f>
        <v>(0.1341)</v>
      </c>
      <c r="C54" s="11" t="str">
        <f>"(0.1880)"</f>
        <v>(0.1880)</v>
      </c>
      <c r="D54" s="11" t="str">
        <f>"(0.2356)"</f>
        <v>(0.2356)</v>
      </c>
      <c r="E54" s="11" t="str">
        <f>"(0.2585)"</f>
        <v>(0.2585)</v>
      </c>
      <c r="F54" s="11" t="str">
        <f>"(0.1969)"</f>
        <v>(0.1969)</v>
      </c>
      <c r="G54" s="11" t="str">
        <f>"(0.1915)"</f>
        <v>(0.1915)</v>
      </c>
      <c r="H54" s="11" t="str">
        <f>"(0.1974)"</f>
        <v>(0.1974)</v>
      </c>
      <c r="I54" s="11" t="str">
        <f>"(0.3646)"</f>
        <v>(0.3646)</v>
      </c>
      <c r="J54" s="11" t="str">
        <f>"(0.3527)"</f>
        <v>(0.3527)</v>
      </c>
      <c r="K54" s="12" t="str">
        <f>"(0.3860)"</f>
        <v>(0.3860)</v>
      </c>
    </row>
    <row r="55" spans="1:12" ht="15.75" thickBot="1" x14ac:dyDescent="0.3">
      <c r="A55" s="13" t="s">
        <v>15</v>
      </c>
      <c r="B55" s="14" t="str">
        <f t="shared" ref="B55:K55" si="7">"1000"</f>
        <v>1000</v>
      </c>
      <c r="C55" s="14" t="str">
        <f t="shared" si="7"/>
        <v>1000</v>
      </c>
      <c r="D55" s="14" t="str">
        <f t="shared" si="7"/>
        <v>1000</v>
      </c>
      <c r="E55" s="14" t="str">
        <f t="shared" si="7"/>
        <v>1000</v>
      </c>
      <c r="F55" s="14" t="str">
        <f t="shared" si="7"/>
        <v>1000</v>
      </c>
      <c r="G55" s="14" t="str">
        <f t="shared" si="7"/>
        <v>1000</v>
      </c>
      <c r="H55" s="14" t="str">
        <f t="shared" si="7"/>
        <v>1000</v>
      </c>
      <c r="I55" s="14" t="str">
        <f t="shared" si="7"/>
        <v>1000</v>
      </c>
      <c r="J55" s="14" t="str">
        <f t="shared" si="7"/>
        <v>1000</v>
      </c>
      <c r="K55" s="15" t="str">
        <f t="shared" si="7"/>
        <v>1000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85B3-5ED9-49E2-88D3-2A954F932E7A}">
  <dimension ref="A1:L55"/>
  <sheetViews>
    <sheetView zoomScaleNormal="100" workbookViewId="0">
      <selection activeCell="I4" sqref="I4"/>
    </sheetView>
  </sheetViews>
  <sheetFormatPr defaultRowHeight="15" x14ac:dyDescent="0.25"/>
  <cols>
    <col min="1" max="1" width="18" customWidth="1"/>
    <col min="2" max="10" width="9.85546875" bestFit="1" customWidth="1"/>
    <col min="11" max="11" width="10.85546875" bestFit="1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4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-30</v>
      </c>
      <c r="H2" s="5">
        <v>-10</v>
      </c>
      <c r="I2" s="5">
        <v>10</v>
      </c>
      <c r="J2" s="5">
        <v>30</v>
      </c>
      <c r="K2" s="6">
        <v>50</v>
      </c>
    </row>
    <row r="3" spans="1:12" x14ac:dyDescent="0.25">
      <c r="A3" s="4" t="s">
        <v>11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8" t="s">
        <v>12</v>
      </c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2" x14ac:dyDescent="0.25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25">
      <c r="A6" s="4" t="s">
        <v>14</v>
      </c>
      <c r="B6" s="5" t="str">
        <f>"-0.106"</f>
        <v>-0.106</v>
      </c>
      <c r="C6" s="5" t="str">
        <f>"-0.082"</f>
        <v>-0.082</v>
      </c>
      <c r="D6" s="5" t="str">
        <f>"0.018"</f>
        <v>0.018</v>
      </c>
      <c r="E6" s="5" t="str">
        <f>"0.148"</f>
        <v>0.148</v>
      </c>
      <c r="F6" s="5" t="str">
        <f>"0.050"</f>
        <v>0.050</v>
      </c>
      <c r="G6" s="5" t="str">
        <f>"-30.011"</f>
        <v>-30.011</v>
      </c>
      <c r="H6" s="5" t="str">
        <f>"-10.129"</f>
        <v>-10.129</v>
      </c>
      <c r="I6" s="5" t="str">
        <f>"10.064"</f>
        <v>10.064</v>
      </c>
      <c r="J6" s="5" t="str">
        <f>"29.875"</f>
        <v>29.875</v>
      </c>
      <c r="K6" s="6" t="str">
        <f>"50.046"</f>
        <v>50.046</v>
      </c>
    </row>
    <row r="7" spans="1:12" x14ac:dyDescent="0.25">
      <c r="A7" s="4"/>
      <c r="B7" s="5" t="str">
        <f>"(0.0872)"</f>
        <v>(0.0872)</v>
      </c>
      <c r="C7" s="5" t="str">
        <f>"(0.0920)"</f>
        <v>(0.0920)</v>
      </c>
      <c r="D7" s="5" t="str">
        <f>"(0.0853)"</f>
        <v>(0.0853)</v>
      </c>
      <c r="E7" s="5" t="str">
        <f>"(0.0889)"</f>
        <v>(0.0889)</v>
      </c>
      <c r="F7" s="5" t="str">
        <f>"(0.0889)"</f>
        <v>(0.0889)</v>
      </c>
      <c r="G7" s="5" t="str">
        <f>"(0.0906)"</f>
        <v>(0.0906)</v>
      </c>
      <c r="H7" s="5" t="str">
        <f>"(0.0889)"</f>
        <v>(0.0889)</v>
      </c>
      <c r="I7" s="5" t="str">
        <f>"(0.0974)"</f>
        <v>(0.0974)</v>
      </c>
      <c r="J7" s="5" t="str">
        <f>"(0.0886)"</f>
        <v>(0.0886)</v>
      </c>
      <c r="K7" s="6" t="str">
        <f>"(0.0856)"</f>
        <v>(0.0856)</v>
      </c>
    </row>
    <row r="8" spans="1:12" x14ac:dyDescent="0.25">
      <c r="A8" s="4" t="s">
        <v>15</v>
      </c>
      <c r="B8" s="5" t="str">
        <f t="shared" ref="B8:K8" si="0">"500"</f>
        <v>500</v>
      </c>
      <c r="C8" s="5" t="str">
        <f t="shared" si="0"/>
        <v>500</v>
      </c>
      <c r="D8" s="5" t="str">
        <f t="shared" si="0"/>
        <v>500</v>
      </c>
      <c r="E8" s="5" t="str">
        <f t="shared" si="0"/>
        <v>500</v>
      </c>
      <c r="F8" s="5" t="str">
        <f t="shared" si="0"/>
        <v>500</v>
      </c>
      <c r="G8" s="5" t="str">
        <f t="shared" si="0"/>
        <v>500</v>
      </c>
      <c r="H8" s="5" t="str">
        <f t="shared" si="0"/>
        <v>500</v>
      </c>
      <c r="I8" s="5" t="str">
        <f t="shared" si="0"/>
        <v>500</v>
      </c>
      <c r="J8" s="5" t="str">
        <f t="shared" si="0"/>
        <v>500</v>
      </c>
      <c r="K8" s="6" t="str">
        <f t="shared" si="0"/>
        <v>500</v>
      </c>
    </row>
    <row r="9" spans="1:1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2" x14ac:dyDescent="0.25">
      <c r="A10" s="4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2" x14ac:dyDescent="0.25">
      <c r="A11" s="4" t="s">
        <v>14</v>
      </c>
      <c r="B11" s="9">
        <v>2.10530726E-2</v>
      </c>
      <c r="C11" s="9">
        <v>2.10530726E-2</v>
      </c>
      <c r="D11" s="9">
        <v>2.10530726E-2</v>
      </c>
      <c r="E11" s="9">
        <v>2.10530726E-2</v>
      </c>
      <c r="F11" s="9">
        <v>2.10530726E-2</v>
      </c>
      <c r="G11" s="9">
        <v>-29.951227429999999</v>
      </c>
      <c r="H11" s="9">
        <v>-10.041498649999999</v>
      </c>
      <c r="I11" s="9">
        <v>10.14792433</v>
      </c>
      <c r="J11" s="9">
        <v>29.781114120000002</v>
      </c>
      <c r="K11" s="10">
        <v>50.009484540000003</v>
      </c>
      <c r="L11" t="s">
        <v>37</v>
      </c>
    </row>
    <row r="12" spans="1:12" x14ac:dyDescent="0.25">
      <c r="A12" s="4"/>
      <c r="B12" s="11" t="str">
        <f>"(0.0524)"</f>
        <v>(0.0524)</v>
      </c>
      <c r="C12" s="11" t="str">
        <f>"(0.0525)"</f>
        <v>(0.0525)</v>
      </c>
      <c r="D12" s="11" t="str">
        <f>"(0.0522)"</f>
        <v>(0.0522)</v>
      </c>
      <c r="E12" s="11" t="str">
        <f>"(0.0520)"</f>
        <v>(0.0520)</v>
      </c>
      <c r="F12" s="11" t="str">
        <f>"(0.0524)"</f>
        <v>(0.0524)</v>
      </c>
      <c r="G12" s="11" t="str">
        <f>"(0.1227)"</f>
        <v>(0.1227)</v>
      </c>
      <c r="H12" s="11" t="str">
        <f>"(0.1252)"</f>
        <v>(0.1252)</v>
      </c>
      <c r="I12" s="11" t="str">
        <f>"(0.1328)"</f>
        <v>(0.1328)</v>
      </c>
      <c r="J12" s="11" t="str">
        <f>"(0.1198)"</f>
        <v>(0.1198)</v>
      </c>
      <c r="K12" s="12" t="str">
        <f>"(0.1194)"</f>
        <v>(0.1194)</v>
      </c>
    </row>
    <row r="13" spans="1:12" ht="15.75" thickBot="1" x14ac:dyDescent="0.3">
      <c r="A13" s="13" t="s">
        <v>15</v>
      </c>
      <c r="B13" s="14">
        <v>500</v>
      </c>
      <c r="C13" s="14">
        <v>500</v>
      </c>
      <c r="D13" s="14">
        <v>500</v>
      </c>
      <c r="E13" s="14">
        <v>500</v>
      </c>
      <c r="F13" s="14">
        <v>500</v>
      </c>
      <c r="G13" s="14">
        <v>500</v>
      </c>
      <c r="H13" s="14">
        <v>500</v>
      </c>
      <c r="I13" s="14">
        <v>500</v>
      </c>
      <c r="J13" s="14">
        <v>500</v>
      </c>
      <c r="K13" s="15">
        <v>500</v>
      </c>
    </row>
    <row r="14" spans="1:12" ht="15.75" thickBot="1" x14ac:dyDescent="0.3"/>
    <row r="15" spans="1:12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3" t="s">
        <v>9</v>
      </c>
    </row>
    <row r="16" spans="1:12" x14ac:dyDescent="0.25">
      <c r="A16" s="4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-40</v>
      </c>
      <c r="H16" s="5">
        <v>-40</v>
      </c>
      <c r="I16" s="5">
        <v>40</v>
      </c>
      <c r="J16" s="5">
        <v>40</v>
      </c>
      <c r="K16" s="6">
        <v>40</v>
      </c>
    </row>
    <row r="17" spans="1:12" x14ac:dyDescent="0.25">
      <c r="A17" s="4" t="s">
        <v>11</v>
      </c>
      <c r="B17" s="7" t="s">
        <v>12</v>
      </c>
      <c r="C17" s="7" t="s">
        <v>12</v>
      </c>
      <c r="D17" s="7" t="s">
        <v>12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8" t="s">
        <v>12</v>
      </c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2" x14ac:dyDescent="0.25">
      <c r="A19" s="4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2" x14ac:dyDescent="0.25">
      <c r="A20" s="4" t="s">
        <v>14</v>
      </c>
      <c r="B20" s="5" t="str">
        <f>"-0.000"</f>
        <v>-0.000</v>
      </c>
      <c r="C20" s="5" t="str">
        <f>"0.097"</f>
        <v>0.097</v>
      </c>
      <c r="D20" s="5" t="str">
        <f>"0.112"</f>
        <v>0.112</v>
      </c>
      <c r="E20" s="5" t="str">
        <f>"0.074"</f>
        <v>0.074</v>
      </c>
      <c r="F20" s="5" t="str">
        <f>"-0.012"</f>
        <v>-0.012</v>
      </c>
      <c r="G20" s="5" t="str">
        <f>"-39.914"</f>
        <v>-39.914</v>
      </c>
      <c r="H20" s="5" t="str">
        <f>"-39.961"</f>
        <v>-39.961</v>
      </c>
      <c r="I20" s="5" t="str">
        <f>"39.948"</f>
        <v>39.948</v>
      </c>
      <c r="J20" s="5" t="str">
        <f>"40.181"</f>
        <v>40.181</v>
      </c>
      <c r="K20" s="6" t="str">
        <f>"39.793"</f>
        <v>39.793</v>
      </c>
    </row>
    <row r="21" spans="1:12" x14ac:dyDescent="0.25">
      <c r="A21" s="4"/>
      <c r="B21" s="5" t="str">
        <f>"(0.0893)"</f>
        <v>(0.0893)</v>
      </c>
      <c r="C21" s="5" t="str">
        <f>"(0.0894)"</f>
        <v>(0.0894)</v>
      </c>
      <c r="D21" s="5" t="str">
        <f>"(0.0864)"</f>
        <v>(0.0864)</v>
      </c>
      <c r="E21" s="5" t="str">
        <f>"(0.0913)"</f>
        <v>(0.0913)</v>
      </c>
      <c r="F21" s="5" t="str">
        <f>"(0.0835)"</f>
        <v>(0.0835)</v>
      </c>
      <c r="G21" s="5" t="str">
        <f>"(0.0908)"</f>
        <v>(0.0908)</v>
      </c>
      <c r="H21" s="5" t="str">
        <f>"(0.0908)"</f>
        <v>(0.0908)</v>
      </c>
      <c r="I21" s="5" t="str">
        <f>"(0.0850)"</f>
        <v>(0.0850)</v>
      </c>
      <c r="J21" s="5" t="str">
        <f>"(0.0876)"</f>
        <v>(0.0876)</v>
      </c>
      <c r="K21" s="6" t="str">
        <f>"(0.0901)"</f>
        <v>(0.0901)</v>
      </c>
    </row>
    <row r="22" spans="1:12" x14ac:dyDescent="0.25">
      <c r="A22" s="4" t="s">
        <v>15</v>
      </c>
      <c r="B22" s="5" t="str">
        <f t="shared" ref="B22:K22" si="1">"500"</f>
        <v>500</v>
      </c>
      <c r="C22" s="5" t="str">
        <f t="shared" si="1"/>
        <v>500</v>
      </c>
      <c r="D22" s="5" t="str">
        <f t="shared" si="1"/>
        <v>500</v>
      </c>
      <c r="E22" s="5" t="str">
        <f t="shared" si="1"/>
        <v>500</v>
      </c>
      <c r="F22" s="5" t="str">
        <f t="shared" si="1"/>
        <v>500</v>
      </c>
      <c r="G22" s="5" t="str">
        <f t="shared" si="1"/>
        <v>500</v>
      </c>
      <c r="H22" s="5" t="str">
        <f t="shared" si="1"/>
        <v>500</v>
      </c>
      <c r="I22" s="5" t="str">
        <f t="shared" si="1"/>
        <v>500</v>
      </c>
      <c r="J22" s="5" t="str">
        <f t="shared" si="1"/>
        <v>500</v>
      </c>
      <c r="K22" s="6" t="str">
        <f t="shared" si="1"/>
        <v>500</v>
      </c>
    </row>
    <row r="23" spans="1:1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25">
      <c r="A24" s="4" t="s">
        <v>16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x14ac:dyDescent="0.25">
      <c r="A25" s="4" t="s">
        <v>14</v>
      </c>
      <c r="B25" s="9">
        <v>0.11037022439999999</v>
      </c>
      <c r="C25" s="9">
        <v>0.11037022439999999</v>
      </c>
      <c r="D25" s="9">
        <v>0.11037022439999999</v>
      </c>
      <c r="E25" s="9">
        <v>0.11037022439999999</v>
      </c>
      <c r="F25" s="9">
        <v>0.11037022439999999</v>
      </c>
      <c r="G25" s="9">
        <v>-39.801686879999998</v>
      </c>
      <c r="H25" s="9">
        <v>-39.94444962</v>
      </c>
      <c r="I25" s="9">
        <v>39.937596640000002</v>
      </c>
      <c r="J25" s="9">
        <v>40.107521319999996</v>
      </c>
      <c r="K25" s="10">
        <v>39.917662819999997</v>
      </c>
      <c r="L25" t="s">
        <v>37</v>
      </c>
    </row>
    <row r="26" spans="1:12" x14ac:dyDescent="0.25">
      <c r="A26" s="4"/>
      <c r="B26" s="11" t="str">
        <f>"(0.0534)"</f>
        <v>(0.0534)</v>
      </c>
      <c r="C26" s="11" t="str">
        <f>"(0.0534)"</f>
        <v>(0.0534)</v>
      </c>
      <c r="D26" s="11" t="str">
        <f>"(0.0534)"</f>
        <v>(0.0534)</v>
      </c>
      <c r="E26" s="11" t="str">
        <f>"(0.0534)"</f>
        <v>(0.0534)</v>
      </c>
      <c r="F26" s="11" t="str">
        <f>"(0.0534)"</f>
        <v>(0.0534)</v>
      </c>
      <c r="G26" s="11" t="str">
        <f>"(0.1227)"</f>
        <v>(0.1227)</v>
      </c>
      <c r="H26" s="11" t="str">
        <f>"(0.1397)"</f>
        <v>(0.1397)</v>
      </c>
      <c r="I26" s="11" t="str">
        <f>"(0.1147)"</f>
        <v>(0.1147)</v>
      </c>
      <c r="J26" s="11" t="str">
        <f>"(0.1289)"</f>
        <v>(0.1289)</v>
      </c>
      <c r="K26" s="12" t="str">
        <f>"(0.1288)"</f>
        <v>(0.1288)</v>
      </c>
    </row>
    <row r="27" spans="1:12" ht="15.75" thickBot="1" x14ac:dyDescent="0.3">
      <c r="A27" s="13" t="s">
        <v>15</v>
      </c>
      <c r="B27" s="14">
        <v>500</v>
      </c>
      <c r="C27" s="14">
        <v>500</v>
      </c>
      <c r="D27" s="14">
        <v>500</v>
      </c>
      <c r="E27" s="14">
        <v>500</v>
      </c>
      <c r="F27" s="14">
        <v>500</v>
      </c>
      <c r="G27" s="14">
        <v>500</v>
      </c>
      <c r="H27" s="14">
        <v>500</v>
      </c>
      <c r="I27" s="14">
        <v>500</v>
      </c>
      <c r="J27" s="14">
        <v>500</v>
      </c>
      <c r="K27" s="15">
        <v>500</v>
      </c>
    </row>
    <row r="28" spans="1:12" ht="15.75" thickBot="1" x14ac:dyDescent="0.3"/>
    <row r="29" spans="1:12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3" t="s">
        <v>9</v>
      </c>
    </row>
    <row r="30" spans="1:12" x14ac:dyDescent="0.25">
      <c r="A30" s="4" t="s">
        <v>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-30</v>
      </c>
      <c r="H30" s="5">
        <v>-10</v>
      </c>
      <c r="I30" s="5">
        <v>10</v>
      </c>
      <c r="J30" s="5">
        <v>30</v>
      </c>
      <c r="K30" s="6">
        <v>50</v>
      </c>
    </row>
    <row r="31" spans="1:12" x14ac:dyDescent="0.25">
      <c r="A31" s="4" t="s">
        <v>11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8" t="s">
        <v>25</v>
      </c>
    </row>
    <row r="32" spans="1:1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2" x14ac:dyDescent="0.25">
      <c r="A33" s="4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2" x14ac:dyDescent="0.25">
      <c r="A34" s="4" t="s">
        <v>14</v>
      </c>
      <c r="B34" s="5" t="str">
        <f>"0.091"</f>
        <v>0.091</v>
      </c>
      <c r="C34" s="5" t="str">
        <f>"0.086"</f>
        <v>0.086</v>
      </c>
      <c r="D34" s="5" t="str">
        <f>"-0.043"</f>
        <v>-0.043</v>
      </c>
      <c r="E34" s="5" t="str">
        <f>"0.204"</f>
        <v>0.204</v>
      </c>
      <c r="F34" s="5" t="str">
        <f>"-0.118"</f>
        <v>-0.118</v>
      </c>
      <c r="G34" s="5" t="str">
        <f>"-29.524"</f>
        <v>-29.524</v>
      </c>
      <c r="H34" s="5" t="str">
        <f>"-9.893"</f>
        <v>-9.893</v>
      </c>
      <c r="I34" s="5" t="str">
        <f>"9.725"</f>
        <v>9.725</v>
      </c>
      <c r="J34" s="5" t="str">
        <f>"29.364"</f>
        <v>29.364</v>
      </c>
      <c r="K34" s="6" t="str">
        <f>"49.856"</f>
        <v>49.856</v>
      </c>
    </row>
    <row r="35" spans="1:12" x14ac:dyDescent="0.25">
      <c r="A35" s="4"/>
      <c r="B35" s="5" t="str">
        <f>"(0.0931)"</f>
        <v>(0.0931)</v>
      </c>
      <c r="C35" s="5" t="str">
        <f>"(0.1277)"</f>
        <v>(0.1277)</v>
      </c>
      <c r="D35" s="5" t="str">
        <f>"(0.1523)"</f>
        <v>(0.1523)</v>
      </c>
      <c r="E35" s="5" t="str">
        <f>"(0.1706)"</f>
        <v>(0.1706)</v>
      </c>
      <c r="F35" s="5" t="str">
        <f>"(0.2057)"</f>
        <v>(0.2057)</v>
      </c>
      <c r="G35" s="5" t="str">
        <f>"(0.2238)"</f>
        <v>(0.2238)</v>
      </c>
      <c r="H35" s="5" t="str">
        <f>"(0.2375)"</f>
        <v>(0.2375)</v>
      </c>
      <c r="I35" s="5" t="str">
        <f>"(0.2564)"</f>
        <v>(0.2564)</v>
      </c>
      <c r="J35" s="5" t="str">
        <f>"(0.2596)"</f>
        <v>(0.2596)</v>
      </c>
      <c r="K35" s="6" t="str">
        <f>"(0.2836)"</f>
        <v>(0.2836)</v>
      </c>
    </row>
    <row r="36" spans="1:12" x14ac:dyDescent="0.25">
      <c r="A36" s="4" t="s">
        <v>15</v>
      </c>
      <c r="B36" s="5" t="str">
        <f t="shared" ref="B36:K36" si="2">"500"</f>
        <v>500</v>
      </c>
      <c r="C36" s="5" t="str">
        <f t="shared" si="2"/>
        <v>500</v>
      </c>
      <c r="D36" s="5" t="str">
        <f t="shared" si="2"/>
        <v>500</v>
      </c>
      <c r="E36" s="5" t="str">
        <f t="shared" si="2"/>
        <v>500</v>
      </c>
      <c r="F36" s="5" t="str">
        <f t="shared" si="2"/>
        <v>500</v>
      </c>
      <c r="G36" s="5" t="str">
        <f t="shared" si="2"/>
        <v>500</v>
      </c>
      <c r="H36" s="5" t="str">
        <f t="shared" si="2"/>
        <v>500</v>
      </c>
      <c r="I36" s="5" t="str">
        <f t="shared" si="2"/>
        <v>500</v>
      </c>
      <c r="J36" s="5" t="str">
        <f t="shared" si="2"/>
        <v>500</v>
      </c>
      <c r="K36" s="6" t="str">
        <f t="shared" si="2"/>
        <v>500</v>
      </c>
    </row>
    <row r="37" spans="1:1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2" x14ac:dyDescent="0.25">
      <c r="A38" s="4" t="s">
        <v>16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2" x14ac:dyDescent="0.25">
      <c r="A39" s="4" t="s">
        <v>14</v>
      </c>
      <c r="B39" s="9">
        <v>-1.14183406E-2</v>
      </c>
      <c r="C39" s="9">
        <v>-1.14183406E-2</v>
      </c>
      <c r="D39" s="9">
        <v>-1.14183406E-2</v>
      </c>
      <c r="E39" s="9">
        <v>-1.14183406E-2</v>
      </c>
      <c r="F39" s="9">
        <v>-2.03850088E-2</v>
      </c>
      <c r="G39" s="9">
        <v>-29.726429790000001</v>
      </c>
      <c r="H39" s="9">
        <v>-9.7600760110000007</v>
      </c>
      <c r="I39" s="9">
        <v>10.0181655</v>
      </c>
      <c r="J39" s="9">
        <v>29.16507987</v>
      </c>
      <c r="K39" s="10">
        <v>49.558852690000002</v>
      </c>
      <c r="L39" t="s">
        <v>38</v>
      </c>
    </row>
    <row r="40" spans="1:12" x14ac:dyDescent="0.25">
      <c r="A40" s="4"/>
      <c r="B40" s="11" t="str">
        <f>"(0.2626)"</f>
        <v>(0.2626)</v>
      </c>
      <c r="C40" s="11" t="str">
        <f>"(0.1861)"</f>
        <v>(0.1861)</v>
      </c>
      <c r="D40" s="11" t="str">
        <f>"(0.2223)"</f>
        <v>(0.2223)</v>
      </c>
      <c r="E40" s="11" t="str">
        <f>"(0.2866)"</f>
        <v>(0.2866)</v>
      </c>
      <c r="F40" s="11" t="str">
        <f>"(0.1795)"</f>
        <v>(0.1795)</v>
      </c>
      <c r="G40" s="11" t="str">
        <f>"(0.7921)"</f>
        <v>(0.7921)</v>
      </c>
      <c r="H40" s="11" t="str">
        <f>"(0.3821)"</f>
        <v>(0.3821)</v>
      </c>
      <c r="I40" s="11" t="str">
        <f>"(0.6339)"</f>
        <v>(0.6339)</v>
      </c>
      <c r="J40" s="11" t="str">
        <f>"(0.4737)"</f>
        <v>(0.4737)</v>
      </c>
      <c r="K40" s="12" t="str">
        <f>"(0.6029)"</f>
        <v>(0.6029)</v>
      </c>
    </row>
    <row r="41" spans="1:12" ht="15.75" thickBot="1" x14ac:dyDescent="0.3">
      <c r="A41" s="13" t="s">
        <v>15</v>
      </c>
      <c r="B41" s="14">
        <v>500</v>
      </c>
      <c r="C41" s="14">
        <v>500</v>
      </c>
      <c r="D41" s="14">
        <v>500</v>
      </c>
      <c r="E41" s="14">
        <v>500</v>
      </c>
      <c r="F41" s="14">
        <v>500</v>
      </c>
      <c r="G41" s="14">
        <v>500</v>
      </c>
      <c r="H41" s="14">
        <v>500</v>
      </c>
      <c r="I41" s="14">
        <v>500</v>
      </c>
      <c r="J41" s="14">
        <v>500</v>
      </c>
      <c r="K41" s="15">
        <v>500</v>
      </c>
    </row>
    <row r="42" spans="1:12" ht="15.75" thickBot="1" x14ac:dyDescent="0.3"/>
    <row r="43" spans="1:12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3" t="s">
        <v>9</v>
      </c>
    </row>
    <row r="44" spans="1:12" x14ac:dyDescent="0.25">
      <c r="A44" s="4" t="s">
        <v>10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-40</v>
      </c>
      <c r="H44" s="5">
        <v>-40</v>
      </c>
      <c r="I44" s="5">
        <v>40</v>
      </c>
      <c r="J44" s="5">
        <v>40</v>
      </c>
      <c r="K44" s="6">
        <v>40</v>
      </c>
    </row>
    <row r="45" spans="1:12" x14ac:dyDescent="0.25">
      <c r="A45" s="4" t="s">
        <v>11</v>
      </c>
      <c r="B45" s="7" t="s">
        <v>12</v>
      </c>
      <c r="C45" s="7" t="s">
        <v>17</v>
      </c>
      <c r="D45" s="7" t="s">
        <v>18</v>
      </c>
      <c r="E45" s="7" t="s">
        <v>19</v>
      </c>
      <c r="F45" s="7" t="s">
        <v>20</v>
      </c>
      <c r="G45" s="7" t="s">
        <v>21</v>
      </c>
      <c r="H45" s="7" t="s">
        <v>22</v>
      </c>
      <c r="I45" s="7" t="s">
        <v>23</v>
      </c>
      <c r="J45" s="7" t="s">
        <v>24</v>
      </c>
      <c r="K45" s="8" t="s">
        <v>25</v>
      </c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2" x14ac:dyDescent="0.25">
      <c r="A47" s="4" t="s">
        <v>13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2" x14ac:dyDescent="0.25">
      <c r="A48" s="4" t="s">
        <v>14</v>
      </c>
      <c r="B48" s="5" t="str">
        <f>"0.046"</f>
        <v>0.046</v>
      </c>
      <c r="C48" s="5" t="str">
        <f>"-0.223"</f>
        <v>-0.223</v>
      </c>
      <c r="D48" s="5" t="str">
        <f>"-0.321"</f>
        <v>-0.321</v>
      </c>
      <c r="E48" s="5" t="str">
        <f>"-0.033"</f>
        <v>-0.033</v>
      </c>
      <c r="F48" s="5" t="str">
        <f>"0.141"</f>
        <v>0.141</v>
      </c>
      <c r="G48" s="5" t="str">
        <f>"-40.125"</f>
        <v>-40.125</v>
      </c>
      <c r="H48" s="5" t="str">
        <f>"-39.914"</f>
        <v>-39.914</v>
      </c>
      <c r="I48" s="5" t="str">
        <f>"40.067"</f>
        <v>40.067</v>
      </c>
      <c r="J48" s="5" t="str">
        <f>"39.877"</f>
        <v>39.877</v>
      </c>
      <c r="K48" s="6" t="str">
        <f>"39.703"</f>
        <v>39.703</v>
      </c>
    </row>
    <row r="49" spans="1:12" x14ac:dyDescent="0.25">
      <c r="A49" s="4"/>
      <c r="B49" s="5" t="str">
        <f>"(0.0878)"</f>
        <v>(0.0878)</v>
      </c>
      <c r="C49" s="5" t="str">
        <f>"(0.1284)"</f>
        <v>(0.1284)</v>
      </c>
      <c r="D49" s="5" t="str">
        <f>"(0.1578)"</f>
        <v>(0.1578)</v>
      </c>
      <c r="E49" s="5" t="str">
        <f>"(0.1773)"</f>
        <v>(0.1773)</v>
      </c>
      <c r="F49" s="5" t="str">
        <f>"(0.1999)"</f>
        <v>(0.1999)</v>
      </c>
      <c r="G49" s="5" t="str">
        <f>"(0.2203)"</f>
        <v>(0.2203)</v>
      </c>
      <c r="H49" s="5" t="str">
        <f>"(0.2471)"</f>
        <v>(0.2471)</v>
      </c>
      <c r="I49" s="5" t="str">
        <f>"(0.2596)"</f>
        <v>(0.2596)</v>
      </c>
      <c r="J49" s="5" t="str">
        <f>"(0.2568)"</f>
        <v>(0.2568)</v>
      </c>
      <c r="K49" s="6" t="str">
        <f>"(0.2879)"</f>
        <v>(0.2879)</v>
      </c>
    </row>
    <row r="50" spans="1:12" x14ac:dyDescent="0.25">
      <c r="A50" s="4" t="s">
        <v>15</v>
      </c>
      <c r="B50" s="5" t="str">
        <f t="shared" ref="B50:K50" si="3">"500"</f>
        <v>500</v>
      </c>
      <c r="C50" s="5" t="str">
        <f t="shared" si="3"/>
        <v>500</v>
      </c>
      <c r="D50" s="5" t="str">
        <f t="shared" si="3"/>
        <v>500</v>
      </c>
      <c r="E50" s="5" t="str">
        <f t="shared" si="3"/>
        <v>500</v>
      </c>
      <c r="F50" s="5" t="str">
        <f t="shared" si="3"/>
        <v>500</v>
      </c>
      <c r="G50" s="5" t="str">
        <f t="shared" si="3"/>
        <v>500</v>
      </c>
      <c r="H50" s="5" t="str">
        <f t="shared" si="3"/>
        <v>500</v>
      </c>
      <c r="I50" s="5" t="str">
        <f t="shared" si="3"/>
        <v>500</v>
      </c>
      <c r="J50" s="5" t="str">
        <f t="shared" si="3"/>
        <v>500</v>
      </c>
      <c r="K50" s="6" t="str">
        <f t="shared" si="3"/>
        <v>500</v>
      </c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2" x14ac:dyDescent="0.25">
      <c r="A52" s="4" t="s">
        <v>16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2" x14ac:dyDescent="0.25">
      <c r="A53" s="4" t="s">
        <v>14</v>
      </c>
      <c r="B53" s="9">
        <v>-0.1130047988</v>
      </c>
      <c r="C53" s="9">
        <v>-0.1130047988</v>
      </c>
      <c r="D53" s="9">
        <v>-0.1130047988</v>
      </c>
      <c r="E53" s="9">
        <v>-0.1130047988</v>
      </c>
      <c r="F53" s="9">
        <v>-0.1130047988</v>
      </c>
      <c r="G53" s="9">
        <v>-40.17742689</v>
      </c>
      <c r="H53" s="9">
        <v>-39.889090529999997</v>
      </c>
      <c r="I53" s="9">
        <v>40.242822869999998</v>
      </c>
      <c r="J53" s="9">
        <v>40.050681509999997</v>
      </c>
      <c r="K53" s="10">
        <v>40.390059819999998</v>
      </c>
      <c r="L53" t="s">
        <v>37</v>
      </c>
    </row>
    <row r="54" spans="1:12" x14ac:dyDescent="0.25">
      <c r="A54" s="4"/>
      <c r="B54" s="11" t="str">
        <f>"(0.1131)"</f>
        <v>(0.1131)</v>
      </c>
      <c r="C54" s="11" t="str">
        <f>"(0.1135)"</f>
        <v>(0.1135)</v>
      </c>
      <c r="D54" s="11" t="str">
        <f>"(0.1248)"</f>
        <v>(0.1248)</v>
      </c>
      <c r="E54" s="11" t="str">
        <f>"(0.1331)"</f>
        <v>(0.1331)</v>
      </c>
      <c r="F54" s="11" t="str">
        <f>"(0.1270)"</f>
        <v>(0.1270)</v>
      </c>
      <c r="G54" s="11" t="str">
        <f>"(0.3374)"</f>
        <v>(0.3374)</v>
      </c>
      <c r="H54" s="11" t="str">
        <f>"(0.3632)"</f>
        <v>(0.3632)</v>
      </c>
      <c r="I54" s="11" t="str">
        <f>"(0.3724)"</f>
        <v>(0.3724)</v>
      </c>
      <c r="J54" s="11" t="str">
        <f>"(0.3702)"</f>
        <v>(0.3702)</v>
      </c>
      <c r="K54" s="12" t="str">
        <f>"(0.4453)"</f>
        <v>(0.4453)</v>
      </c>
    </row>
    <row r="55" spans="1:12" ht="15.75" thickBot="1" x14ac:dyDescent="0.3">
      <c r="A55" s="13" t="s">
        <v>15</v>
      </c>
      <c r="B55" s="14">
        <v>500</v>
      </c>
      <c r="C55" s="14">
        <v>500</v>
      </c>
      <c r="D55" s="14">
        <v>500</v>
      </c>
      <c r="E55" s="14">
        <v>500</v>
      </c>
      <c r="F55" s="14">
        <v>500</v>
      </c>
      <c r="G55" s="14">
        <v>500</v>
      </c>
      <c r="H55" s="14">
        <v>500</v>
      </c>
      <c r="I55" s="14">
        <v>500</v>
      </c>
      <c r="J55" s="14">
        <v>500</v>
      </c>
      <c r="K55" s="15">
        <v>500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058-8E84-4450-83CF-DB182694D00B}">
  <dimension ref="A1:L55"/>
  <sheetViews>
    <sheetView workbookViewId="0"/>
  </sheetViews>
  <sheetFormatPr defaultRowHeight="15" x14ac:dyDescent="0.25"/>
  <cols>
    <col min="1" max="1" width="17.7109375" customWidth="1"/>
    <col min="2" max="10" width="9.140625" bestFit="1" customWidth="1"/>
    <col min="11" max="11" width="10.140625" bestFit="1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2" x14ac:dyDescent="0.25">
      <c r="A2" s="4" t="s">
        <v>10</v>
      </c>
      <c r="B2" s="5">
        <v>-40</v>
      </c>
      <c r="C2" s="5">
        <v>-30</v>
      </c>
      <c r="D2" s="5">
        <v>-20</v>
      </c>
      <c r="E2" s="5">
        <v>-10</v>
      </c>
      <c r="F2" s="5">
        <v>0</v>
      </c>
      <c r="G2" s="5">
        <v>10</v>
      </c>
      <c r="H2" s="5">
        <v>20</v>
      </c>
      <c r="I2" s="5">
        <v>30</v>
      </c>
      <c r="J2" s="5">
        <v>40</v>
      </c>
      <c r="K2" s="6">
        <v>50</v>
      </c>
    </row>
    <row r="3" spans="1:12" x14ac:dyDescent="0.25">
      <c r="A3" s="4" t="s">
        <v>11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8" t="s">
        <v>25</v>
      </c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6"/>
    </row>
    <row r="5" spans="1:12" x14ac:dyDescent="0.25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25">
      <c r="A6" s="4" t="s">
        <v>14</v>
      </c>
      <c r="B6" s="5" t="str">
        <f>"-40.334"</f>
        <v>-40.334</v>
      </c>
      <c r="C6" s="5" t="str">
        <f>"-30.260"</f>
        <v>-30.260</v>
      </c>
      <c r="D6" s="5" t="str">
        <f>"-19.944"</f>
        <v>-19.944</v>
      </c>
      <c r="E6" s="5" t="str">
        <f>"-9.532"</f>
        <v>-9.532</v>
      </c>
      <c r="F6" s="5" t="str">
        <f>"0.157"</f>
        <v>0.157</v>
      </c>
      <c r="G6" s="5" t="str">
        <f>"9.965"</f>
        <v>9.965</v>
      </c>
      <c r="H6" s="5" t="str">
        <f>"19.593"</f>
        <v>19.593</v>
      </c>
      <c r="I6" s="5" t="str">
        <f>"30.201"</f>
        <v>30.201</v>
      </c>
      <c r="J6" s="5" t="str">
        <f>"39.605"</f>
        <v>39.605</v>
      </c>
      <c r="K6" s="6" t="str">
        <f>"50.145"</f>
        <v>50.145</v>
      </c>
    </row>
    <row r="7" spans="1:12" x14ac:dyDescent="0.25">
      <c r="A7" s="4"/>
      <c r="B7" s="5" t="str">
        <f>"(0.2758)"</f>
        <v>(0.2758)</v>
      </c>
      <c r="C7" s="5" t="str">
        <f>"(0.2908)"</f>
        <v>(0.2908)</v>
      </c>
      <c r="D7" s="5" t="str">
        <f>"(0.2697)"</f>
        <v>(0.2697)</v>
      </c>
      <c r="E7" s="5" t="str">
        <f>"(0.2810)"</f>
        <v>(0.2810)</v>
      </c>
      <c r="F7" s="5" t="str">
        <f>"(0.2812)"</f>
        <v>(0.2812)</v>
      </c>
      <c r="G7" s="5" t="str">
        <f>"(0.2864)"</f>
        <v>(0.2864)</v>
      </c>
      <c r="H7" s="5" t="str">
        <f>"(0.2810)"</f>
        <v>(0.2810)</v>
      </c>
      <c r="I7" s="5" t="str">
        <f>"(0.3081)"</f>
        <v>(0.3081)</v>
      </c>
      <c r="J7" s="5" t="str">
        <f>"(0.2802)"</f>
        <v>(0.2802)</v>
      </c>
      <c r="K7" s="6" t="str">
        <f>"(0.2708)"</f>
        <v>(0.2708)</v>
      </c>
    </row>
    <row r="8" spans="1:12" x14ac:dyDescent="0.25">
      <c r="A8" s="4" t="s">
        <v>15</v>
      </c>
      <c r="B8" s="5" t="str">
        <f t="shared" ref="B8:K8" si="0">"500"</f>
        <v>500</v>
      </c>
      <c r="C8" s="5" t="str">
        <f t="shared" si="0"/>
        <v>500</v>
      </c>
      <c r="D8" s="5" t="str">
        <f t="shared" si="0"/>
        <v>500</v>
      </c>
      <c r="E8" s="5" t="str">
        <f t="shared" si="0"/>
        <v>500</v>
      </c>
      <c r="F8" s="5" t="str">
        <f t="shared" si="0"/>
        <v>500</v>
      </c>
      <c r="G8" s="5" t="str">
        <f t="shared" si="0"/>
        <v>500</v>
      </c>
      <c r="H8" s="5" t="str">
        <f t="shared" si="0"/>
        <v>500</v>
      </c>
      <c r="I8" s="5" t="str">
        <f t="shared" si="0"/>
        <v>500</v>
      </c>
      <c r="J8" s="5" t="str">
        <f t="shared" si="0"/>
        <v>500</v>
      </c>
      <c r="K8" s="6" t="str">
        <f t="shared" si="0"/>
        <v>500</v>
      </c>
    </row>
    <row r="9" spans="1:12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2" x14ac:dyDescent="0.25">
      <c r="A10" s="4" t="s">
        <v>39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2" x14ac:dyDescent="0.25">
      <c r="A11" s="4" t="s">
        <v>14</v>
      </c>
      <c r="B11" s="9">
        <v>-40.27804158</v>
      </c>
      <c r="C11" s="9">
        <v>-30.212953670000001</v>
      </c>
      <c r="D11" s="9">
        <v>-19.611468070000001</v>
      </c>
      <c r="E11" s="9">
        <v>-9.5652732119999992</v>
      </c>
      <c r="F11" s="9">
        <v>0.1211468379</v>
      </c>
      <c r="G11" s="9">
        <v>10.17757063</v>
      </c>
      <c r="H11" s="9">
        <v>19.81796735</v>
      </c>
      <c r="I11" s="9">
        <v>30.583274500000002</v>
      </c>
      <c r="J11" s="9">
        <v>39.223659159999997</v>
      </c>
      <c r="K11" s="10">
        <v>50.00463517</v>
      </c>
      <c r="L11" t="s">
        <v>40</v>
      </c>
    </row>
    <row r="12" spans="1:12" x14ac:dyDescent="0.25">
      <c r="A12" s="4"/>
      <c r="B12" s="11" t="str">
        <f>"(0.4187)"</f>
        <v>(0.4187)</v>
      </c>
      <c r="C12" s="11" t="str">
        <f>"(0.4204)"</f>
        <v>(0.4204)</v>
      </c>
      <c r="D12" s="11" t="str">
        <f>"(0.4041)"</f>
        <v>(0.4041)</v>
      </c>
      <c r="E12" s="11" t="str">
        <f>"(0.3960)"</f>
        <v>(0.3960)</v>
      </c>
      <c r="F12" s="11" t="str">
        <f>"(0.4182)"</f>
        <v>(0.4182)</v>
      </c>
      <c r="G12" s="11" t="str">
        <f>"(0.4328)"</f>
        <v>(0.4328)</v>
      </c>
      <c r="H12" s="11" t="str">
        <f>"(0.4053)"</f>
        <v>(0.4053)</v>
      </c>
      <c r="I12" s="11" t="str">
        <f>"(0.4597)"</f>
        <v>(0.4597)</v>
      </c>
      <c r="J12" s="11" t="str">
        <f>"(0.3829)"</f>
        <v>(0.3829)</v>
      </c>
      <c r="K12" s="12" t="str">
        <f>"(0.3648)"</f>
        <v>(0.3648)</v>
      </c>
    </row>
    <row r="13" spans="1:12" ht="15.75" thickBot="1" x14ac:dyDescent="0.3">
      <c r="A13" s="13" t="s">
        <v>15</v>
      </c>
      <c r="B13" s="14">
        <v>500</v>
      </c>
      <c r="C13" s="14">
        <v>500</v>
      </c>
      <c r="D13" s="14">
        <v>500</v>
      </c>
      <c r="E13" s="14">
        <v>500</v>
      </c>
      <c r="F13" s="14">
        <v>500</v>
      </c>
      <c r="G13" s="14">
        <v>500</v>
      </c>
      <c r="H13" s="14">
        <v>500</v>
      </c>
      <c r="I13" s="14">
        <v>500</v>
      </c>
      <c r="J13" s="14">
        <v>500</v>
      </c>
      <c r="K13" s="15">
        <v>500</v>
      </c>
    </row>
    <row r="14" spans="1:12" ht="15.75" thickBot="1" x14ac:dyDescent="0.3"/>
    <row r="15" spans="1:12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3" t="s">
        <v>9</v>
      </c>
    </row>
    <row r="16" spans="1:12" x14ac:dyDescent="0.25">
      <c r="A16" s="4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-40</v>
      </c>
      <c r="H16" s="5">
        <v>-40</v>
      </c>
      <c r="I16" s="5">
        <v>40</v>
      </c>
      <c r="J16" s="5">
        <v>40</v>
      </c>
      <c r="K16" s="6">
        <v>40</v>
      </c>
    </row>
    <row r="17" spans="1:12" x14ac:dyDescent="0.25">
      <c r="A17" s="4" t="s">
        <v>11</v>
      </c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8" t="s">
        <v>25</v>
      </c>
    </row>
    <row r="18" spans="1:12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2" x14ac:dyDescent="0.25">
      <c r="A19" s="4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2" x14ac:dyDescent="0.25">
      <c r="A20" s="4" t="s">
        <v>14</v>
      </c>
      <c r="B20" s="5" t="str">
        <f>"-0.001"</f>
        <v>-0.001</v>
      </c>
      <c r="C20" s="5" t="str">
        <f>"0.307"</f>
        <v>0.307</v>
      </c>
      <c r="D20" s="5" t="str">
        <f>"0.353"</f>
        <v>0.353</v>
      </c>
      <c r="E20" s="5" t="str">
        <f>"0.234"</f>
        <v>0.234</v>
      </c>
      <c r="F20" s="5" t="str">
        <f>"-0.039"</f>
        <v>-0.039</v>
      </c>
      <c r="G20" s="5" t="str">
        <f>"-39.729"</f>
        <v>-39.729</v>
      </c>
      <c r="H20" s="5" t="str">
        <f>"-39.878"</f>
        <v>-39.878</v>
      </c>
      <c r="I20" s="5" t="str">
        <f>"39.836"</f>
        <v>39.836</v>
      </c>
      <c r="J20" s="5" t="str">
        <f>"40.573"</f>
        <v>40.573</v>
      </c>
      <c r="K20" s="6" t="str">
        <f>"39.344"</f>
        <v>39.344</v>
      </c>
    </row>
    <row r="21" spans="1:12" x14ac:dyDescent="0.25">
      <c r="A21" s="4"/>
      <c r="B21" s="5" t="str">
        <f>"(0.2823)"</f>
        <v>(0.2823)</v>
      </c>
      <c r="C21" s="5" t="str">
        <f>"(0.2826)"</f>
        <v>(0.2826)</v>
      </c>
      <c r="D21" s="5" t="str">
        <f>"(0.2731)"</f>
        <v>(0.2731)</v>
      </c>
      <c r="E21" s="5" t="str">
        <f>"(0.2886)"</f>
        <v>(0.2886)</v>
      </c>
      <c r="F21" s="5" t="str">
        <f>"(0.2640)"</f>
        <v>(0.2640)</v>
      </c>
      <c r="G21" s="5" t="str">
        <f>"(0.2872)"</f>
        <v>(0.2872)</v>
      </c>
      <c r="H21" s="5" t="str">
        <f>"(0.2872)"</f>
        <v>(0.2872)</v>
      </c>
      <c r="I21" s="5" t="str">
        <f>"(0.2689)"</f>
        <v>(0.2689)</v>
      </c>
      <c r="J21" s="5" t="str">
        <f>"(0.2771)"</f>
        <v>(0.2771)</v>
      </c>
      <c r="K21" s="6" t="str">
        <f>"(0.2848)"</f>
        <v>(0.2848)</v>
      </c>
    </row>
    <row r="22" spans="1:12" x14ac:dyDescent="0.25">
      <c r="A22" s="4" t="s">
        <v>15</v>
      </c>
      <c r="B22" s="5" t="str">
        <f t="shared" ref="B22:K22" si="1">"500"</f>
        <v>500</v>
      </c>
      <c r="C22" s="5" t="str">
        <f t="shared" si="1"/>
        <v>500</v>
      </c>
      <c r="D22" s="5" t="str">
        <f t="shared" si="1"/>
        <v>500</v>
      </c>
      <c r="E22" s="5" t="str">
        <f t="shared" si="1"/>
        <v>500</v>
      </c>
      <c r="F22" s="5" t="str">
        <f t="shared" si="1"/>
        <v>500</v>
      </c>
      <c r="G22" s="5" t="str">
        <f t="shared" si="1"/>
        <v>500</v>
      </c>
      <c r="H22" s="5" t="str">
        <f t="shared" si="1"/>
        <v>500</v>
      </c>
      <c r="I22" s="5" t="str">
        <f t="shared" si="1"/>
        <v>500</v>
      </c>
      <c r="J22" s="5" t="str">
        <f t="shared" si="1"/>
        <v>500</v>
      </c>
      <c r="K22" s="6" t="str">
        <f t="shared" si="1"/>
        <v>500</v>
      </c>
    </row>
    <row r="23" spans="1:1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25">
      <c r="A24" s="4" t="s">
        <v>39</v>
      </c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x14ac:dyDescent="0.25">
      <c r="A25" s="4" t="s">
        <v>14</v>
      </c>
      <c r="B25" s="9">
        <v>0.3106341333</v>
      </c>
      <c r="C25" s="9">
        <v>0.3106341333</v>
      </c>
      <c r="D25" s="9">
        <v>0.3106341333</v>
      </c>
      <c r="E25" s="9">
        <v>0.3106341333</v>
      </c>
      <c r="F25" s="9">
        <v>0.3106341333</v>
      </c>
      <c r="G25" s="9">
        <v>-39.46906208</v>
      </c>
      <c r="H25" s="9">
        <v>-39.694740410000001</v>
      </c>
      <c r="I25" s="9">
        <v>39.768115309999999</v>
      </c>
      <c r="J25" s="9">
        <v>40.366281260000001</v>
      </c>
      <c r="K25" s="10">
        <v>39.710632709999999</v>
      </c>
      <c r="L25" t="s">
        <v>37</v>
      </c>
    </row>
    <row r="26" spans="1:12" x14ac:dyDescent="0.25">
      <c r="A26" s="4"/>
      <c r="B26" s="11" t="str">
        <f>"(0.1726)"</f>
        <v>(0.1726)</v>
      </c>
      <c r="C26" s="11" t="str">
        <f>"(0.1727)"</f>
        <v>(0.1727)</v>
      </c>
      <c r="D26" s="11" t="str">
        <f>"(0.1728)"</f>
        <v>(0.1728)</v>
      </c>
      <c r="E26" s="11" t="str">
        <f>"(0.1726)"</f>
        <v>(0.1726)</v>
      </c>
      <c r="F26" s="11" t="str">
        <f>"(0.1726)"</f>
        <v>(0.1726)</v>
      </c>
      <c r="G26" s="11" t="str">
        <f>"(0.4288)"</f>
        <v>(0.4288)</v>
      </c>
      <c r="H26" s="11" t="str">
        <f>"(0.3926)"</f>
        <v>(0.3926)</v>
      </c>
      <c r="I26" s="11" t="str">
        <f>"(0.3837)"</f>
        <v>(0.3837)</v>
      </c>
      <c r="J26" s="11" t="str">
        <f>"(0.3848)"</f>
        <v>(0.3848)</v>
      </c>
      <c r="K26" s="12" t="str">
        <f>"(0.4348)"</f>
        <v>(0.4348)</v>
      </c>
    </row>
    <row r="27" spans="1:12" ht="15.75" thickBot="1" x14ac:dyDescent="0.3">
      <c r="A27" s="13" t="s">
        <v>15</v>
      </c>
      <c r="B27" s="14">
        <v>500</v>
      </c>
      <c r="C27" s="14">
        <v>500</v>
      </c>
      <c r="D27" s="14">
        <v>500</v>
      </c>
      <c r="E27" s="14">
        <v>500</v>
      </c>
      <c r="F27" s="14">
        <v>500</v>
      </c>
      <c r="G27" s="14">
        <v>500</v>
      </c>
      <c r="H27" s="14">
        <v>500</v>
      </c>
      <c r="I27" s="14">
        <v>500</v>
      </c>
      <c r="J27" s="14">
        <v>500</v>
      </c>
      <c r="K27" s="15">
        <v>500</v>
      </c>
    </row>
    <row r="28" spans="1:12" ht="15.75" thickBot="1" x14ac:dyDescent="0.3"/>
    <row r="29" spans="1:12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3" t="s">
        <v>9</v>
      </c>
      <c r="L29" s="16" t="s">
        <v>36</v>
      </c>
    </row>
    <row r="30" spans="1:12" x14ac:dyDescent="0.25">
      <c r="A30" s="4" t="s">
        <v>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-30</v>
      </c>
      <c r="H30" s="5">
        <v>-10</v>
      </c>
      <c r="I30" s="5">
        <v>10</v>
      </c>
      <c r="J30" s="5">
        <v>30</v>
      </c>
      <c r="K30" s="6">
        <v>50</v>
      </c>
    </row>
    <row r="31" spans="1:12" x14ac:dyDescent="0.25">
      <c r="A31" s="4" t="s">
        <v>11</v>
      </c>
      <c r="B31" s="7" t="s">
        <v>25</v>
      </c>
      <c r="C31" s="7" t="s">
        <v>27</v>
      </c>
      <c r="D31" s="7" t="s">
        <v>28</v>
      </c>
      <c r="E31" s="7" t="s">
        <v>29</v>
      </c>
      <c r="F31" s="7" t="s">
        <v>30</v>
      </c>
      <c r="G31" s="7" t="s">
        <v>31</v>
      </c>
      <c r="H31" s="7" t="s">
        <v>32</v>
      </c>
      <c r="I31" s="7" t="s">
        <v>33</v>
      </c>
      <c r="J31" s="7" t="s">
        <v>34</v>
      </c>
      <c r="K31" s="8" t="s">
        <v>35</v>
      </c>
    </row>
    <row r="32" spans="1:12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2" x14ac:dyDescent="0.25">
      <c r="A33" s="4" t="s">
        <v>13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2" x14ac:dyDescent="0.25">
      <c r="A34" s="4" t="s">
        <v>14</v>
      </c>
      <c r="B34" s="5" t="str">
        <f>"0.289"</f>
        <v>0.289</v>
      </c>
      <c r="C34" s="5" t="str">
        <f>"0.273"</f>
        <v>0.273</v>
      </c>
      <c r="D34" s="5" t="str">
        <f>"-0.137"</f>
        <v>-0.137</v>
      </c>
      <c r="E34" s="5" t="str">
        <f>"0.644"</f>
        <v>0.644</v>
      </c>
      <c r="F34" s="5" t="str">
        <f>"-0.372"</f>
        <v>-0.372</v>
      </c>
      <c r="G34" s="5" t="str">
        <f>"-28.494"</f>
        <v>-28.494</v>
      </c>
      <c r="H34" s="5" t="str">
        <f>"-9.662"</f>
        <v>-9.662</v>
      </c>
      <c r="I34" s="5" t="str">
        <f>"9.129"</f>
        <v>9.129</v>
      </c>
      <c r="J34" s="5" t="str">
        <f>"27.988"</f>
        <v>27.988</v>
      </c>
      <c r="K34" s="6" t="str">
        <f>"49.543"</f>
        <v>49.543</v>
      </c>
    </row>
    <row r="35" spans="1:12" x14ac:dyDescent="0.25">
      <c r="A35" s="4"/>
      <c r="B35" s="5" t="str">
        <f>"(0.2945)"</f>
        <v>(0.2945)</v>
      </c>
      <c r="C35" s="5" t="str">
        <f>"(0.4040)"</f>
        <v>(0.4040)</v>
      </c>
      <c r="D35" s="5" t="str">
        <f>"(0.4817)"</f>
        <v>(0.4817)</v>
      </c>
      <c r="E35" s="5" t="str">
        <f>"(0.5395)"</f>
        <v>(0.5395)</v>
      </c>
      <c r="F35" s="5" t="str">
        <f>"(0.6506)"</f>
        <v>(0.6506)</v>
      </c>
      <c r="G35" s="5" t="str">
        <f>"(0.7077)"</f>
        <v>(0.7077)</v>
      </c>
      <c r="H35" s="5" t="str">
        <f>"(0.7511)"</f>
        <v>(0.7511)</v>
      </c>
      <c r="I35" s="5" t="str">
        <f>"(0.8107)"</f>
        <v>(0.8107)</v>
      </c>
      <c r="J35" s="5" t="str">
        <f>"(0.8209)"</f>
        <v>(0.8209)</v>
      </c>
      <c r="K35" s="6" t="str">
        <f>"(0.8969)"</f>
        <v>(0.8969)</v>
      </c>
    </row>
    <row r="36" spans="1:12" x14ac:dyDescent="0.25">
      <c r="A36" s="4" t="s">
        <v>15</v>
      </c>
      <c r="B36" s="5" t="str">
        <f t="shared" ref="B36:K36" si="2">"500"</f>
        <v>500</v>
      </c>
      <c r="C36" s="5" t="str">
        <f t="shared" si="2"/>
        <v>500</v>
      </c>
      <c r="D36" s="5" t="str">
        <f t="shared" si="2"/>
        <v>500</v>
      </c>
      <c r="E36" s="5" t="str">
        <f t="shared" si="2"/>
        <v>500</v>
      </c>
      <c r="F36" s="5" t="str">
        <f t="shared" si="2"/>
        <v>500</v>
      </c>
      <c r="G36" s="5" t="str">
        <f t="shared" si="2"/>
        <v>500</v>
      </c>
      <c r="H36" s="5" t="str">
        <f t="shared" si="2"/>
        <v>500</v>
      </c>
      <c r="I36" s="5" t="str">
        <f t="shared" si="2"/>
        <v>500</v>
      </c>
      <c r="J36" s="5" t="str">
        <f t="shared" si="2"/>
        <v>500</v>
      </c>
      <c r="K36" s="6" t="str">
        <f t="shared" si="2"/>
        <v>500</v>
      </c>
    </row>
    <row r="37" spans="1:12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2" x14ac:dyDescent="0.25">
      <c r="A38" s="4" t="s">
        <v>39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2" x14ac:dyDescent="0.25">
      <c r="A39" s="4" t="s">
        <v>14</v>
      </c>
      <c r="B39" s="9">
        <v>1.35245178E-2</v>
      </c>
      <c r="C39" s="9">
        <v>1.35245178E-2</v>
      </c>
      <c r="D39" s="9">
        <v>1.35245178E-2</v>
      </c>
      <c r="E39" s="9">
        <v>1.35245178E-2</v>
      </c>
      <c r="F39" s="9">
        <v>1.35245178E-2</v>
      </c>
      <c r="G39" s="9">
        <v>-29.084590370000001</v>
      </c>
      <c r="H39" s="9">
        <v>-8.9762618649999997</v>
      </c>
      <c r="I39" s="9">
        <v>9.8955895399999996</v>
      </c>
      <c r="J39" s="9">
        <v>27.063310130000001</v>
      </c>
      <c r="K39" s="10">
        <v>48.488571159999999</v>
      </c>
      <c r="L39" t="s">
        <v>37</v>
      </c>
    </row>
    <row r="40" spans="1:12" x14ac:dyDescent="0.25">
      <c r="A40" s="4"/>
      <c r="B40" s="11" t="str">
        <f>"(0.3206)"</f>
        <v>(0.3206)</v>
      </c>
      <c r="C40" s="11" t="str">
        <f>"(0.3207)"</f>
        <v>(0.3207)</v>
      </c>
      <c r="D40" s="11" t="str">
        <f>"(0.3204)"</f>
        <v>(0.3204)</v>
      </c>
      <c r="E40" s="11" t="str">
        <f>"(0.3231)"</f>
        <v>(0.3231)</v>
      </c>
      <c r="F40" s="11" t="str">
        <f>"(0.3347)"</f>
        <v>(0.3347)</v>
      </c>
      <c r="G40" s="11" t="str">
        <f>"(0.9835)"</f>
        <v>(0.9835)</v>
      </c>
      <c r="H40" s="11" t="str">
        <f>"(0.9955)"</f>
        <v>(0.9955)</v>
      </c>
      <c r="I40" s="11" t="str">
        <f>"(1.1994)"</f>
        <v>(1.1994)</v>
      </c>
      <c r="J40" s="11" t="str">
        <f>"(1.1524)"</f>
        <v>(1.1524)</v>
      </c>
      <c r="K40" s="12" t="str">
        <f>"(1.3266)"</f>
        <v>(1.3266)</v>
      </c>
    </row>
    <row r="41" spans="1:12" ht="15.75" thickBot="1" x14ac:dyDescent="0.3">
      <c r="A41" s="13" t="s">
        <v>15</v>
      </c>
      <c r="B41" s="14">
        <v>500</v>
      </c>
      <c r="C41" s="14">
        <v>500</v>
      </c>
      <c r="D41" s="14">
        <v>500</v>
      </c>
      <c r="E41" s="14">
        <v>500</v>
      </c>
      <c r="F41" s="14">
        <v>500</v>
      </c>
      <c r="G41" s="14">
        <v>500</v>
      </c>
      <c r="H41" s="14">
        <v>500</v>
      </c>
      <c r="I41" s="14">
        <v>500</v>
      </c>
      <c r="J41" s="14">
        <v>500</v>
      </c>
      <c r="K41" s="15">
        <v>500</v>
      </c>
    </row>
    <row r="42" spans="1:12" ht="15.75" thickBot="1" x14ac:dyDescent="0.3"/>
    <row r="43" spans="1:12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3" t="s">
        <v>9</v>
      </c>
      <c r="L43" s="16" t="s">
        <v>36</v>
      </c>
    </row>
    <row r="44" spans="1:12" x14ac:dyDescent="0.25">
      <c r="A44" s="4" t="s">
        <v>10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-40</v>
      </c>
      <c r="H44" s="5">
        <v>-40</v>
      </c>
      <c r="I44" s="5">
        <v>40</v>
      </c>
      <c r="J44" s="5">
        <v>40</v>
      </c>
      <c r="K44" s="6">
        <v>40</v>
      </c>
    </row>
    <row r="45" spans="1:12" x14ac:dyDescent="0.25">
      <c r="A45" s="4" t="s">
        <v>11</v>
      </c>
      <c r="B45" s="7" t="s">
        <v>25</v>
      </c>
      <c r="C45" s="7" t="s">
        <v>27</v>
      </c>
      <c r="D45" s="7" t="s">
        <v>28</v>
      </c>
      <c r="E45" s="7" t="s">
        <v>29</v>
      </c>
      <c r="F45" s="7" t="s">
        <v>30</v>
      </c>
      <c r="G45" s="7" t="s">
        <v>31</v>
      </c>
      <c r="H45" s="7" t="s">
        <v>32</v>
      </c>
      <c r="I45" s="7" t="s">
        <v>33</v>
      </c>
      <c r="J45" s="7" t="s">
        <v>34</v>
      </c>
      <c r="K45" s="8" t="s">
        <v>35</v>
      </c>
    </row>
    <row r="46" spans="1:12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2" x14ac:dyDescent="0.25">
      <c r="A47" s="4" t="s">
        <v>13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pans="1:12" x14ac:dyDescent="0.25">
      <c r="A48" s="4" t="s">
        <v>14</v>
      </c>
      <c r="B48" s="5" t="str">
        <f>"0.146"</f>
        <v>0.146</v>
      </c>
      <c r="C48" s="5" t="str">
        <f>"-0.706"</f>
        <v>-0.706</v>
      </c>
      <c r="D48" s="5" t="str">
        <f>"-1.016"</f>
        <v>-1.016</v>
      </c>
      <c r="E48" s="5" t="str">
        <f>"-0.104"</f>
        <v>-0.104</v>
      </c>
      <c r="F48" s="5" t="str">
        <f>"0.445"</f>
        <v>0.445</v>
      </c>
      <c r="G48" s="5" t="str">
        <f>"-40.394"</f>
        <v>-40.394</v>
      </c>
      <c r="H48" s="5" t="str">
        <f>"-39.728"</f>
        <v>-39.728</v>
      </c>
      <c r="I48" s="5" t="str">
        <f>"40.212"</f>
        <v>40.212</v>
      </c>
      <c r="J48" s="5" t="str">
        <f>"39.611"</f>
        <v>39.611</v>
      </c>
      <c r="K48" s="6" t="str">
        <f>"39.060"</f>
        <v>39.060</v>
      </c>
    </row>
    <row r="49" spans="1:12" x14ac:dyDescent="0.25">
      <c r="A49" s="4"/>
      <c r="B49" s="5" t="str">
        <f>"(0.2776)"</f>
        <v>(0.2776)</v>
      </c>
      <c r="C49" s="5" t="str">
        <f>"(0.4060)"</f>
        <v>(0.4060)</v>
      </c>
      <c r="D49" s="5" t="str">
        <f>"(0.4990)"</f>
        <v>(0.4990)</v>
      </c>
      <c r="E49" s="5" t="str">
        <f>"(0.5607)"</f>
        <v>(0.5607)</v>
      </c>
      <c r="F49" s="5" t="str">
        <f>"(0.6321)"</f>
        <v>(0.6321)</v>
      </c>
      <c r="G49" s="5" t="str">
        <f>"(0.6966)"</f>
        <v>(0.6966)</v>
      </c>
      <c r="H49" s="5" t="str">
        <f>"(0.7815)"</f>
        <v>(0.7815)</v>
      </c>
      <c r="I49" s="5" t="str">
        <f>"(0.8209)"</f>
        <v>(0.8209)</v>
      </c>
      <c r="J49" s="5" t="str">
        <f>"(0.8121)"</f>
        <v>(0.8121)</v>
      </c>
      <c r="K49" s="6" t="str">
        <f>"(0.9105)"</f>
        <v>(0.9105)</v>
      </c>
    </row>
    <row r="50" spans="1:12" x14ac:dyDescent="0.25">
      <c r="A50" s="4" t="s">
        <v>15</v>
      </c>
      <c r="B50" s="5" t="str">
        <f t="shared" ref="B50:K50" si="3">"500"</f>
        <v>500</v>
      </c>
      <c r="C50" s="5" t="str">
        <f t="shared" si="3"/>
        <v>500</v>
      </c>
      <c r="D50" s="5" t="str">
        <f t="shared" si="3"/>
        <v>500</v>
      </c>
      <c r="E50" s="5" t="str">
        <f t="shared" si="3"/>
        <v>500</v>
      </c>
      <c r="F50" s="5" t="str">
        <f t="shared" si="3"/>
        <v>500</v>
      </c>
      <c r="G50" s="5" t="str">
        <f t="shared" si="3"/>
        <v>500</v>
      </c>
      <c r="H50" s="5" t="str">
        <f t="shared" si="3"/>
        <v>500</v>
      </c>
      <c r="I50" s="5" t="str">
        <f t="shared" si="3"/>
        <v>500</v>
      </c>
      <c r="J50" s="5" t="str">
        <f t="shared" si="3"/>
        <v>500</v>
      </c>
      <c r="K50" s="6" t="str">
        <f t="shared" si="3"/>
        <v>500</v>
      </c>
    </row>
    <row r="51" spans="1:12" x14ac:dyDescent="0.25">
      <c r="A51" s="4"/>
      <c r="B51" s="5"/>
      <c r="C51" s="5"/>
      <c r="D51" s="5"/>
      <c r="E51" s="5"/>
      <c r="F51" s="5"/>
      <c r="G51" s="5"/>
      <c r="H51" s="5"/>
      <c r="I51" s="5"/>
      <c r="J51" s="5"/>
      <c r="K51" s="6"/>
    </row>
    <row r="52" spans="1:12" x14ac:dyDescent="0.25">
      <c r="A52" s="4" t="s">
        <v>39</v>
      </c>
      <c r="B52" s="5"/>
      <c r="C52" s="5"/>
      <c r="D52" s="5"/>
      <c r="E52" s="5"/>
      <c r="F52" s="5"/>
      <c r="G52" s="5"/>
      <c r="H52" s="5"/>
      <c r="I52" s="5"/>
      <c r="J52" s="5"/>
      <c r="K52" s="6"/>
    </row>
    <row r="53" spans="1:12" x14ac:dyDescent="0.25">
      <c r="A53" s="4" t="s">
        <v>14</v>
      </c>
      <c r="B53" s="9">
        <v>-0.48851936769999998</v>
      </c>
      <c r="C53" s="9">
        <v>-0.48851936769999998</v>
      </c>
      <c r="D53" s="9">
        <v>-0.48851936769999998</v>
      </c>
      <c r="E53" s="9">
        <v>-0.48851936769999998</v>
      </c>
      <c r="F53" s="9">
        <v>-0.48851936769999998</v>
      </c>
      <c r="G53" s="9">
        <v>-40.81788298</v>
      </c>
      <c r="H53" s="9">
        <v>-39.821115310000003</v>
      </c>
      <c r="I53" s="9">
        <v>40.734786560000003</v>
      </c>
      <c r="J53" s="9">
        <v>39.926422909999999</v>
      </c>
      <c r="K53" s="10">
        <v>40.54157309</v>
      </c>
      <c r="L53" t="s">
        <v>37</v>
      </c>
    </row>
    <row r="54" spans="1:12" x14ac:dyDescent="0.25">
      <c r="A54" s="4"/>
      <c r="B54" s="11" t="str">
        <f>"(0.3267)"</f>
        <v>(0.3267)</v>
      </c>
      <c r="C54" s="11" t="str">
        <f>"(0.3267)"</f>
        <v>(0.3267)</v>
      </c>
      <c r="D54" s="11" t="str">
        <f>"(0.3267)"</f>
        <v>(0.3267)</v>
      </c>
      <c r="E54" s="11" t="str">
        <f>"(0.3267)"</f>
        <v>(0.3267)</v>
      </c>
      <c r="F54" s="11" t="str">
        <f>"(0.3263)"</f>
        <v>(0.3263)</v>
      </c>
      <c r="G54" s="11" t="str">
        <f>"(0.9880)"</f>
        <v>(0.9880)</v>
      </c>
      <c r="H54" s="11" t="str">
        <f>"(1.1225)"</f>
        <v>(1.1225)</v>
      </c>
      <c r="I54" s="11" t="str">
        <f>"(1.1917)"</f>
        <v>(1.1917)</v>
      </c>
      <c r="J54" s="11" t="str">
        <f>"(1.1228)"</f>
        <v>(1.1228)</v>
      </c>
      <c r="K54" s="12" t="str">
        <f>"(1.2758)"</f>
        <v>(1.2758)</v>
      </c>
    </row>
    <row r="55" spans="1:12" ht="15.75" thickBot="1" x14ac:dyDescent="0.3">
      <c r="A55" s="13" t="s">
        <v>15</v>
      </c>
      <c r="B55" s="14">
        <v>500</v>
      </c>
      <c r="C55" s="14">
        <v>500</v>
      </c>
      <c r="D55" s="14">
        <v>500</v>
      </c>
      <c r="E55" s="14">
        <v>500</v>
      </c>
      <c r="F55" s="14">
        <v>500</v>
      </c>
      <c r="G55" s="14">
        <v>500</v>
      </c>
      <c r="H55" s="14">
        <v>500</v>
      </c>
      <c r="I55" s="14">
        <v>500</v>
      </c>
      <c r="J55" s="14">
        <v>500</v>
      </c>
      <c r="K55" s="15">
        <v>500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5876-6D30-44FB-85D3-A7CE711E4448}">
  <dimension ref="A1:K55"/>
  <sheetViews>
    <sheetView topLeftCell="A20" workbookViewId="0">
      <selection activeCell="O27" sqref="O27"/>
    </sheetView>
  </sheetViews>
  <sheetFormatPr defaultRowHeight="15" x14ac:dyDescent="0.25"/>
  <cols>
    <col min="1" max="1" width="20.7109375" customWidth="1"/>
    <col min="2" max="10" width="9.85546875" bestFit="1" customWidth="1"/>
    <col min="11" max="11" width="10.85546875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4" t="s">
        <v>10</v>
      </c>
      <c r="B2">
        <v>-4</v>
      </c>
      <c r="C2">
        <v>-3</v>
      </c>
      <c r="D2">
        <v>-2</v>
      </c>
      <c r="E2">
        <v>-1</v>
      </c>
      <c r="F2">
        <v>0</v>
      </c>
      <c r="G2">
        <v>1</v>
      </c>
      <c r="H2">
        <v>2</v>
      </c>
      <c r="I2">
        <v>3</v>
      </c>
      <c r="J2">
        <v>4</v>
      </c>
      <c r="K2" s="6">
        <v>5</v>
      </c>
    </row>
    <row r="3" spans="1:11" x14ac:dyDescent="0.25">
      <c r="A3" s="4" t="s">
        <v>11</v>
      </c>
      <c r="B3" s="17" t="s">
        <v>25</v>
      </c>
      <c r="C3" s="17" t="s">
        <v>25</v>
      </c>
      <c r="D3" s="17" t="s">
        <v>25</v>
      </c>
      <c r="E3" s="17" t="s">
        <v>25</v>
      </c>
      <c r="F3" s="17" t="s">
        <v>25</v>
      </c>
      <c r="G3" s="17" t="s">
        <v>25</v>
      </c>
      <c r="H3" s="17" t="s">
        <v>25</v>
      </c>
      <c r="I3" s="17" t="s">
        <v>25</v>
      </c>
      <c r="J3" s="17" t="s">
        <v>25</v>
      </c>
      <c r="K3" s="8" t="s">
        <v>25</v>
      </c>
    </row>
    <row r="4" spans="1:11" x14ac:dyDescent="0.25">
      <c r="A4" s="4"/>
      <c r="K4" s="6"/>
    </row>
    <row r="5" spans="1:11" x14ac:dyDescent="0.25">
      <c r="A5" s="4" t="s">
        <v>13</v>
      </c>
      <c r="K5" s="6"/>
    </row>
    <row r="6" spans="1:11" x14ac:dyDescent="0.25">
      <c r="A6" s="4" t="s">
        <v>14</v>
      </c>
      <c r="B6" t="str">
        <f>"-4.334"</f>
        <v>-4.334</v>
      </c>
      <c r="C6" t="str">
        <f>"-3.260"</f>
        <v>-3.260</v>
      </c>
      <c r="D6" t="str">
        <f>"-1.944"</f>
        <v>-1.944</v>
      </c>
      <c r="E6" t="str">
        <f>"-0.532"</f>
        <v>-0.532</v>
      </c>
      <c r="F6" t="str">
        <f>"0.157"</f>
        <v>0.157</v>
      </c>
      <c r="G6" t="str">
        <f>"0.965"</f>
        <v>0.965</v>
      </c>
      <c r="H6" t="str">
        <f>"1.593"</f>
        <v>1.593</v>
      </c>
      <c r="I6" t="str">
        <f>"3.201"</f>
        <v>3.201</v>
      </c>
      <c r="J6" t="str">
        <f>"3.605"</f>
        <v>3.605</v>
      </c>
      <c r="K6" s="6" t="str">
        <f>"5.145"</f>
        <v>5.145</v>
      </c>
    </row>
    <row r="7" spans="1:11" x14ac:dyDescent="0.25">
      <c r="A7" s="4"/>
      <c r="B7" t="str">
        <f>"(0.2758)"</f>
        <v>(0.2758)</v>
      </c>
      <c r="C7" t="str">
        <f>"(0.2908)"</f>
        <v>(0.2908)</v>
      </c>
      <c r="D7" t="str">
        <f>"(0.2697)"</f>
        <v>(0.2697)</v>
      </c>
      <c r="E7" t="str">
        <f>"(0.2810)"</f>
        <v>(0.2810)</v>
      </c>
      <c r="F7" t="str">
        <f>"(0.2812)"</f>
        <v>(0.2812)</v>
      </c>
      <c r="G7" t="str">
        <f>"(0.2864)"</f>
        <v>(0.2864)</v>
      </c>
      <c r="H7" t="str">
        <f>"(0.2810)"</f>
        <v>(0.2810)</v>
      </c>
      <c r="I7" t="str">
        <f>"(0.3081)"</f>
        <v>(0.3081)</v>
      </c>
      <c r="J7" t="str">
        <f>"(0.2802)"</f>
        <v>(0.2802)</v>
      </c>
      <c r="K7" s="6" t="str">
        <f>"(0.2708)"</f>
        <v>(0.2708)</v>
      </c>
    </row>
    <row r="8" spans="1:11" x14ac:dyDescent="0.25">
      <c r="A8" s="4" t="s">
        <v>15</v>
      </c>
      <c r="B8" t="str">
        <f t="shared" ref="B8:K8" si="0">"500"</f>
        <v>500</v>
      </c>
      <c r="C8" t="str">
        <f t="shared" si="0"/>
        <v>500</v>
      </c>
      <c r="D8" t="str">
        <f t="shared" si="0"/>
        <v>500</v>
      </c>
      <c r="E8" t="str">
        <f t="shared" si="0"/>
        <v>500</v>
      </c>
      <c r="F8" t="str">
        <f t="shared" si="0"/>
        <v>500</v>
      </c>
      <c r="G8" t="str">
        <f t="shared" si="0"/>
        <v>500</v>
      </c>
      <c r="H8" t="str">
        <f t="shared" si="0"/>
        <v>500</v>
      </c>
      <c r="I8" t="str">
        <f t="shared" si="0"/>
        <v>500</v>
      </c>
      <c r="J8" t="str">
        <f t="shared" si="0"/>
        <v>500</v>
      </c>
      <c r="K8" s="6" t="str">
        <f t="shared" si="0"/>
        <v>500</v>
      </c>
    </row>
    <row r="9" spans="1:11" x14ac:dyDescent="0.25">
      <c r="A9" s="4"/>
      <c r="K9" s="6"/>
    </row>
    <row r="10" spans="1:11" x14ac:dyDescent="0.25">
      <c r="A10" s="4" t="s">
        <v>16</v>
      </c>
      <c r="K10" s="6"/>
    </row>
    <row r="11" spans="1:11" x14ac:dyDescent="0.25">
      <c r="A11" s="4" t="s">
        <v>14</v>
      </c>
      <c r="B11" s="18">
        <v>-4.2974637189999996</v>
      </c>
      <c r="C11" s="18">
        <v>-2.8021655430000001</v>
      </c>
      <c r="D11" s="18">
        <v>-1.6170417459999999</v>
      </c>
      <c r="E11" s="18">
        <v>-0.51541131070000001</v>
      </c>
      <c r="F11" s="18">
        <v>0.14340321519999999</v>
      </c>
      <c r="G11" s="18">
        <v>1.0675363410000001</v>
      </c>
      <c r="H11" s="18">
        <v>1.8397655559999999</v>
      </c>
      <c r="I11" s="18">
        <v>3.3183255379999999</v>
      </c>
      <c r="J11" s="18">
        <v>3.22285281</v>
      </c>
      <c r="K11" s="10">
        <v>4.6930229289999996</v>
      </c>
    </row>
    <row r="12" spans="1:11" x14ac:dyDescent="0.25">
      <c r="A12" s="4"/>
      <c r="B12" s="19" t="str">
        <f>"(0.5676)"</f>
        <v>(0.5676)</v>
      </c>
      <c r="C12" s="19" t="str">
        <f>"(0.5644)"</f>
        <v>(0.5644)</v>
      </c>
      <c r="D12" s="19" t="str">
        <f>"(0.4184)"</f>
        <v>(0.4184)</v>
      </c>
      <c r="E12" s="19" t="str">
        <f>"(0.4091)"</f>
        <v>(0.4091)</v>
      </c>
      <c r="F12" s="19" t="str">
        <f>"(0.3940)"</f>
        <v>(0.3940)</v>
      </c>
      <c r="G12" s="19" t="str">
        <f>"(0.3903)"</f>
        <v>(0.3903)</v>
      </c>
      <c r="H12" s="19" t="str">
        <f>"(0.3936)"</f>
        <v>(0.3936)</v>
      </c>
      <c r="I12" s="19" t="str">
        <f>"(0.4596)"</f>
        <v>(0.4596)</v>
      </c>
      <c r="J12" s="19" t="str">
        <f>"(0.4196)"</f>
        <v>(0.4196)</v>
      </c>
      <c r="K12" s="12" t="str">
        <f>"(0.6719)"</f>
        <v>(0.6719)</v>
      </c>
    </row>
    <row r="13" spans="1:11" ht="15.75" thickBot="1" x14ac:dyDescent="0.3">
      <c r="A13" s="13" t="s">
        <v>15</v>
      </c>
      <c r="B13" s="14">
        <v>500</v>
      </c>
      <c r="C13" s="14">
        <v>500</v>
      </c>
      <c r="D13" s="14">
        <v>500</v>
      </c>
      <c r="E13" s="14">
        <v>500</v>
      </c>
      <c r="F13" s="14">
        <v>500</v>
      </c>
      <c r="G13" s="14">
        <v>500</v>
      </c>
      <c r="H13" s="14">
        <v>500</v>
      </c>
      <c r="I13" s="14">
        <v>500</v>
      </c>
      <c r="J13" s="14">
        <v>500</v>
      </c>
      <c r="K13" s="15">
        <v>500</v>
      </c>
    </row>
    <row r="14" spans="1:11" ht="15.75" thickBot="1" x14ac:dyDescent="0.3"/>
    <row r="15" spans="1:11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3" t="s">
        <v>9</v>
      </c>
    </row>
    <row r="16" spans="1:11" x14ac:dyDescent="0.25">
      <c r="A16" s="4" t="s">
        <v>10</v>
      </c>
      <c r="B16">
        <v>-4</v>
      </c>
      <c r="C16">
        <v>-4</v>
      </c>
      <c r="D16">
        <v>-2</v>
      </c>
      <c r="E16">
        <v>-2</v>
      </c>
      <c r="F16">
        <v>0</v>
      </c>
      <c r="G16">
        <v>0</v>
      </c>
      <c r="H16">
        <v>0</v>
      </c>
      <c r="I16">
        <v>3</v>
      </c>
      <c r="J16">
        <v>4</v>
      </c>
      <c r="K16" s="6">
        <v>5</v>
      </c>
    </row>
    <row r="17" spans="1:11" x14ac:dyDescent="0.25">
      <c r="A17" s="4" t="s">
        <v>11</v>
      </c>
      <c r="B17" s="17" t="s">
        <v>25</v>
      </c>
      <c r="C17" s="17" t="s">
        <v>25</v>
      </c>
      <c r="D17" s="17" t="s">
        <v>25</v>
      </c>
      <c r="E17" s="17" t="s">
        <v>25</v>
      </c>
      <c r="F17" s="17" t="s">
        <v>25</v>
      </c>
      <c r="G17" s="17" t="s">
        <v>25</v>
      </c>
      <c r="H17" s="17" t="s">
        <v>25</v>
      </c>
      <c r="I17" s="17" t="s">
        <v>25</v>
      </c>
      <c r="J17" s="17" t="s">
        <v>25</v>
      </c>
      <c r="K17" s="8" t="s">
        <v>25</v>
      </c>
    </row>
    <row r="18" spans="1:11" x14ac:dyDescent="0.25">
      <c r="A18" s="4"/>
      <c r="K18" s="6"/>
    </row>
    <row r="19" spans="1:11" x14ac:dyDescent="0.25">
      <c r="A19" s="4" t="s">
        <v>13</v>
      </c>
      <c r="K19" s="6"/>
    </row>
    <row r="20" spans="1:11" x14ac:dyDescent="0.25">
      <c r="A20" s="4" t="s">
        <v>14</v>
      </c>
      <c r="B20" t="str">
        <f>"-4.001"</f>
        <v>-4.001</v>
      </c>
      <c r="C20" t="str">
        <f>"-3.693"</f>
        <v>-3.693</v>
      </c>
      <c r="D20" t="str">
        <f>"-1.647"</f>
        <v>-1.647</v>
      </c>
      <c r="E20" t="str">
        <f>"-1.766"</f>
        <v>-1.766</v>
      </c>
      <c r="F20" t="str">
        <f>"-0.039"</f>
        <v>-0.039</v>
      </c>
      <c r="G20" t="str">
        <f>"0.271"</f>
        <v>0.271</v>
      </c>
      <c r="H20" t="str">
        <f>"0.122"</f>
        <v>0.122</v>
      </c>
      <c r="I20" t="str">
        <f>"2.836"</f>
        <v>2.836</v>
      </c>
      <c r="J20" t="str">
        <f>"4.573"</f>
        <v>4.573</v>
      </c>
      <c r="K20" s="6" t="str">
        <f>"4.344"</f>
        <v>4.344</v>
      </c>
    </row>
    <row r="21" spans="1:11" x14ac:dyDescent="0.25">
      <c r="A21" s="4"/>
      <c r="B21" t="str">
        <f>"(0.2823)"</f>
        <v>(0.2823)</v>
      </c>
      <c r="C21" t="str">
        <f>"(0.2826)"</f>
        <v>(0.2826)</v>
      </c>
      <c r="D21" t="str">
        <f>"(0.2731)"</f>
        <v>(0.2731)</v>
      </c>
      <c r="E21" t="str">
        <f>"(0.2886)"</f>
        <v>(0.2886)</v>
      </c>
      <c r="F21" t="str">
        <f>"(0.2640)"</f>
        <v>(0.2640)</v>
      </c>
      <c r="G21" t="str">
        <f>"(0.2872)"</f>
        <v>(0.2872)</v>
      </c>
      <c r="H21" t="str">
        <f>"(0.2872)"</f>
        <v>(0.2872)</v>
      </c>
      <c r="I21" t="str">
        <f>"(0.2689)"</f>
        <v>(0.2689)</v>
      </c>
      <c r="J21" t="str">
        <f>"(0.2771)"</f>
        <v>(0.2771)</v>
      </c>
      <c r="K21" s="6" t="str">
        <f>"(0.2848)"</f>
        <v>(0.2848)</v>
      </c>
    </row>
    <row r="22" spans="1:11" x14ac:dyDescent="0.25">
      <c r="A22" s="4" t="s">
        <v>15</v>
      </c>
      <c r="B22" t="str">
        <f t="shared" ref="B22:K22" si="1">"500"</f>
        <v>500</v>
      </c>
      <c r="C22" t="str">
        <f t="shared" si="1"/>
        <v>500</v>
      </c>
      <c r="D22" t="str">
        <f t="shared" si="1"/>
        <v>500</v>
      </c>
      <c r="E22" t="str">
        <f t="shared" si="1"/>
        <v>500</v>
      </c>
      <c r="F22" t="str">
        <f t="shared" si="1"/>
        <v>500</v>
      </c>
      <c r="G22" t="str">
        <f t="shared" si="1"/>
        <v>500</v>
      </c>
      <c r="H22" t="str">
        <f t="shared" si="1"/>
        <v>500</v>
      </c>
      <c r="I22" t="str">
        <f t="shared" si="1"/>
        <v>500</v>
      </c>
      <c r="J22" t="str">
        <f t="shared" si="1"/>
        <v>500</v>
      </c>
      <c r="K22" s="6" t="str">
        <f t="shared" si="1"/>
        <v>500</v>
      </c>
    </row>
    <row r="23" spans="1:11" x14ac:dyDescent="0.25">
      <c r="A23" s="4"/>
      <c r="K23" s="6"/>
    </row>
    <row r="24" spans="1:11" x14ac:dyDescent="0.25">
      <c r="A24" s="4" t="s">
        <v>16</v>
      </c>
      <c r="K24" s="6"/>
    </row>
    <row r="25" spans="1:11" x14ac:dyDescent="0.25">
      <c r="A25" s="4" t="s">
        <v>14</v>
      </c>
      <c r="B25" s="18">
        <v>-3.5881048039999999</v>
      </c>
      <c r="C25" s="18">
        <v>-3.4087952600000002</v>
      </c>
      <c r="D25" s="18">
        <v>-1.6883027049999999</v>
      </c>
      <c r="E25" s="18">
        <v>-1.8252787619999999</v>
      </c>
      <c r="F25" s="18">
        <v>0.27032378569999999</v>
      </c>
      <c r="G25" s="18">
        <v>0.52941442490000001</v>
      </c>
      <c r="H25" s="18">
        <v>0.28480833290000002</v>
      </c>
      <c r="I25" s="18">
        <v>2.816946969</v>
      </c>
      <c r="J25" s="18">
        <v>4.2330311370000002</v>
      </c>
      <c r="K25" s="10">
        <v>4.7481221869999999</v>
      </c>
    </row>
    <row r="26" spans="1:11" x14ac:dyDescent="0.25">
      <c r="A26" s="4"/>
      <c r="B26" s="19" t="str">
        <f>"(0.3755)"</f>
        <v>(0.3755)</v>
      </c>
      <c r="C26" s="19" t="str">
        <f>"(0.3892)"</f>
        <v>(0.3892)</v>
      </c>
      <c r="D26" s="19" t="str">
        <f>"(0.3750)"</f>
        <v>(0.3750)</v>
      </c>
      <c r="E26" s="19" t="str">
        <f>"(0.4011)"</f>
        <v>(0.4011)</v>
      </c>
      <c r="F26" s="19" t="str">
        <f>"(0.3217)"</f>
        <v>(0.3217)</v>
      </c>
      <c r="G26" s="19" t="str">
        <f>"(0.3667)"</f>
        <v>(0.3667)</v>
      </c>
      <c r="H26" s="19" t="str">
        <f>"(0.3391)"</f>
        <v>(0.3391)</v>
      </c>
      <c r="I26" s="19" t="str">
        <f>"(0.3753)"</f>
        <v>(0.3753)</v>
      </c>
      <c r="J26" s="19" t="str">
        <f>"(0.4193)"</f>
        <v>(0.4193)</v>
      </c>
      <c r="K26" s="12" t="str">
        <f>"(0.3900)"</f>
        <v>(0.3900)</v>
      </c>
    </row>
    <row r="27" spans="1:11" ht="15.75" thickBot="1" x14ac:dyDescent="0.3">
      <c r="A27" s="13" t="s">
        <v>15</v>
      </c>
      <c r="B27" s="14">
        <v>500</v>
      </c>
      <c r="C27" s="14">
        <v>500</v>
      </c>
      <c r="D27" s="14">
        <v>500</v>
      </c>
      <c r="E27" s="14">
        <v>500</v>
      </c>
      <c r="F27" s="14">
        <v>500</v>
      </c>
      <c r="G27" s="14">
        <v>500</v>
      </c>
      <c r="H27" s="14">
        <v>500</v>
      </c>
      <c r="I27" s="14">
        <v>500</v>
      </c>
      <c r="J27" s="14">
        <v>500</v>
      </c>
      <c r="K27" s="15">
        <v>500</v>
      </c>
    </row>
    <row r="28" spans="1:11" ht="15.75" thickBot="1" x14ac:dyDescent="0.3"/>
    <row r="29" spans="1:11" x14ac:dyDescent="0.25">
      <c r="A29" s="1" t="s">
        <v>154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3" t="s">
        <v>9</v>
      </c>
    </row>
    <row r="30" spans="1:11" x14ac:dyDescent="0.25">
      <c r="A30" s="4" t="s">
        <v>10</v>
      </c>
      <c r="B30">
        <v>-4</v>
      </c>
      <c r="C30">
        <v>-3</v>
      </c>
      <c r="D30">
        <v>-2</v>
      </c>
      <c r="E30">
        <v>-1</v>
      </c>
      <c r="F30">
        <v>0</v>
      </c>
      <c r="G30">
        <v>1</v>
      </c>
      <c r="H30">
        <v>2</v>
      </c>
      <c r="I30">
        <v>3</v>
      </c>
      <c r="J30">
        <v>4</v>
      </c>
      <c r="K30" s="6">
        <v>5</v>
      </c>
    </row>
    <row r="31" spans="1:11" x14ac:dyDescent="0.25">
      <c r="A31" s="4" t="s">
        <v>11</v>
      </c>
      <c r="B31" s="17" t="s">
        <v>25</v>
      </c>
      <c r="C31" s="17" t="s">
        <v>27</v>
      </c>
      <c r="D31" s="17" t="s">
        <v>28</v>
      </c>
      <c r="E31" s="17" t="s">
        <v>29</v>
      </c>
      <c r="F31" s="17" t="s">
        <v>30</v>
      </c>
      <c r="G31" s="17" t="s">
        <v>31</v>
      </c>
      <c r="H31" s="17" t="s">
        <v>32</v>
      </c>
      <c r="I31" s="17" t="s">
        <v>33</v>
      </c>
      <c r="J31" s="17" t="s">
        <v>34</v>
      </c>
      <c r="K31" s="8" t="s">
        <v>35</v>
      </c>
    </row>
    <row r="32" spans="1:11" x14ac:dyDescent="0.25">
      <c r="A32" s="4"/>
      <c r="K32" s="6"/>
    </row>
    <row r="33" spans="1:11" x14ac:dyDescent="0.25">
      <c r="A33" s="4" t="s">
        <v>13</v>
      </c>
      <c r="K33" s="6"/>
    </row>
    <row r="34" spans="1:11" x14ac:dyDescent="0.25">
      <c r="A34" s="4" t="s">
        <v>14</v>
      </c>
      <c r="B34" t="str">
        <f>"-3.711"</f>
        <v>-3.711</v>
      </c>
      <c r="C34" t="str">
        <f>"-2.727"</f>
        <v>-2.727</v>
      </c>
      <c r="D34" t="str">
        <f>"-2.137"</f>
        <v>-2.137</v>
      </c>
      <c r="E34" t="str">
        <f>"-0.356"</f>
        <v>-0.356</v>
      </c>
      <c r="F34" t="str">
        <f>"-0.372"</f>
        <v>-0.372</v>
      </c>
      <c r="G34" t="str">
        <f>"2.506"</f>
        <v>2.506</v>
      </c>
      <c r="H34" t="str">
        <f>"2.338"</f>
        <v>2.338</v>
      </c>
      <c r="I34" t="str">
        <f>"2.129"</f>
        <v>2.129</v>
      </c>
      <c r="J34" t="str">
        <f>"1.988"</f>
        <v>1.988</v>
      </c>
      <c r="K34" s="6" t="str">
        <f>"4.543"</f>
        <v>4.543</v>
      </c>
    </row>
    <row r="35" spans="1:11" x14ac:dyDescent="0.25">
      <c r="A35" s="4"/>
      <c r="B35" t="str">
        <f>"(0.2945)"</f>
        <v>(0.2945)</v>
      </c>
      <c r="C35" t="str">
        <f>"(0.4040)"</f>
        <v>(0.4040)</v>
      </c>
      <c r="D35" t="str">
        <f>"(0.4817)"</f>
        <v>(0.4817)</v>
      </c>
      <c r="E35" t="str">
        <f>"(0.5395)"</f>
        <v>(0.5395)</v>
      </c>
      <c r="F35" t="str">
        <f>"(0.6506)"</f>
        <v>(0.6506)</v>
      </c>
      <c r="G35" t="str">
        <f>"(0.7077)"</f>
        <v>(0.7077)</v>
      </c>
      <c r="H35" t="str">
        <f>"(0.7511)"</f>
        <v>(0.7511)</v>
      </c>
      <c r="I35" t="str">
        <f>"(0.8107)"</f>
        <v>(0.8107)</v>
      </c>
      <c r="J35" t="str">
        <f>"(0.8209)"</f>
        <v>(0.8209)</v>
      </c>
      <c r="K35" s="6" t="str">
        <f>"(0.8969)"</f>
        <v>(0.8969)</v>
      </c>
    </row>
    <row r="36" spans="1:11" x14ac:dyDescent="0.25">
      <c r="A36" s="4" t="s">
        <v>15</v>
      </c>
      <c r="B36" t="str">
        <f t="shared" ref="B36:K36" si="2">"500"</f>
        <v>500</v>
      </c>
      <c r="C36" t="str">
        <f t="shared" si="2"/>
        <v>500</v>
      </c>
      <c r="D36" t="str">
        <f t="shared" si="2"/>
        <v>500</v>
      </c>
      <c r="E36" t="str">
        <f t="shared" si="2"/>
        <v>500</v>
      </c>
      <c r="F36" t="str">
        <f t="shared" si="2"/>
        <v>500</v>
      </c>
      <c r="G36" t="str">
        <f t="shared" si="2"/>
        <v>500</v>
      </c>
      <c r="H36" t="str">
        <f t="shared" si="2"/>
        <v>500</v>
      </c>
      <c r="I36" t="str">
        <f t="shared" si="2"/>
        <v>500</v>
      </c>
      <c r="J36" t="str">
        <f t="shared" si="2"/>
        <v>500</v>
      </c>
      <c r="K36" s="6" t="str">
        <f t="shared" si="2"/>
        <v>500</v>
      </c>
    </row>
    <row r="37" spans="1:11" x14ac:dyDescent="0.25">
      <c r="A37" s="4"/>
      <c r="K37" s="6"/>
    </row>
    <row r="38" spans="1:11" x14ac:dyDescent="0.25">
      <c r="A38" s="4" t="s">
        <v>16</v>
      </c>
      <c r="K38" s="6"/>
    </row>
    <row r="39" spans="1:11" x14ac:dyDescent="0.25">
      <c r="A39" s="4" t="s">
        <v>14</v>
      </c>
      <c r="B39" s="18">
        <v>-3.642400211</v>
      </c>
      <c r="C39" s="18">
        <v>-3.197974817</v>
      </c>
      <c r="D39" s="18">
        <v>-2.3897724760000001</v>
      </c>
      <c r="E39" s="18">
        <v>-0.13988665459999999</v>
      </c>
      <c r="F39" s="18">
        <v>0.62292850280000001</v>
      </c>
      <c r="G39" s="18">
        <v>1.9749158309999999</v>
      </c>
      <c r="H39" s="18">
        <v>2.0422988530000001</v>
      </c>
      <c r="I39" s="18">
        <v>2.182034888</v>
      </c>
      <c r="J39" s="18">
        <v>1.705604146</v>
      </c>
      <c r="K39" s="10">
        <v>3.0646697839999999</v>
      </c>
    </row>
    <row r="40" spans="1:11" x14ac:dyDescent="0.25">
      <c r="A40" s="4"/>
      <c r="B40" s="19" t="str">
        <f>"(0.3793)"</f>
        <v>(0.3793)</v>
      </c>
      <c r="C40" s="19" t="str">
        <f>"(0.5202)"</f>
        <v>(0.5202)</v>
      </c>
      <c r="D40" s="19" t="str">
        <f>"(0.6527)"</f>
        <v>(0.6527)</v>
      </c>
      <c r="E40" s="19" t="str">
        <f>"(0.7301)"</f>
        <v>(0.7301)</v>
      </c>
      <c r="F40" s="19" t="str">
        <f>"(0.8382)"</f>
        <v>(0.8382)</v>
      </c>
      <c r="G40" s="19" t="str">
        <f>"(0.6478)"</f>
        <v>(0.6478)</v>
      </c>
      <c r="H40" s="19" t="str">
        <f>"(0.7324)"</f>
        <v>(0.7324)</v>
      </c>
      <c r="I40" s="19" t="str">
        <f>"(0.7448)"</f>
        <v>(0.7448)</v>
      </c>
      <c r="J40" s="19" t="str">
        <f>"(0.7966)"</f>
        <v>(0.7966)</v>
      </c>
      <c r="K40" s="12" t="str">
        <f>"(1.1660)"</f>
        <v>(1.1660)</v>
      </c>
    </row>
    <row r="41" spans="1:11" ht="15.75" thickBot="1" x14ac:dyDescent="0.3">
      <c r="A41" s="13" t="s">
        <v>15</v>
      </c>
      <c r="B41" s="14">
        <v>500</v>
      </c>
      <c r="C41" s="14">
        <v>500</v>
      </c>
      <c r="D41" s="14">
        <v>500</v>
      </c>
      <c r="E41" s="14">
        <v>500</v>
      </c>
      <c r="F41" s="14">
        <v>500</v>
      </c>
      <c r="G41" s="14">
        <v>500</v>
      </c>
      <c r="H41" s="14">
        <v>500</v>
      </c>
      <c r="I41" s="14">
        <v>500</v>
      </c>
      <c r="J41" s="14">
        <v>500</v>
      </c>
      <c r="K41" s="15">
        <v>500</v>
      </c>
    </row>
    <row r="42" spans="1:11" ht="15.75" thickBot="1" x14ac:dyDescent="0.3"/>
    <row r="43" spans="1:11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3" t="s">
        <v>9</v>
      </c>
    </row>
    <row r="44" spans="1:11" x14ac:dyDescent="0.25">
      <c r="A44" s="4" t="s">
        <v>10</v>
      </c>
      <c r="B44">
        <v>-4</v>
      </c>
      <c r="C44">
        <v>-4</v>
      </c>
      <c r="D44">
        <v>-2</v>
      </c>
      <c r="E44">
        <v>-2</v>
      </c>
      <c r="F44">
        <v>0</v>
      </c>
      <c r="G44">
        <v>0</v>
      </c>
      <c r="H44">
        <v>0</v>
      </c>
      <c r="I44">
        <v>3</v>
      </c>
      <c r="J44">
        <v>4</v>
      </c>
      <c r="K44" s="6">
        <v>5</v>
      </c>
    </row>
    <row r="45" spans="1:11" x14ac:dyDescent="0.25">
      <c r="A45" s="4" t="s">
        <v>11</v>
      </c>
      <c r="B45" s="17" t="s">
        <v>25</v>
      </c>
      <c r="C45" s="17" t="s">
        <v>27</v>
      </c>
      <c r="D45" s="17" t="s">
        <v>28</v>
      </c>
      <c r="E45" s="17" t="s">
        <v>29</v>
      </c>
      <c r="F45" s="17" t="s">
        <v>30</v>
      </c>
      <c r="G45" s="17" t="s">
        <v>31</v>
      </c>
      <c r="H45" s="17" t="s">
        <v>32</v>
      </c>
      <c r="I45" s="17" t="s">
        <v>33</v>
      </c>
      <c r="J45" s="17" t="s">
        <v>34</v>
      </c>
      <c r="K45" s="8" t="s">
        <v>35</v>
      </c>
    </row>
    <row r="46" spans="1:11" x14ac:dyDescent="0.25">
      <c r="A46" s="4"/>
      <c r="K46" s="6"/>
    </row>
    <row r="47" spans="1:11" x14ac:dyDescent="0.25">
      <c r="A47" s="4" t="s">
        <v>13</v>
      </c>
      <c r="K47" s="6"/>
    </row>
    <row r="48" spans="1:11" x14ac:dyDescent="0.25">
      <c r="A48" s="4" t="s">
        <v>14</v>
      </c>
      <c r="B48" t="str">
        <f>"-3.854"</f>
        <v>-3.854</v>
      </c>
      <c r="C48" t="str">
        <f>"-4.706"</f>
        <v>-4.706</v>
      </c>
      <c r="D48" t="str">
        <f>"-3.016"</f>
        <v>-3.016</v>
      </c>
      <c r="E48" t="str">
        <f>"-2.104"</f>
        <v>-2.104</v>
      </c>
      <c r="F48" t="str">
        <f>"0.445"</f>
        <v>0.445</v>
      </c>
      <c r="G48" t="str">
        <f>"-0.394"</f>
        <v>-0.394</v>
      </c>
      <c r="H48" t="str">
        <f>"0.272"</f>
        <v>0.272</v>
      </c>
      <c r="I48" t="str">
        <f>"3.212"</f>
        <v>3.212</v>
      </c>
      <c r="J48" t="str">
        <f>"3.611"</f>
        <v>3.611</v>
      </c>
      <c r="K48" s="6" t="str">
        <f>"4.060"</f>
        <v>4.060</v>
      </c>
    </row>
    <row r="49" spans="1:11" x14ac:dyDescent="0.25">
      <c r="A49" s="4"/>
      <c r="B49" t="str">
        <f>"(0.2776)"</f>
        <v>(0.2776)</v>
      </c>
      <c r="C49" t="str">
        <f>"(0.4060)"</f>
        <v>(0.4060)</v>
      </c>
      <c r="D49" t="str">
        <f>"(0.4990)"</f>
        <v>(0.4990)</v>
      </c>
      <c r="E49" t="str">
        <f>"(0.5607)"</f>
        <v>(0.5607)</v>
      </c>
      <c r="F49" t="str">
        <f>"(0.6321)"</f>
        <v>(0.6321)</v>
      </c>
      <c r="G49" t="str">
        <f>"(0.6966)"</f>
        <v>(0.6966)</v>
      </c>
      <c r="H49" t="str">
        <f>"(0.7815)"</f>
        <v>(0.7815)</v>
      </c>
      <c r="I49" t="str">
        <f>"(0.8209)"</f>
        <v>(0.8209)</v>
      </c>
      <c r="J49" t="str">
        <f>"(0.8121)"</f>
        <v>(0.8121)</v>
      </c>
      <c r="K49" s="6" t="str">
        <f>"(0.9105)"</f>
        <v>(0.9105)</v>
      </c>
    </row>
    <row r="50" spans="1:11" x14ac:dyDescent="0.25">
      <c r="A50" s="4" t="s">
        <v>15</v>
      </c>
      <c r="B50" t="str">
        <f t="shared" ref="B50:K50" si="3">"500"</f>
        <v>500</v>
      </c>
      <c r="C50" t="str">
        <f t="shared" si="3"/>
        <v>500</v>
      </c>
      <c r="D50" t="str">
        <f t="shared" si="3"/>
        <v>500</v>
      </c>
      <c r="E50" t="str">
        <f t="shared" si="3"/>
        <v>500</v>
      </c>
      <c r="F50" t="str">
        <f t="shared" si="3"/>
        <v>500</v>
      </c>
      <c r="G50" t="str">
        <f t="shared" si="3"/>
        <v>500</v>
      </c>
      <c r="H50" t="str">
        <f t="shared" si="3"/>
        <v>500</v>
      </c>
      <c r="I50" t="str">
        <f t="shared" si="3"/>
        <v>500</v>
      </c>
      <c r="J50" t="str">
        <f t="shared" si="3"/>
        <v>500</v>
      </c>
      <c r="K50" s="6" t="str">
        <f t="shared" si="3"/>
        <v>500</v>
      </c>
    </row>
    <row r="51" spans="1:11" x14ac:dyDescent="0.25">
      <c r="A51" s="4"/>
      <c r="K51" s="6"/>
    </row>
    <row r="52" spans="1:11" x14ac:dyDescent="0.25">
      <c r="A52" s="4" t="s">
        <v>16</v>
      </c>
      <c r="K52" s="6"/>
    </row>
    <row r="53" spans="1:11" x14ac:dyDescent="0.25">
      <c r="A53" s="4" t="s">
        <v>14</v>
      </c>
      <c r="B53" s="18">
        <v>-3.7964420059999999</v>
      </c>
      <c r="C53" s="18">
        <v>-4.5838490810000003</v>
      </c>
      <c r="D53" s="18">
        <v>-3.441490537</v>
      </c>
      <c r="E53" s="18">
        <v>-2.2387168630000001</v>
      </c>
      <c r="F53" s="18">
        <v>0.56929555269999998</v>
      </c>
      <c r="G53" s="18">
        <v>-0.66340193749999998</v>
      </c>
      <c r="H53" s="18">
        <v>0.29620283759999999</v>
      </c>
      <c r="I53" s="18">
        <v>3.7732485360000001</v>
      </c>
      <c r="J53" s="18">
        <v>3.9862715450000001</v>
      </c>
      <c r="K53" s="10">
        <v>5.7526226820000002</v>
      </c>
    </row>
    <row r="54" spans="1:11" x14ac:dyDescent="0.25">
      <c r="A54" s="4"/>
      <c r="B54" s="19" t="str">
        <f>"(0.3740)"</f>
        <v>(0.3740)</v>
      </c>
      <c r="C54" s="19" t="str">
        <f>"(0.5257)"</f>
        <v>(0.5257)</v>
      </c>
      <c r="D54" s="19" t="str">
        <f>"(0.5649)"</f>
        <v>(0.5649)</v>
      </c>
      <c r="E54" s="19" t="str">
        <f>"(0.7403)"</f>
        <v>(0.7403)</v>
      </c>
      <c r="F54" s="19" t="str">
        <f>"(0.7515)"</f>
        <v>(0.7515)</v>
      </c>
      <c r="G54" s="19" t="str">
        <f>"(0.8167)"</f>
        <v>(0.8167)</v>
      </c>
      <c r="H54" s="19" t="str">
        <f>"(0.8790)"</f>
        <v>(0.8790)</v>
      </c>
      <c r="I54" s="19" t="str">
        <f>"(1.1337)"</f>
        <v>(1.1337)</v>
      </c>
      <c r="J54" s="19" t="str">
        <f>"(1.1099)"</f>
        <v>(1.1099)</v>
      </c>
      <c r="K54" s="12" t="str">
        <f>"(1.2739)"</f>
        <v>(1.2739)</v>
      </c>
    </row>
    <row r="55" spans="1:11" ht="15.75" thickBot="1" x14ac:dyDescent="0.3">
      <c r="A55" s="13" t="s">
        <v>15</v>
      </c>
      <c r="B55" s="14">
        <v>500</v>
      </c>
      <c r="C55" s="14">
        <v>500</v>
      </c>
      <c r="D55" s="14">
        <v>500</v>
      </c>
      <c r="E55" s="14">
        <v>500</v>
      </c>
      <c r="F55" s="14">
        <v>500</v>
      </c>
      <c r="G55" s="14">
        <v>500</v>
      </c>
      <c r="H55" s="14">
        <v>500</v>
      </c>
      <c r="I55" s="14">
        <v>500</v>
      </c>
      <c r="J55" s="14">
        <v>500</v>
      </c>
      <c r="K55" s="15">
        <v>500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A81C-67B4-4D31-962A-0F629287BE80}">
  <dimension ref="A1:AF42"/>
  <sheetViews>
    <sheetView tabSelected="1" zoomScale="85" zoomScaleNormal="85" workbookViewId="0">
      <selection activeCell="M11" sqref="M11"/>
    </sheetView>
  </sheetViews>
  <sheetFormatPr defaultRowHeight="15" x14ac:dyDescent="0.25"/>
  <sheetData>
    <row r="1" spans="1:32" ht="15.75" thickBot="1" x14ac:dyDescent="0.3"/>
    <row r="2" spans="1:32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3" t="s">
        <v>62</v>
      </c>
    </row>
    <row r="3" spans="1:32" x14ac:dyDescent="0.25">
      <c r="A3" s="4" t="s">
        <v>10</v>
      </c>
      <c r="B3" s="5">
        <v>-30</v>
      </c>
      <c r="C3" s="5">
        <v>-30</v>
      </c>
      <c r="D3" s="5">
        <v>-30</v>
      </c>
      <c r="E3" s="5">
        <v>-30</v>
      </c>
      <c r="F3" s="5">
        <v>-30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6">
        <v>10</v>
      </c>
      <c r="W3" s="16">
        <v>10</v>
      </c>
      <c r="X3" s="16">
        <v>10</v>
      </c>
      <c r="Y3" s="16">
        <v>10</v>
      </c>
      <c r="Z3" s="16">
        <v>10</v>
      </c>
      <c r="AA3" s="16">
        <v>30</v>
      </c>
      <c r="AB3" s="16">
        <v>30</v>
      </c>
      <c r="AC3" s="16">
        <v>30</v>
      </c>
      <c r="AD3" s="16">
        <v>30</v>
      </c>
      <c r="AE3" s="6">
        <v>30</v>
      </c>
    </row>
    <row r="4" spans="1:32" x14ac:dyDescent="0.25">
      <c r="A4" s="4" t="s">
        <v>11</v>
      </c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8" t="s">
        <v>12</v>
      </c>
    </row>
    <row r="5" spans="1:32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2" x14ac:dyDescent="0.25">
      <c r="A6" s="4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</row>
    <row r="7" spans="1:32" x14ac:dyDescent="0.25">
      <c r="A7" s="4" t="s">
        <v>14</v>
      </c>
      <c r="B7" s="5" t="str">
        <f>"-30.039"</f>
        <v>-30.039</v>
      </c>
      <c r="C7" s="5" t="str">
        <f>"-29.973"</f>
        <v>-29.973</v>
      </c>
      <c r="D7" s="5" t="str">
        <f>"-30.105"</f>
        <v>-30.105</v>
      </c>
      <c r="E7" s="5" t="str">
        <f>"-29.959"</f>
        <v>-29.959</v>
      </c>
      <c r="F7" s="5" t="str">
        <f>"-29.932"</f>
        <v>-29.932</v>
      </c>
      <c r="G7" s="5" t="str">
        <f>"0.129"</f>
        <v>0.129</v>
      </c>
      <c r="H7" s="5" t="str">
        <f>"0.065"</f>
        <v>0.065</v>
      </c>
      <c r="I7" s="5" t="str">
        <f>"-0.070"</f>
        <v>-0.070</v>
      </c>
      <c r="J7" s="5" t="str">
        <f>"0.076"</f>
        <v>0.076</v>
      </c>
      <c r="K7" s="5" t="str">
        <f>"-0.209"</f>
        <v>-0.209</v>
      </c>
      <c r="L7" s="5" t="str">
        <f>"0.108"</f>
        <v>0.108</v>
      </c>
      <c r="M7" s="5" t="str">
        <f>"-0.218"</f>
        <v>-0.218</v>
      </c>
      <c r="N7" s="5" t="str">
        <f>"0.091"</f>
        <v>0.091</v>
      </c>
      <c r="O7" s="5" t="str">
        <f>"0.142"</f>
        <v>0.142</v>
      </c>
      <c r="P7" s="5" t="str">
        <f>"-0.103"</f>
        <v>-0.103</v>
      </c>
      <c r="Q7" s="5" t="str">
        <f>"0.296"</f>
        <v>0.296</v>
      </c>
      <c r="R7" s="5" t="str">
        <f>"0.228"</f>
        <v>0.228</v>
      </c>
      <c r="S7" s="5" t="str">
        <f>"0.009"</f>
        <v>0.009</v>
      </c>
      <c r="T7" s="5" t="str">
        <f>"0.107"</f>
        <v>0.107</v>
      </c>
      <c r="U7" s="5" t="str">
        <f>"0.011"</f>
        <v>0.011</v>
      </c>
      <c r="V7" s="5" t="str">
        <f>"9.945"</f>
        <v>9.945</v>
      </c>
      <c r="W7" s="5" t="str">
        <f>"10.052"</f>
        <v>10.052</v>
      </c>
      <c r="X7" s="5" t="str">
        <f>"9.900"</f>
        <v>9.900</v>
      </c>
      <c r="Y7" s="5" t="str">
        <f>"9.930"</f>
        <v>9.930</v>
      </c>
      <c r="Z7" s="5" t="str">
        <f>"9.889"</f>
        <v>9.889</v>
      </c>
      <c r="AA7" s="5" t="str">
        <f>"29.937"</f>
        <v>29.937</v>
      </c>
      <c r="AB7" s="5" t="str">
        <f>"30.055"</f>
        <v>30.055</v>
      </c>
      <c r="AC7" s="5" t="str">
        <f>"30.006"</f>
        <v>30.006</v>
      </c>
      <c r="AD7" s="5" t="str">
        <f>"29.988"</f>
        <v>29.988</v>
      </c>
      <c r="AE7" s="6" t="str">
        <f>"29.966"</f>
        <v>29.966</v>
      </c>
    </row>
    <row r="8" spans="1:32" x14ac:dyDescent="0.25">
      <c r="A8" s="4"/>
      <c r="B8" s="5" t="str">
        <f>"(0.1454)"</f>
        <v>(0.1454)</v>
      </c>
      <c r="C8" s="5" t="str">
        <f>"(0.1325)"</f>
        <v>(0.1325)</v>
      </c>
      <c r="D8" s="5" t="str">
        <f>"(0.1396)"</f>
        <v>(0.1396)</v>
      </c>
      <c r="E8" s="5" t="str">
        <f>"(0.1490)"</f>
        <v>(0.1490)</v>
      </c>
      <c r="F8" s="5" t="str">
        <f>"(0.1447)"</f>
        <v>(0.1447)</v>
      </c>
      <c r="G8" s="5" t="str">
        <f>"(0.1445)"</f>
        <v>(0.1445)</v>
      </c>
      <c r="H8" s="5" t="str">
        <f>"(0.1259)"</f>
        <v>(0.1259)</v>
      </c>
      <c r="I8" s="5" t="str">
        <f>"(0.1325)"</f>
        <v>(0.1325)</v>
      </c>
      <c r="J8" s="5" t="str">
        <f>"(0.1410)"</f>
        <v>(0.1410)</v>
      </c>
      <c r="K8" s="5" t="str">
        <f>"(0.1457)"</f>
        <v>(0.1457)</v>
      </c>
      <c r="L8" s="5" t="str">
        <f>"(0.1423)"</f>
        <v>(0.1423)</v>
      </c>
      <c r="M8" s="5" t="str">
        <f>"(0.1442)"</f>
        <v>(0.1442)</v>
      </c>
      <c r="N8" s="5" t="str">
        <f>"(0.1339)"</f>
        <v>(0.1339)</v>
      </c>
      <c r="O8" s="5" t="str">
        <f>"(0.1470)"</f>
        <v>(0.1470)</v>
      </c>
      <c r="P8" s="5" t="str">
        <f>"(0.1429)"</f>
        <v>(0.1429)</v>
      </c>
      <c r="Q8" s="5" t="str">
        <f>"(0.1390)"</f>
        <v>(0.1390)</v>
      </c>
      <c r="R8" s="5" t="str">
        <f>"(0.1451)"</f>
        <v>(0.1451)</v>
      </c>
      <c r="S8" s="5" t="str">
        <f>"(0.1413)"</f>
        <v>(0.1413)</v>
      </c>
      <c r="T8" s="5" t="str">
        <f>"(0.1547)"</f>
        <v>(0.1547)</v>
      </c>
      <c r="U8" s="5" t="str">
        <f>"(0.1558)"</f>
        <v>(0.1558)</v>
      </c>
      <c r="V8" s="5" t="str">
        <f>"(0.1363)"</f>
        <v>(0.1363)</v>
      </c>
      <c r="W8" s="5" t="str">
        <f>"(0.1373)"</f>
        <v>(0.1373)</v>
      </c>
      <c r="X8" s="5" t="str">
        <f>"(0.1361)"</f>
        <v>(0.1361)</v>
      </c>
      <c r="Y8" s="5" t="str">
        <f>"(0.1400)"</f>
        <v>(0.1400)</v>
      </c>
      <c r="Z8" s="5" t="str">
        <f>"(0.1400)"</f>
        <v>(0.1400)</v>
      </c>
      <c r="AA8" s="5" t="str">
        <f>"(0.1360)"</f>
        <v>(0.1360)</v>
      </c>
      <c r="AB8" s="5" t="str">
        <f>"(0.1482)"</f>
        <v>(0.1482)</v>
      </c>
      <c r="AC8" s="5" t="str">
        <f>"(0.1418)"</f>
        <v>(0.1418)</v>
      </c>
      <c r="AD8" s="5" t="str">
        <f>"(0.1407)"</f>
        <v>(0.1407)</v>
      </c>
      <c r="AE8" s="6" t="str">
        <f>"(0.1415)"</f>
        <v>(0.1415)</v>
      </c>
    </row>
    <row r="9" spans="1:32" x14ac:dyDescent="0.25">
      <c r="A9" s="4" t="s">
        <v>15</v>
      </c>
      <c r="B9" s="5" t="str">
        <f t="shared" ref="B9:AE9" si="0">"200"</f>
        <v>200</v>
      </c>
      <c r="C9" s="5" t="str">
        <f t="shared" si="0"/>
        <v>200</v>
      </c>
      <c r="D9" s="5" t="str">
        <f t="shared" si="0"/>
        <v>200</v>
      </c>
      <c r="E9" s="5" t="str">
        <f t="shared" si="0"/>
        <v>200</v>
      </c>
      <c r="F9" s="5" t="str">
        <f t="shared" si="0"/>
        <v>200</v>
      </c>
      <c r="G9" s="5" t="str">
        <f t="shared" si="0"/>
        <v>200</v>
      </c>
      <c r="H9" s="5" t="str">
        <f t="shared" si="0"/>
        <v>200</v>
      </c>
      <c r="I9" s="5" t="str">
        <f t="shared" si="0"/>
        <v>200</v>
      </c>
      <c r="J9" s="5" t="str">
        <f t="shared" si="0"/>
        <v>200</v>
      </c>
      <c r="K9" s="5" t="str">
        <f t="shared" si="0"/>
        <v>200</v>
      </c>
      <c r="L9" s="5" t="str">
        <f t="shared" si="0"/>
        <v>200</v>
      </c>
      <c r="M9" s="5" t="str">
        <f t="shared" si="0"/>
        <v>200</v>
      </c>
      <c r="N9" s="5" t="str">
        <f t="shared" si="0"/>
        <v>200</v>
      </c>
      <c r="O9" s="5" t="str">
        <f t="shared" si="0"/>
        <v>200</v>
      </c>
      <c r="P9" s="5" t="str">
        <f t="shared" si="0"/>
        <v>200</v>
      </c>
      <c r="Q9" s="5" t="str">
        <f t="shared" si="0"/>
        <v>200</v>
      </c>
      <c r="R9" s="5" t="str">
        <f t="shared" si="0"/>
        <v>200</v>
      </c>
      <c r="S9" s="5" t="str">
        <f t="shared" si="0"/>
        <v>200</v>
      </c>
      <c r="T9" s="5" t="str">
        <f t="shared" si="0"/>
        <v>200</v>
      </c>
      <c r="U9" s="5" t="str">
        <f t="shared" si="0"/>
        <v>200</v>
      </c>
      <c r="V9" s="5" t="str">
        <f t="shared" si="0"/>
        <v>200</v>
      </c>
      <c r="W9" s="5" t="str">
        <f t="shared" si="0"/>
        <v>200</v>
      </c>
      <c r="X9" s="5" t="str">
        <f t="shared" si="0"/>
        <v>200</v>
      </c>
      <c r="Y9" s="5" t="str">
        <f t="shared" si="0"/>
        <v>200</v>
      </c>
      <c r="Z9" s="5" t="str">
        <f t="shared" si="0"/>
        <v>200</v>
      </c>
      <c r="AA9" s="5" t="str">
        <f t="shared" si="0"/>
        <v>200</v>
      </c>
      <c r="AB9" s="5" t="str">
        <f t="shared" si="0"/>
        <v>200</v>
      </c>
      <c r="AC9" s="5" t="str">
        <f t="shared" si="0"/>
        <v>200</v>
      </c>
      <c r="AD9" s="5" t="str">
        <f t="shared" si="0"/>
        <v>200</v>
      </c>
      <c r="AE9" s="6" t="str">
        <f t="shared" si="0"/>
        <v>200</v>
      </c>
    </row>
    <row r="10" spans="1:32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</row>
    <row r="11" spans="1:32" x14ac:dyDescent="0.25">
      <c r="A11" s="4" t="s">
        <v>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2" x14ac:dyDescent="0.25">
      <c r="A12" s="4" t="s">
        <v>14</v>
      </c>
      <c r="B12" s="20">
        <v>-30.036487139999998</v>
      </c>
      <c r="C12" s="20">
        <v>-30.086914849999999</v>
      </c>
      <c r="D12" s="20">
        <v>-30.180848739999998</v>
      </c>
      <c r="E12" s="20">
        <v>-30.08824173</v>
      </c>
      <c r="F12" s="20">
        <v>-29.86808546</v>
      </c>
      <c r="G12" s="20">
        <v>5.39294669E-2</v>
      </c>
      <c r="H12" s="20">
        <v>5.39294669E-2</v>
      </c>
      <c r="I12" s="20">
        <v>5.39294669E-2</v>
      </c>
      <c r="J12" s="20">
        <v>5.39294669E-2</v>
      </c>
      <c r="K12" s="20">
        <v>5.39294669E-2</v>
      </c>
      <c r="L12" s="9">
        <v>5.39294669E-2</v>
      </c>
      <c r="M12" s="9">
        <v>5.39294669E-2</v>
      </c>
      <c r="N12" s="9">
        <v>5.39294669E-2</v>
      </c>
      <c r="O12" s="9">
        <v>5.39294669E-2</v>
      </c>
      <c r="P12" s="9">
        <v>5.39294669E-2</v>
      </c>
      <c r="Q12" s="9">
        <v>5.39294669E-2</v>
      </c>
      <c r="R12" s="9">
        <v>5.39294669E-2</v>
      </c>
      <c r="S12" s="9">
        <v>5.39294669E-2</v>
      </c>
      <c r="T12" s="9">
        <v>5.39294669E-2</v>
      </c>
      <c r="U12" s="9">
        <v>5.39294669E-2</v>
      </c>
      <c r="V12" s="9">
        <v>9.8173168109999995</v>
      </c>
      <c r="W12" s="9">
        <v>9.8738224750000008</v>
      </c>
      <c r="X12" s="9">
        <v>9.8765719460000003</v>
      </c>
      <c r="Y12" s="9">
        <v>9.940105054</v>
      </c>
      <c r="Z12" s="9">
        <v>9.8155870329999999</v>
      </c>
      <c r="AA12" s="9">
        <v>29.825377320000001</v>
      </c>
      <c r="AB12" s="9">
        <v>30.25922104</v>
      </c>
      <c r="AC12" s="9">
        <v>30.321477689999998</v>
      </c>
      <c r="AD12" s="9">
        <v>29.73620876</v>
      </c>
      <c r="AE12" s="10">
        <v>29.816625420000001</v>
      </c>
      <c r="AF12" t="s">
        <v>63</v>
      </c>
    </row>
    <row r="13" spans="1:32" x14ac:dyDescent="0.25">
      <c r="A13" s="4"/>
      <c r="B13" s="5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5" t="s">
        <v>73</v>
      </c>
      <c r="J13" s="5" t="s">
        <v>74</v>
      </c>
      <c r="K13" s="11" t="s">
        <v>75</v>
      </c>
      <c r="L13" s="11" t="s">
        <v>75</v>
      </c>
      <c r="M13" s="11" t="s">
        <v>76</v>
      </c>
      <c r="N13" s="11" t="s">
        <v>77</v>
      </c>
      <c r="O13" s="11" t="s">
        <v>73</v>
      </c>
      <c r="P13" s="11" t="s">
        <v>78</v>
      </c>
      <c r="Q13" s="11" t="s">
        <v>79</v>
      </c>
      <c r="R13" s="11" t="s">
        <v>80</v>
      </c>
      <c r="S13" s="11" t="s">
        <v>81</v>
      </c>
      <c r="T13" s="11" t="s">
        <v>82</v>
      </c>
      <c r="U13" s="11" t="s">
        <v>83</v>
      </c>
      <c r="V13" s="11" t="s">
        <v>84</v>
      </c>
      <c r="W13" s="11" t="s">
        <v>85</v>
      </c>
      <c r="X13" s="11" t="s">
        <v>86</v>
      </c>
      <c r="Y13" s="11" t="s">
        <v>87</v>
      </c>
      <c r="Z13" s="11" t="s">
        <v>88</v>
      </c>
      <c r="AA13" s="11" t="s">
        <v>89</v>
      </c>
      <c r="AB13" s="11" t="s">
        <v>90</v>
      </c>
      <c r="AC13" s="11" t="s">
        <v>91</v>
      </c>
      <c r="AD13" s="11" t="s">
        <v>92</v>
      </c>
      <c r="AE13" s="12" t="s">
        <v>93</v>
      </c>
    </row>
    <row r="14" spans="1:32" ht="15.75" thickBot="1" x14ac:dyDescent="0.3">
      <c r="A14" s="13" t="s">
        <v>15</v>
      </c>
      <c r="B14" s="14" t="str">
        <f t="shared" ref="B14:AE14" si="1">"200"</f>
        <v>200</v>
      </c>
      <c r="C14" s="14" t="str">
        <f t="shared" si="1"/>
        <v>200</v>
      </c>
      <c r="D14" s="14" t="str">
        <f t="shared" si="1"/>
        <v>200</v>
      </c>
      <c r="E14" s="14" t="str">
        <f t="shared" si="1"/>
        <v>200</v>
      </c>
      <c r="F14" s="14" t="str">
        <f t="shared" si="1"/>
        <v>200</v>
      </c>
      <c r="G14" s="14" t="str">
        <f t="shared" si="1"/>
        <v>200</v>
      </c>
      <c r="H14" s="14" t="str">
        <f t="shared" si="1"/>
        <v>200</v>
      </c>
      <c r="I14" s="14" t="str">
        <f t="shared" si="1"/>
        <v>200</v>
      </c>
      <c r="J14" s="14" t="str">
        <f t="shared" si="1"/>
        <v>200</v>
      </c>
      <c r="K14" s="14" t="str">
        <f t="shared" si="1"/>
        <v>200</v>
      </c>
      <c r="L14" s="14" t="str">
        <f t="shared" si="1"/>
        <v>200</v>
      </c>
      <c r="M14" s="14" t="str">
        <f t="shared" si="1"/>
        <v>200</v>
      </c>
      <c r="N14" s="14" t="str">
        <f t="shared" si="1"/>
        <v>200</v>
      </c>
      <c r="O14" s="14" t="str">
        <f t="shared" si="1"/>
        <v>200</v>
      </c>
      <c r="P14" s="14" t="str">
        <f t="shared" si="1"/>
        <v>200</v>
      </c>
      <c r="Q14" s="14" t="str">
        <f t="shared" si="1"/>
        <v>200</v>
      </c>
      <c r="R14" s="14" t="str">
        <f t="shared" si="1"/>
        <v>200</v>
      </c>
      <c r="S14" s="14" t="str">
        <f t="shared" si="1"/>
        <v>200</v>
      </c>
      <c r="T14" s="14" t="str">
        <f t="shared" si="1"/>
        <v>200</v>
      </c>
      <c r="U14" s="14" t="str">
        <f t="shared" si="1"/>
        <v>200</v>
      </c>
      <c r="V14" s="14" t="str">
        <f t="shared" si="1"/>
        <v>200</v>
      </c>
      <c r="W14" s="14" t="str">
        <f t="shared" si="1"/>
        <v>200</v>
      </c>
      <c r="X14" s="14" t="str">
        <f t="shared" si="1"/>
        <v>200</v>
      </c>
      <c r="Y14" s="14" t="str">
        <f t="shared" si="1"/>
        <v>200</v>
      </c>
      <c r="Z14" s="14" t="str">
        <f t="shared" si="1"/>
        <v>200</v>
      </c>
      <c r="AA14" s="14" t="str">
        <f t="shared" si="1"/>
        <v>200</v>
      </c>
      <c r="AB14" s="14" t="str">
        <f t="shared" si="1"/>
        <v>200</v>
      </c>
      <c r="AC14" s="14" t="str">
        <f t="shared" si="1"/>
        <v>200</v>
      </c>
      <c r="AD14" s="14" t="str">
        <f t="shared" si="1"/>
        <v>200</v>
      </c>
      <c r="AE14" s="15" t="str">
        <f t="shared" si="1"/>
        <v>200</v>
      </c>
    </row>
    <row r="15" spans="1:32" ht="15.75" thickBot="1" x14ac:dyDescent="0.3"/>
    <row r="16" spans="1:32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58</v>
      </c>
      <c r="AB16" s="2" t="s">
        <v>59</v>
      </c>
      <c r="AC16" s="2" t="s">
        <v>60</v>
      </c>
      <c r="AD16" s="2" t="s">
        <v>61</v>
      </c>
      <c r="AE16" s="3" t="s">
        <v>62</v>
      </c>
    </row>
    <row r="17" spans="1:32" x14ac:dyDescent="0.25">
      <c r="A17" s="4" t="s">
        <v>10</v>
      </c>
      <c r="B17" s="5">
        <v>-30</v>
      </c>
      <c r="C17" s="5">
        <v>-30</v>
      </c>
      <c r="D17" s="5">
        <v>-30</v>
      </c>
      <c r="E17" s="5">
        <v>-30</v>
      </c>
      <c r="F17" s="5">
        <v>-30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16">
        <v>10</v>
      </c>
      <c r="W17" s="16">
        <v>10</v>
      </c>
      <c r="X17" s="16">
        <v>10</v>
      </c>
      <c r="Y17" s="16">
        <v>10</v>
      </c>
      <c r="Z17" s="16">
        <v>10</v>
      </c>
      <c r="AA17" s="16">
        <v>30</v>
      </c>
      <c r="AB17" s="16">
        <v>30</v>
      </c>
      <c r="AC17" s="16">
        <v>30</v>
      </c>
      <c r="AD17" s="16">
        <v>30</v>
      </c>
      <c r="AE17" s="6">
        <v>30</v>
      </c>
    </row>
    <row r="18" spans="1:32" x14ac:dyDescent="0.25">
      <c r="A18" s="4" t="s">
        <v>11</v>
      </c>
      <c r="B18" s="7" t="s">
        <v>25</v>
      </c>
      <c r="C18" s="7" t="s">
        <v>25</v>
      </c>
      <c r="D18" s="7" t="s">
        <v>25</v>
      </c>
      <c r="E18" s="7" t="s">
        <v>25</v>
      </c>
      <c r="F18" s="7" t="s">
        <v>25</v>
      </c>
      <c r="G18" s="7" t="s">
        <v>25</v>
      </c>
      <c r="H18" s="7" t="s">
        <v>25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25</v>
      </c>
      <c r="U18" s="7" t="s">
        <v>25</v>
      </c>
      <c r="V18" s="7" t="s">
        <v>25</v>
      </c>
      <c r="W18" s="7" t="s">
        <v>25</v>
      </c>
      <c r="X18" s="7" t="s">
        <v>25</v>
      </c>
      <c r="Y18" s="7" t="s">
        <v>25</v>
      </c>
      <c r="Z18" s="7" t="s">
        <v>25</v>
      </c>
      <c r="AA18" s="7" t="s">
        <v>25</v>
      </c>
      <c r="AB18" s="7" t="s">
        <v>25</v>
      </c>
      <c r="AC18" s="7" t="s">
        <v>25</v>
      </c>
      <c r="AD18" s="7" t="s">
        <v>25</v>
      </c>
      <c r="AE18" s="8" t="s">
        <v>25</v>
      </c>
    </row>
    <row r="19" spans="1:32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1:32" x14ac:dyDescent="0.25">
      <c r="A20" s="4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2" x14ac:dyDescent="0.25">
      <c r="A21" s="4" t="s">
        <v>14</v>
      </c>
      <c r="B21" s="5" t="str">
        <f>"-30.124"</f>
        <v>-30.124</v>
      </c>
      <c r="C21" s="5" t="str">
        <f>"-29.916"</f>
        <v>-29.916</v>
      </c>
      <c r="D21" s="5" t="str">
        <f>"-30.331"</f>
        <v>-30.331</v>
      </c>
      <c r="E21" s="5" t="str">
        <f>"-29.869"</f>
        <v>-29.869</v>
      </c>
      <c r="F21" s="5" t="str">
        <f>"-29.785"</f>
        <v>-29.785</v>
      </c>
      <c r="G21" s="5" t="str">
        <f>"0.409"</f>
        <v>0.409</v>
      </c>
      <c r="H21" s="5" t="str">
        <f>"0.205"</f>
        <v>0.205</v>
      </c>
      <c r="I21" s="5" t="str">
        <f>"-0.220"</f>
        <v>-0.220</v>
      </c>
      <c r="J21" s="5" t="str">
        <f>"0.242"</f>
        <v>0.242</v>
      </c>
      <c r="K21" s="5" t="str">
        <f>"-0.661"</f>
        <v>-0.661</v>
      </c>
      <c r="L21" s="5" t="str">
        <f>"0.341"</f>
        <v>0.341</v>
      </c>
      <c r="M21" s="5" t="str">
        <f>"-0.689"</f>
        <v>-0.689</v>
      </c>
      <c r="N21" s="5" t="str">
        <f>"0.288"</f>
        <v>0.288</v>
      </c>
      <c r="O21" s="5" t="str">
        <f>"0.449"</f>
        <v>0.449</v>
      </c>
      <c r="P21" s="5" t="str">
        <f>"-0.326"</f>
        <v>-0.326</v>
      </c>
      <c r="Q21" s="5" t="str">
        <f>"0.937"</f>
        <v>0.937</v>
      </c>
      <c r="R21" s="5" t="str">
        <f>"0.720"</f>
        <v>0.720</v>
      </c>
      <c r="S21" s="5" t="str">
        <f>"0.029"</f>
        <v>0.029</v>
      </c>
      <c r="T21" s="5" t="str">
        <f>"0.339"</f>
        <v>0.339</v>
      </c>
      <c r="U21" s="5" t="str">
        <f>"0.036"</f>
        <v>0.036</v>
      </c>
      <c r="V21" s="5" t="str">
        <f>"9.826"</f>
        <v>9.826</v>
      </c>
      <c r="W21" s="5" t="str">
        <f>"10.165"</f>
        <v>10.165</v>
      </c>
      <c r="X21" s="5" t="str">
        <f>"9.684"</f>
        <v>9.684</v>
      </c>
      <c r="Y21" s="5" t="str">
        <f>"9.778"</f>
        <v>9.778</v>
      </c>
      <c r="Z21" s="5" t="str">
        <f>"9.648"</f>
        <v>9.648</v>
      </c>
      <c r="AA21" s="5" t="str">
        <f>"29.801"</f>
        <v>29.801</v>
      </c>
      <c r="AB21" s="5" t="str">
        <f>"30.174"</f>
        <v>30.174</v>
      </c>
      <c r="AC21" s="5" t="str">
        <f>"30.018"</f>
        <v>30.018</v>
      </c>
      <c r="AD21" s="5" t="str">
        <f>"29.963"</f>
        <v>29.963</v>
      </c>
      <c r="AE21" s="6" t="str">
        <f>"29.891"</f>
        <v>29.891</v>
      </c>
    </row>
    <row r="22" spans="1:32" x14ac:dyDescent="0.25">
      <c r="A22" s="4"/>
      <c r="B22" s="5" t="str">
        <f>"(0.4597)"</f>
        <v>(0.4597)</v>
      </c>
      <c r="C22" s="5" t="str">
        <f>"(0.4191)"</f>
        <v>(0.4191)</v>
      </c>
      <c r="D22" s="5" t="str">
        <f>"(0.4416)"</f>
        <v>(0.4416)</v>
      </c>
      <c r="E22" s="5" t="str">
        <f>"(0.4711)"</f>
        <v>(0.4711)</v>
      </c>
      <c r="F22" s="5" t="str">
        <f>"(0.4577)"</f>
        <v>(0.4577)</v>
      </c>
      <c r="G22" s="5" t="str">
        <f>"(0.4571)"</f>
        <v>(0.4571)</v>
      </c>
      <c r="H22" s="5" t="str">
        <f>"(0.3982)"</f>
        <v>(0.3982)</v>
      </c>
      <c r="I22" s="5" t="str">
        <f>"(0.4191)"</f>
        <v>(0.4191)</v>
      </c>
      <c r="J22" s="5" t="str">
        <f>"(0.4458)"</f>
        <v>(0.4458)</v>
      </c>
      <c r="K22" s="5" t="str">
        <f>"(0.4608)"</f>
        <v>(0.4608)</v>
      </c>
      <c r="L22" s="5" t="str">
        <f>"(0.4501)"</f>
        <v>(0.4501)</v>
      </c>
      <c r="M22" s="5" t="str">
        <f>"(0.4560)"</f>
        <v>(0.4560)</v>
      </c>
      <c r="N22" s="5" t="str">
        <f>"(0.4236)"</f>
        <v>(0.4236)</v>
      </c>
      <c r="O22" s="5" t="str">
        <f>"(0.4649)"</f>
        <v>(0.4649)</v>
      </c>
      <c r="P22" s="5" t="str">
        <f>"(0.4519)"</f>
        <v>(0.4519)</v>
      </c>
      <c r="Q22" s="5" t="str">
        <f>"(0.4395)"</f>
        <v>(0.4395)</v>
      </c>
      <c r="R22" s="5" t="str">
        <f>"(0.4589)"</f>
        <v>(0.4589)</v>
      </c>
      <c r="S22" s="5" t="str">
        <f>"(0.4468)"</f>
        <v>(0.4468)</v>
      </c>
      <c r="T22" s="5" t="str">
        <f>"(0.4894)"</f>
        <v>(0.4894)</v>
      </c>
      <c r="U22" s="5" t="str">
        <f>"(0.4926)"</f>
        <v>(0.4926)</v>
      </c>
      <c r="V22" s="5" t="str">
        <f>"(0.4311)"</f>
        <v>(0.4311)</v>
      </c>
      <c r="W22" s="5" t="str">
        <f>"(0.4341)"</f>
        <v>(0.4341)</v>
      </c>
      <c r="X22" s="5" t="str">
        <f>"(0.4305)"</f>
        <v>(0.4305)</v>
      </c>
      <c r="Y22" s="5" t="str">
        <f>"(0.4426)"</f>
        <v>(0.4426)</v>
      </c>
      <c r="Z22" s="5" t="str">
        <f>"(0.4428)"</f>
        <v>(0.4428)</v>
      </c>
      <c r="AA22" s="5" t="str">
        <f>"(0.4300)"</f>
        <v>(0.4300)</v>
      </c>
      <c r="AB22" s="5" t="str">
        <f>"(0.4687)"</f>
        <v>(0.4687)</v>
      </c>
      <c r="AC22" s="5" t="str">
        <f>"(0.4484)"</f>
        <v>(0.4484)</v>
      </c>
      <c r="AD22" s="5" t="str">
        <f>"(0.4450)"</f>
        <v>(0.4450)</v>
      </c>
      <c r="AE22" s="6" t="str">
        <f>"(0.4476)"</f>
        <v>(0.4476)</v>
      </c>
    </row>
    <row r="23" spans="1:32" x14ac:dyDescent="0.25">
      <c r="A23" s="4" t="s">
        <v>15</v>
      </c>
      <c r="B23" s="5" t="str">
        <f t="shared" ref="B23:AE23" si="2">"200"</f>
        <v>200</v>
      </c>
      <c r="C23" s="5" t="str">
        <f t="shared" si="2"/>
        <v>200</v>
      </c>
      <c r="D23" s="5" t="str">
        <f t="shared" si="2"/>
        <v>200</v>
      </c>
      <c r="E23" s="5" t="str">
        <f t="shared" si="2"/>
        <v>200</v>
      </c>
      <c r="F23" s="5" t="str">
        <f t="shared" si="2"/>
        <v>200</v>
      </c>
      <c r="G23" s="5" t="str">
        <f t="shared" si="2"/>
        <v>200</v>
      </c>
      <c r="H23" s="5" t="str">
        <f t="shared" si="2"/>
        <v>200</v>
      </c>
      <c r="I23" s="5" t="str">
        <f t="shared" si="2"/>
        <v>200</v>
      </c>
      <c r="J23" s="5" t="str">
        <f t="shared" si="2"/>
        <v>200</v>
      </c>
      <c r="K23" s="5" t="str">
        <f t="shared" si="2"/>
        <v>200</v>
      </c>
      <c r="L23" s="5" t="str">
        <f t="shared" si="2"/>
        <v>200</v>
      </c>
      <c r="M23" s="5" t="str">
        <f t="shared" si="2"/>
        <v>200</v>
      </c>
      <c r="N23" s="5" t="str">
        <f t="shared" si="2"/>
        <v>200</v>
      </c>
      <c r="O23" s="5" t="str">
        <f t="shared" si="2"/>
        <v>200</v>
      </c>
      <c r="P23" s="5" t="str">
        <f t="shared" si="2"/>
        <v>200</v>
      </c>
      <c r="Q23" s="5" t="str">
        <f t="shared" si="2"/>
        <v>200</v>
      </c>
      <c r="R23" s="5" t="str">
        <f t="shared" si="2"/>
        <v>200</v>
      </c>
      <c r="S23" s="5" t="str">
        <f t="shared" si="2"/>
        <v>200</v>
      </c>
      <c r="T23" s="5" t="str">
        <f t="shared" si="2"/>
        <v>200</v>
      </c>
      <c r="U23" s="5" t="str">
        <f t="shared" si="2"/>
        <v>200</v>
      </c>
      <c r="V23" s="5" t="str">
        <f t="shared" si="2"/>
        <v>200</v>
      </c>
      <c r="W23" s="5" t="str">
        <f t="shared" si="2"/>
        <v>200</v>
      </c>
      <c r="X23" s="5" t="str">
        <f t="shared" si="2"/>
        <v>200</v>
      </c>
      <c r="Y23" s="5" t="str">
        <f t="shared" si="2"/>
        <v>200</v>
      </c>
      <c r="Z23" s="5" t="str">
        <f t="shared" si="2"/>
        <v>200</v>
      </c>
      <c r="AA23" s="5" t="str">
        <f t="shared" si="2"/>
        <v>200</v>
      </c>
      <c r="AB23" s="5" t="str">
        <f t="shared" si="2"/>
        <v>200</v>
      </c>
      <c r="AC23" s="5" t="str">
        <f t="shared" si="2"/>
        <v>200</v>
      </c>
      <c r="AD23" s="5" t="str">
        <f t="shared" si="2"/>
        <v>200</v>
      </c>
      <c r="AE23" s="6" t="str">
        <f t="shared" si="2"/>
        <v>200</v>
      </c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6"/>
    </row>
    <row r="25" spans="1:32" x14ac:dyDescent="0.25">
      <c r="A25" s="4" t="s">
        <v>64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6"/>
    </row>
    <row r="26" spans="1:32" x14ac:dyDescent="0.25">
      <c r="A26" s="4" t="s">
        <v>14</v>
      </c>
      <c r="B26" s="9">
        <v>-30.54875663</v>
      </c>
      <c r="C26" s="9">
        <v>-30.150792760000002</v>
      </c>
      <c r="D26" s="9">
        <v>-30.551073559999999</v>
      </c>
      <c r="E26" s="9">
        <v>-30.668861710000002</v>
      </c>
      <c r="F26" s="9">
        <v>-29.572107240000001</v>
      </c>
      <c r="G26" s="9">
        <v>0.2021750376</v>
      </c>
      <c r="H26" s="9">
        <v>0.2021750376</v>
      </c>
      <c r="I26" s="9">
        <v>0.2021750376</v>
      </c>
      <c r="J26" s="9">
        <v>0.2021750376</v>
      </c>
      <c r="K26" s="9">
        <v>0.2021750376</v>
      </c>
      <c r="L26" s="9">
        <v>0.2021750376</v>
      </c>
      <c r="M26" s="9">
        <v>0.2021750376</v>
      </c>
      <c r="N26" s="9">
        <v>0.2021750376</v>
      </c>
      <c r="O26" s="9">
        <v>0.2021750376</v>
      </c>
      <c r="P26" s="9">
        <v>0.2021750376</v>
      </c>
      <c r="Q26" s="9">
        <v>0.2021750376</v>
      </c>
      <c r="R26" s="9">
        <v>0.2021750376</v>
      </c>
      <c r="S26" s="9">
        <v>0.2021750376</v>
      </c>
      <c r="T26" s="9">
        <v>0.2021750376</v>
      </c>
      <c r="U26" s="9">
        <v>0.2021750376</v>
      </c>
      <c r="V26" s="9">
        <v>9.187908148</v>
      </c>
      <c r="W26" s="9">
        <v>9.6756002330000008</v>
      </c>
      <c r="X26" s="9">
        <v>9.6582570380000003</v>
      </c>
      <c r="Y26" s="9">
        <v>9.5336257040000003</v>
      </c>
      <c r="Z26" s="9">
        <v>9.2679696469999993</v>
      </c>
      <c r="AA26" s="9">
        <v>29.439922750000001</v>
      </c>
      <c r="AB26" s="9">
        <v>30.986559239999998</v>
      </c>
      <c r="AC26" s="9">
        <v>30.872392470000001</v>
      </c>
      <c r="AD26" s="9">
        <v>29.267310070000001</v>
      </c>
      <c r="AE26" s="10">
        <v>29.210276</v>
      </c>
      <c r="AF26" t="s">
        <v>63</v>
      </c>
    </row>
    <row r="27" spans="1:32" x14ac:dyDescent="0.25">
      <c r="A27" s="4"/>
      <c r="B27" s="11" t="s">
        <v>94</v>
      </c>
      <c r="C27" s="11" t="s">
        <v>95</v>
      </c>
      <c r="D27" s="11" t="s">
        <v>96</v>
      </c>
      <c r="E27" s="11" t="s">
        <v>97</v>
      </c>
      <c r="F27" s="11" t="s">
        <v>98</v>
      </c>
      <c r="G27" s="11" t="s">
        <v>99</v>
      </c>
      <c r="H27" s="11" t="s">
        <v>100</v>
      </c>
      <c r="I27" s="11" t="s">
        <v>101</v>
      </c>
      <c r="J27" s="11" t="s">
        <v>102</v>
      </c>
      <c r="K27" s="11" t="s">
        <v>103</v>
      </c>
      <c r="L27" s="11" t="s">
        <v>104</v>
      </c>
      <c r="M27" s="11" t="s">
        <v>105</v>
      </c>
      <c r="N27" s="11" t="s">
        <v>106</v>
      </c>
      <c r="O27" s="11" t="s">
        <v>107</v>
      </c>
      <c r="P27" s="11" t="s">
        <v>108</v>
      </c>
      <c r="Q27" s="11" t="s">
        <v>109</v>
      </c>
      <c r="R27" s="11" t="s">
        <v>110</v>
      </c>
      <c r="S27" s="11" t="s">
        <v>111</v>
      </c>
      <c r="T27" s="11" t="s">
        <v>112</v>
      </c>
      <c r="U27" s="11" t="s">
        <v>113</v>
      </c>
      <c r="V27" s="11" t="s">
        <v>114</v>
      </c>
      <c r="W27" s="11" t="s">
        <v>115</v>
      </c>
      <c r="X27" s="11" t="s">
        <v>116</v>
      </c>
      <c r="Y27" s="11" t="s">
        <v>117</v>
      </c>
      <c r="Z27" s="11" t="s">
        <v>118</v>
      </c>
      <c r="AA27" s="11" t="s">
        <v>119</v>
      </c>
      <c r="AB27" s="11" t="s">
        <v>120</v>
      </c>
      <c r="AC27" s="11" t="s">
        <v>121</v>
      </c>
      <c r="AD27" s="11" t="s">
        <v>122</v>
      </c>
      <c r="AE27" s="12" t="s">
        <v>123</v>
      </c>
    </row>
    <row r="28" spans="1:32" x14ac:dyDescent="0.25">
      <c r="A28" s="4" t="s">
        <v>15</v>
      </c>
      <c r="B28" s="5" t="str">
        <f t="shared" ref="B28:AE28" si="3">"200"</f>
        <v>200</v>
      </c>
      <c r="C28" s="5" t="str">
        <f t="shared" si="3"/>
        <v>200</v>
      </c>
      <c r="D28" s="5" t="str">
        <f t="shared" si="3"/>
        <v>200</v>
      </c>
      <c r="E28" s="5" t="str">
        <f t="shared" si="3"/>
        <v>200</v>
      </c>
      <c r="F28" s="5" t="str">
        <f t="shared" si="3"/>
        <v>200</v>
      </c>
      <c r="G28" s="5" t="str">
        <f t="shared" si="3"/>
        <v>200</v>
      </c>
      <c r="H28" s="5" t="str">
        <f t="shared" si="3"/>
        <v>200</v>
      </c>
      <c r="I28" s="5" t="str">
        <f t="shared" si="3"/>
        <v>200</v>
      </c>
      <c r="J28" s="5" t="str">
        <f t="shared" si="3"/>
        <v>200</v>
      </c>
      <c r="K28" s="5" t="str">
        <f t="shared" si="3"/>
        <v>200</v>
      </c>
      <c r="L28" s="5" t="str">
        <f t="shared" si="3"/>
        <v>200</v>
      </c>
      <c r="M28" s="5" t="str">
        <f t="shared" si="3"/>
        <v>200</v>
      </c>
      <c r="N28" s="5" t="str">
        <f t="shared" si="3"/>
        <v>200</v>
      </c>
      <c r="O28" s="5" t="str">
        <f t="shared" si="3"/>
        <v>200</v>
      </c>
      <c r="P28" s="5" t="str">
        <f t="shared" si="3"/>
        <v>200</v>
      </c>
      <c r="Q28" s="5" t="str">
        <f t="shared" si="3"/>
        <v>200</v>
      </c>
      <c r="R28" s="5" t="str">
        <f t="shared" si="3"/>
        <v>200</v>
      </c>
      <c r="S28" s="5" t="str">
        <f t="shared" si="3"/>
        <v>200</v>
      </c>
      <c r="T28" s="5" t="str">
        <f t="shared" si="3"/>
        <v>200</v>
      </c>
      <c r="U28" s="5" t="str">
        <f t="shared" si="3"/>
        <v>200</v>
      </c>
      <c r="V28" s="5" t="str">
        <f t="shared" si="3"/>
        <v>200</v>
      </c>
      <c r="W28" s="5" t="str">
        <f t="shared" si="3"/>
        <v>200</v>
      </c>
      <c r="X28" s="5" t="str">
        <f t="shared" si="3"/>
        <v>200</v>
      </c>
      <c r="Y28" s="5" t="str">
        <f t="shared" si="3"/>
        <v>200</v>
      </c>
      <c r="Z28" s="5" t="str">
        <f t="shared" si="3"/>
        <v>200</v>
      </c>
      <c r="AA28" s="5" t="str">
        <f t="shared" si="3"/>
        <v>200</v>
      </c>
      <c r="AB28" s="5" t="str">
        <f t="shared" si="3"/>
        <v>200</v>
      </c>
      <c r="AC28" s="5" t="str">
        <f t="shared" si="3"/>
        <v>200</v>
      </c>
      <c r="AD28" s="5" t="str">
        <f t="shared" si="3"/>
        <v>200</v>
      </c>
      <c r="AE28" s="6" t="str">
        <f t="shared" si="3"/>
        <v>200</v>
      </c>
    </row>
    <row r="29" spans="1:32" ht="15.75" thickBot="1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5"/>
    </row>
    <row r="30" spans="1:32" x14ac:dyDescent="0.25">
      <c r="A30" s="1"/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43</v>
      </c>
      <c r="M30" s="2" t="s">
        <v>44</v>
      </c>
      <c r="N30" s="2" t="s">
        <v>45</v>
      </c>
      <c r="O30" s="2" t="s">
        <v>46</v>
      </c>
      <c r="P30" s="2" t="s">
        <v>47</v>
      </c>
      <c r="Q30" s="2" t="s">
        <v>48</v>
      </c>
      <c r="R30" s="2" t="s">
        <v>49</v>
      </c>
      <c r="S30" s="2" t="s">
        <v>50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58</v>
      </c>
      <c r="AB30" s="2" t="s">
        <v>59</v>
      </c>
      <c r="AC30" s="2" t="s">
        <v>60</v>
      </c>
      <c r="AD30" s="2" t="s">
        <v>61</v>
      </c>
      <c r="AE30" s="3" t="s">
        <v>62</v>
      </c>
    </row>
    <row r="31" spans="1:32" x14ac:dyDescent="0.25">
      <c r="A31" s="4" t="s">
        <v>10</v>
      </c>
      <c r="B31" s="5">
        <v>-30</v>
      </c>
      <c r="C31" s="5">
        <v>-30</v>
      </c>
      <c r="D31" s="5">
        <v>-30</v>
      </c>
      <c r="E31" s="5">
        <v>-30</v>
      </c>
      <c r="F31" s="5">
        <v>-30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16">
        <v>10</v>
      </c>
      <c r="W31" s="16">
        <v>10</v>
      </c>
      <c r="X31" s="16">
        <v>10</v>
      </c>
      <c r="Y31" s="16">
        <v>10</v>
      </c>
      <c r="Z31" s="16">
        <v>10</v>
      </c>
      <c r="AA31" s="16">
        <v>30</v>
      </c>
      <c r="AB31" s="16">
        <v>30</v>
      </c>
      <c r="AC31" s="16">
        <v>30</v>
      </c>
      <c r="AD31" s="16">
        <v>30</v>
      </c>
      <c r="AE31" s="6">
        <v>30</v>
      </c>
    </row>
    <row r="32" spans="1:32" x14ac:dyDescent="0.25">
      <c r="A32" s="4" t="s">
        <v>11</v>
      </c>
      <c r="B32" s="7" t="s">
        <v>25</v>
      </c>
      <c r="C32" s="7" t="s">
        <v>25</v>
      </c>
      <c r="D32" s="7" t="s">
        <v>25</v>
      </c>
      <c r="E32" s="7" t="s">
        <v>25</v>
      </c>
      <c r="F32" s="7" t="s">
        <v>25</v>
      </c>
      <c r="G32" s="7" t="s">
        <v>27</v>
      </c>
      <c r="H32" s="7" t="s">
        <v>27</v>
      </c>
      <c r="I32" s="7" t="s">
        <v>27</v>
      </c>
      <c r="J32" s="7" t="s">
        <v>27</v>
      </c>
      <c r="K32" s="7" t="s">
        <v>27</v>
      </c>
      <c r="L32" s="7" t="s">
        <v>28</v>
      </c>
      <c r="M32" s="7" t="s">
        <v>28</v>
      </c>
      <c r="N32" s="7" t="s">
        <v>28</v>
      </c>
      <c r="O32" s="7" t="s">
        <v>28</v>
      </c>
      <c r="P32" s="7" t="s">
        <v>28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30</v>
      </c>
      <c r="W32" s="7" t="s">
        <v>30</v>
      </c>
      <c r="X32" s="7" t="s">
        <v>30</v>
      </c>
      <c r="Y32" s="7" t="s">
        <v>30</v>
      </c>
      <c r="Z32" s="7" t="s">
        <v>30</v>
      </c>
      <c r="AA32" s="7" t="s">
        <v>31</v>
      </c>
      <c r="AB32" s="7" t="s">
        <v>31</v>
      </c>
      <c r="AC32" s="7" t="s">
        <v>31</v>
      </c>
      <c r="AD32" s="7" t="s">
        <v>31</v>
      </c>
      <c r="AE32" s="8" t="s">
        <v>31</v>
      </c>
    </row>
    <row r="33" spans="1:32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</row>
    <row r="34" spans="1:32" x14ac:dyDescent="0.25">
      <c r="A34" s="4" t="s">
        <v>13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6"/>
    </row>
    <row r="35" spans="1:32" x14ac:dyDescent="0.25">
      <c r="A35" s="4" t="s">
        <v>14</v>
      </c>
      <c r="B35" s="5" t="str">
        <f>"-30.124"</f>
        <v>-30.124</v>
      </c>
      <c r="C35" s="5" t="str">
        <f>"-29.916"</f>
        <v>-29.916</v>
      </c>
      <c r="D35" s="5" t="str">
        <f>"-30.331"</f>
        <v>-30.331</v>
      </c>
      <c r="E35" s="5" t="str">
        <f>"-29.869"</f>
        <v>-29.869</v>
      </c>
      <c r="F35" s="5" t="str">
        <f>"-29.785"</f>
        <v>-29.785</v>
      </c>
      <c r="G35" s="5" t="str">
        <f>"0.578"</f>
        <v>0.578</v>
      </c>
      <c r="H35" s="5" t="str">
        <f>"0.290"</f>
        <v>0.290</v>
      </c>
      <c r="I35" s="5" t="str">
        <f>"-0.311"</f>
        <v>-0.311</v>
      </c>
      <c r="J35" s="5" t="str">
        <f>"0.342"</f>
        <v>0.342</v>
      </c>
      <c r="K35" s="5" t="str">
        <f>"-0.935"</f>
        <v>-0.935</v>
      </c>
      <c r="L35" s="5" t="str">
        <f>"0.591"</f>
        <v>0.591</v>
      </c>
      <c r="M35" s="5" t="str">
        <f>"-1.194"</f>
        <v>-1.194</v>
      </c>
      <c r="N35" s="5" t="str">
        <f>"0.499"</f>
        <v>0.499</v>
      </c>
      <c r="O35" s="5" t="str">
        <f>"0.778"</f>
        <v>0.778</v>
      </c>
      <c r="P35" s="5" t="str">
        <f>"-0.565"</f>
        <v>-0.565</v>
      </c>
      <c r="Q35" s="5" t="str">
        <f>"1.873"</f>
        <v>1.873</v>
      </c>
      <c r="R35" s="5" t="str">
        <f>"1.440"</f>
        <v>1.440</v>
      </c>
      <c r="S35" s="5" t="str">
        <f>"0.058"</f>
        <v>0.058</v>
      </c>
      <c r="T35" s="5" t="str">
        <f>"0.678"</f>
        <v>0.678</v>
      </c>
      <c r="U35" s="5" t="str">
        <f>"0.072"</f>
        <v>0.072</v>
      </c>
      <c r="V35" s="5" t="str">
        <f>"9.611"</f>
        <v>9.611</v>
      </c>
      <c r="W35" s="5" t="str">
        <f>"10.368"</f>
        <v>10.368</v>
      </c>
      <c r="X35" s="5" t="str">
        <f>"9.294"</f>
        <v>9.294</v>
      </c>
      <c r="Y35" s="5" t="str">
        <f>"9.503"</f>
        <v>9.503</v>
      </c>
      <c r="Z35" s="5" t="str">
        <f>"9.212"</f>
        <v>9.212</v>
      </c>
      <c r="AA35" s="5" t="str">
        <f>"29.512"</f>
        <v>29.512</v>
      </c>
      <c r="AB35" s="5" t="str">
        <f>"30.426"</f>
        <v>30.426</v>
      </c>
      <c r="AC35" s="5" t="str">
        <f>"30.045"</f>
        <v>30.045</v>
      </c>
      <c r="AD35" s="5" t="str">
        <f>"29.908"</f>
        <v>29.908</v>
      </c>
      <c r="AE35" s="6" t="str">
        <f>"29.733"</f>
        <v>29.733</v>
      </c>
    </row>
    <row r="36" spans="1:32" x14ac:dyDescent="0.25">
      <c r="A36" s="4"/>
      <c r="B36" s="5" t="str">
        <f>"(0.4597)"</f>
        <v>(0.4597)</v>
      </c>
      <c r="C36" s="5" t="str">
        <f>"(0.4191)"</f>
        <v>(0.4191)</v>
      </c>
      <c r="D36" s="5" t="str">
        <f>"(0.4416)"</f>
        <v>(0.4416)</v>
      </c>
      <c r="E36" s="5" t="str">
        <f>"(0.4711)"</f>
        <v>(0.4711)</v>
      </c>
      <c r="F36" s="5" t="str">
        <f>"(0.4577)"</f>
        <v>(0.4577)</v>
      </c>
      <c r="G36" s="5" t="str">
        <f>"(0.6464)"</f>
        <v>(0.6464)</v>
      </c>
      <c r="H36" s="5" t="str">
        <f>"(0.5631)"</f>
        <v>(0.5631)</v>
      </c>
      <c r="I36" s="5" t="str">
        <f>"(0.5927)"</f>
        <v>(0.5927)</v>
      </c>
      <c r="J36" s="5" t="str">
        <f>"(0.6305)"</f>
        <v>(0.6305)</v>
      </c>
      <c r="K36" s="5" t="str">
        <f>"(0.6516)"</f>
        <v>(0.6516)</v>
      </c>
      <c r="L36" s="5" t="str">
        <f>"(0.7796)"</f>
        <v>(0.7796)</v>
      </c>
      <c r="M36" s="5" t="str">
        <f>"(0.7898)"</f>
        <v>(0.7898)</v>
      </c>
      <c r="N36" s="5" t="str">
        <f>"(0.7336)"</f>
        <v>(0.7336)</v>
      </c>
      <c r="O36" s="5" t="str">
        <f>"(0.8052)"</f>
        <v>(0.8052)</v>
      </c>
      <c r="P36" s="5" t="str">
        <f>"(0.7828)"</f>
        <v>(0.7828)</v>
      </c>
      <c r="Q36" s="5" t="str">
        <f>"(0.8790)"</f>
        <v>(0.8790)</v>
      </c>
      <c r="R36" s="5" t="str">
        <f>"(0.9178)"</f>
        <v>(0.9178)</v>
      </c>
      <c r="S36" s="5" t="str">
        <f>"(0.8935)"</f>
        <v>(0.8935)</v>
      </c>
      <c r="T36" s="5" t="str">
        <f>"(0.9787)"</f>
        <v>(0.9787)</v>
      </c>
      <c r="U36" s="5" t="str">
        <f>"(0.9852)"</f>
        <v>(0.9852)</v>
      </c>
      <c r="V36" s="5" t="str">
        <f>"(0.9640)"</f>
        <v>(0.9640)</v>
      </c>
      <c r="W36" s="5" t="str">
        <f>"(0.9706)"</f>
        <v>(0.9706)</v>
      </c>
      <c r="X36" s="5" t="str">
        <f>"(0.9627)"</f>
        <v>(0.9627)</v>
      </c>
      <c r="Y36" s="5" t="str">
        <f>"(0.9898)"</f>
        <v>(0.9898)</v>
      </c>
      <c r="Z36" s="5" t="str">
        <f>"(0.9902)"</f>
        <v>(0.9902)</v>
      </c>
      <c r="AA36" s="5" t="str">
        <f>"(1.0533)"</f>
        <v>(1.0533)</v>
      </c>
      <c r="AB36" s="5" t="str">
        <f>"(1.1482)"</f>
        <v>(1.1482)</v>
      </c>
      <c r="AC36" s="5" t="str">
        <f>"(1.0983)"</f>
        <v>(1.0983)</v>
      </c>
      <c r="AD36" s="5" t="str">
        <f>"(1.0900)"</f>
        <v>(1.0900)</v>
      </c>
      <c r="AE36" s="6" t="str">
        <f>"(1.0963)"</f>
        <v>(1.0963)</v>
      </c>
    </row>
    <row r="37" spans="1:32" x14ac:dyDescent="0.25">
      <c r="A37" s="4" t="s">
        <v>15</v>
      </c>
      <c r="B37" s="5" t="str">
        <f t="shared" ref="B37:AE37" si="4">"200"</f>
        <v>200</v>
      </c>
      <c r="C37" s="5" t="str">
        <f t="shared" si="4"/>
        <v>200</v>
      </c>
      <c r="D37" s="5" t="str">
        <f t="shared" si="4"/>
        <v>200</v>
      </c>
      <c r="E37" s="5" t="str">
        <f t="shared" si="4"/>
        <v>200</v>
      </c>
      <c r="F37" s="5" t="str">
        <f t="shared" si="4"/>
        <v>200</v>
      </c>
      <c r="G37" s="5" t="str">
        <f t="shared" si="4"/>
        <v>200</v>
      </c>
      <c r="H37" s="5" t="str">
        <f t="shared" si="4"/>
        <v>200</v>
      </c>
      <c r="I37" s="5" t="str">
        <f t="shared" si="4"/>
        <v>200</v>
      </c>
      <c r="J37" s="5" t="str">
        <f t="shared" si="4"/>
        <v>200</v>
      </c>
      <c r="K37" s="5" t="str">
        <f t="shared" si="4"/>
        <v>200</v>
      </c>
      <c r="L37" s="5" t="str">
        <f t="shared" si="4"/>
        <v>200</v>
      </c>
      <c r="M37" s="5" t="str">
        <f t="shared" si="4"/>
        <v>200</v>
      </c>
      <c r="N37" s="5" t="str">
        <f t="shared" si="4"/>
        <v>200</v>
      </c>
      <c r="O37" s="5" t="str">
        <f t="shared" si="4"/>
        <v>200</v>
      </c>
      <c r="P37" s="5" t="str">
        <f t="shared" si="4"/>
        <v>200</v>
      </c>
      <c r="Q37" s="5" t="str">
        <f t="shared" si="4"/>
        <v>200</v>
      </c>
      <c r="R37" s="5" t="str">
        <f t="shared" si="4"/>
        <v>200</v>
      </c>
      <c r="S37" s="5" t="str">
        <f t="shared" si="4"/>
        <v>200</v>
      </c>
      <c r="T37" s="5" t="str">
        <f t="shared" si="4"/>
        <v>200</v>
      </c>
      <c r="U37" s="5" t="str">
        <f t="shared" si="4"/>
        <v>200</v>
      </c>
      <c r="V37" s="5" t="str">
        <f t="shared" si="4"/>
        <v>200</v>
      </c>
      <c r="W37" s="5" t="str">
        <f t="shared" si="4"/>
        <v>200</v>
      </c>
      <c r="X37" s="5" t="str">
        <f t="shared" si="4"/>
        <v>200</v>
      </c>
      <c r="Y37" s="5" t="str">
        <f t="shared" si="4"/>
        <v>200</v>
      </c>
      <c r="Z37" s="5" t="str">
        <f t="shared" si="4"/>
        <v>200</v>
      </c>
      <c r="AA37" s="5" t="str">
        <f t="shared" si="4"/>
        <v>200</v>
      </c>
      <c r="AB37" s="5" t="str">
        <f t="shared" si="4"/>
        <v>200</v>
      </c>
      <c r="AC37" s="5" t="str">
        <f t="shared" si="4"/>
        <v>200</v>
      </c>
      <c r="AD37" s="5" t="str">
        <f t="shared" si="4"/>
        <v>200</v>
      </c>
      <c r="AE37" s="6" t="str">
        <f t="shared" si="4"/>
        <v>200</v>
      </c>
    </row>
    <row r="38" spans="1:32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1:32" x14ac:dyDescent="0.25">
      <c r="A39" s="4" t="s">
        <v>64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6"/>
    </row>
    <row r="40" spans="1:32" x14ac:dyDescent="0.25">
      <c r="A40" s="4" t="s">
        <v>14</v>
      </c>
      <c r="B40" s="9">
        <v>-30.833933009999999</v>
      </c>
      <c r="C40" s="9">
        <v>-30.227860830000001</v>
      </c>
      <c r="D40" s="9">
        <v>-30.536360210000002</v>
      </c>
      <c r="E40" s="9">
        <v>-30.5556518</v>
      </c>
      <c r="F40" s="9">
        <v>-29.62189695</v>
      </c>
      <c r="G40" s="9">
        <v>0.3390049235</v>
      </c>
      <c r="H40" s="9">
        <v>0.3390049235</v>
      </c>
      <c r="I40" s="9">
        <v>0.3390049235</v>
      </c>
      <c r="J40" s="9">
        <v>0.3390049235</v>
      </c>
      <c r="K40" s="9">
        <v>0.3390049235</v>
      </c>
      <c r="L40" s="9">
        <v>0.3390049235</v>
      </c>
      <c r="M40" s="9">
        <v>0.3390049235</v>
      </c>
      <c r="N40" s="9">
        <v>0.3390049235</v>
      </c>
      <c r="O40" s="9">
        <v>0.3390049235</v>
      </c>
      <c r="P40" s="9">
        <v>0.3390049235</v>
      </c>
      <c r="Q40" s="9">
        <v>0.3390049235</v>
      </c>
      <c r="R40" s="9">
        <v>0.3390049235</v>
      </c>
      <c r="S40" s="9">
        <v>0.37572468710000001</v>
      </c>
      <c r="T40" s="9">
        <v>0.3390049235</v>
      </c>
      <c r="U40" s="9">
        <v>0.3390049235</v>
      </c>
      <c r="V40" s="9">
        <v>8.0534662620000006</v>
      </c>
      <c r="W40" s="9">
        <v>9.0457806269999992</v>
      </c>
      <c r="X40" s="9">
        <v>9.6900187130000006</v>
      </c>
      <c r="Y40" s="9">
        <v>9.2052992529999997</v>
      </c>
      <c r="Z40" s="9">
        <v>8.333265505</v>
      </c>
      <c r="AA40" s="9">
        <v>28.509846169999999</v>
      </c>
      <c r="AB40" s="9">
        <v>31.077916370000001</v>
      </c>
      <c r="AC40" s="9">
        <v>32.614853429999997</v>
      </c>
      <c r="AD40" s="9">
        <v>28.304222589999998</v>
      </c>
      <c r="AE40" s="10">
        <v>28.707288980000001</v>
      </c>
      <c r="AF40" t="s">
        <v>65</v>
      </c>
    </row>
    <row r="41" spans="1:32" x14ac:dyDescent="0.25">
      <c r="A41" s="4"/>
      <c r="B41" s="11" t="s">
        <v>124</v>
      </c>
      <c r="C41" s="11" t="s">
        <v>125</v>
      </c>
      <c r="D41" s="11" t="s">
        <v>126</v>
      </c>
      <c r="E41" s="11" t="s">
        <v>127</v>
      </c>
      <c r="F41" s="11" t="s">
        <v>128</v>
      </c>
      <c r="G41" s="11" t="s">
        <v>129</v>
      </c>
      <c r="H41" s="11" t="s">
        <v>130</v>
      </c>
      <c r="I41" s="11" t="s">
        <v>131</v>
      </c>
      <c r="J41" s="11" t="s">
        <v>132</v>
      </c>
      <c r="K41" s="11" t="s">
        <v>133</v>
      </c>
      <c r="L41" s="11" t="s">
        <v>134</v>
      </c>
      <c r="M41" s="11" t="s">
        <v>135</v>
      </c>
      <c r="N41" s="11" t="s">
        <v>136</v>
      </c>
      <c r="O41" s="11" t="s">
        <v>137</v>
      </c>
      <c r="P41" s="11" t="s">
        <v>138</v>
      </c>
      <c r="Q41" s="11" t="s">
        <v>139</v>
      </c>
      <c r="R41" s="11" t="s">
        <v>140</v>
      </c>
      <c r="S41" s="11" t="s">
        <v>141</v>
      </c>
      <c r="T41" s="11" t="s">
        <v>142</v>
      </c>
      <c r="U41" s="11" t="s">
        <v>143</v>
      </c>
      <c r="V41" s="11" t="s">
        <v>144</v>
      </c>
      <c r="W41" s="11" t="s">
        <v>145</v>
      </c>
      <c r="X41" s="11" t="s">
        <v>146</v>
      </c>
      <c r="Y41" s="11" t="s">
        <v>147</v>
      </c>
      <c r="Z41" s="11" t="s">
        <v>148</v>
      </c>
      <c r="AA41" s="11" t="s">
        <v>149</v>
      </c>
      <c r="AB41" s="11" t="s">
        <v>150</v>
      </c>
      <c r="AC41" s="11" t="s">
        <v>151</v>
      </c>
      <c r="AD41" s="11" t="s">
        <v>152</v>
      </c>
      <c r="AE41" s="12" t="s">
        <v>153</v>
      </c>
    </row>
    <row r="42" spans="1:32" ht="15.75" thickBot="1" x14ac:dyDescent="0.3">
      <c r="A42" s="13" t="s">
        <v>15</v>
      </c>
      <c r="B42" s="14" t="str">
        <f t="shared" ref="B42:AE42" si="5">"200"</f>
        <v>200</v>
      </c>
      <c r="C42" s="14" t="str">
        <f t="shared" si="5"/>
        <v>200</v>
      </c>
      <c r="D42" s="14" t="str">
        <f t="shared" si="5"/>
        <v>200</v>
      </c>
      <c r="E42" s="14" t="str">
        <f t="shared" si="5"/>
        <v>200</v>
      </c>
      <c r="F42" s="14" t="str">
        <f t="shared" si="5"/>
        <v>200</v>
      </c>
      <c r="G42" s="14" t="str">
        <f t="shared" si="5"/>
        <v>200</v>
      </c>
      <c r="H42" s="14" t="str">
        <f t="shared" si="5"/>
        <v>200</v>
      </c>
      <c r="I42" s="14" t="str">
        <f t="shared" si="5"/>
        <v>200</v>
      </c>
      <c r="J42" s="14" t="str">
        <f t="shared" si="5"/>
        <v>200</v>
      </c>
      <c r="K42" s="14" t="str">
        <f t="shared" si="5"/>
        <v>200</v>
      </c>
      <c r="L42" s="14" t="str">
        <f t="shared" si="5"/>
        <v>200</v>
      </c>
      <c r="M42" s="14" t="str">
        <f t="shared" si="5"/>
        <v>200</v>
      </c>
      <c r="N42" s="14" t="str">
        <f t="shared" si="5"/>
        <v>200</v>
      </c>
      <c r="O42" s="14" t="str">
        <f t="shared" si="5"/>
        <v>200</v>
      </c>
      <c r="P42" s="14" t="str">
        <f t="shared" si="5"/>
        <v>200</v>
      </c>
      <c r="Q42" s="14" t="str">
        <f t="shared" si="5"/>
        <v>200</v>
      </c>
      <c r="R42" s="14" t="str">
        <f t="shared" si="5"/>
        <v>200</v>
      </c>
      <c r="S42" s="14" t="str">
        <f t="shared" si="5"/>
        <v>200</v>
      </c>
      <c r="T42" s="14" t="str">
        <f t="shared" si="5"/>
        <v>200</v>
      </c>
      <c r="U42" s="14" t="str">
        <f t="shared" si="5"/>
        <v>200</v>
      </c>
      <c r="V42" s="14" t="str">
        <f t="shared" si="5"/>
        <v>200</v>
      </c>
      <c r="W42" s="14" t="str">
        <f t="shared" si="5"/>
        <v>200</v>
      </c>
      <c r="X42" s="14" t="str">
        <f t="shared" si="5"/>
        <v>200</v>
      </c>
      <c r="Y42" s="14" t="str">
        <f t="shared" si="5"/>
        <v>200</v>
      </c>
      <c r="Z42" s="14" t="str">
        <f t="shared" si="5"/>
        <v>200</v>
      </c>
      <c r="AA42" s="14" t="str">
        <f t="shared" si="5"/>
        <v>200</v>
      </c>
      <c r="AB42" s="14" t="str">
        <f t="shared" si="5"/>
        <v>200</v>
      </c>
      <c r="AC42" s="14" t="str">
        <f t="shared" si="5"/>
        <v>200</v>
      </c>
      <c r="AD42" s="14" t="str">
        <f t="shared" si="5"/>
        <v>200</v>
      </c>
      <c r="AE42" s="15" t="str">
        <f t="shared" si="5"/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samplesize_250</vt:lpstr>
      <vt:lpstr>samplesize_500</vt:lpstr>
      <vt:lpstr>samplesize_1000</vt:lpstr>
      <vt:lpstr>half_zero</vt:lpstr>
      <vt:lpstr>halfzero_largervariance</vt:lpstr>
      <vt:lpstr>largervariance</vt:lpstr>
      <vt:lpstr>larger_categries</vt:lpstr>
      <vt:lpstr>half_zero!Print_Area</vt:lpstr>
      <vt:lpstr>halfzero_largervariance!Print_Area</vt:lpstr>
      <vt:lpstr>largervariance!Print_Area</vt:lpstr>
      <vt:lpstr>samplesize_1000!Print_Area</vt:lpstr>
      <vt:lpstr>samplesize_250!Print_Area</vt:lpstr>
      <vt:lpstr>samplesize_500!Print_Area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An</dc:creator>
  <cp:lastModifiedBy>Charlie An</cp:lastModifiedBy>
  <cp:lastPrinted>2020-06-21T19:41:17Z</cp:lastPrinted>
  <dcterms:created xsi:type="dcterms:W3CDTF">2020-06-19T16:21:23Z</dcterms:created>
  <dcterms:modified xsi:type="dcterms:W3CDTF">2020-06-21T20:55:16Z</dcterms:modified>
</cp:coreProperties>
</file>