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ate1904="1" showInkAnnotation="0" autoCompressPictures="0"/>
  <mc:AlternateContent xmlns:mc="http://schemas.openxmlformats.org/markup-compatibility/2006">
    <mc:Choice Requires="x15">
      <x15ac:absPath xmlns:x15ac="http://schemas.microsoft.com/office/spreadsheetml/2010/11/ac" url="C:\Users\daple\OneDrive\Documents\IPP\"/>
    </mc:Choice>
  </mc:AlternateContent>
  <xr:revisionPtr revIDLastSave="0" documentId="8_{0FBB4688-D411-4C3E-8A5A-4F82F49223C9}" xr6:coauthVersionLast="46" xr6:coauthVersionMax="46" xr10:uidLastSave="{00000000-0000-0000-0000-000000000000}"/>
  <bookViews>
    <workbookView xWindow="-110" yWindow="-110" windowWidth="19420" windowHeight="10420" tabRatio="500" activeTab="2" xr2:uid="{00000000-000D-0000-FFFF-FFFF00000000}"/>
  </bookViews>
  <sheets>
    <sheet name="Title" sheetId="1" r:id="rId1"/>
    <sheet name="Abbreviations" sheetId="2" r:id="rId2"/>
    <sheet name="Summary" sheetId="3" r:id="rId3"/>
    <sheet name="Financials Yearly" sheetId="7" r:id="rId4"/>
    <sheet name="Financials Quarterly" sheetId="9" r:id="rId5"/>
  </sheets>
  <definedNames>
    <definedName name="Area2" localSheetId="4">#REF!</definedName>
    <definedName name="Area2" localSheetId="3">#REF!</definedName>
    <definedName name="Area22" localSheetId="4">#REF!</definedName>
    <definedName name="Area22" localSheetId="3">#REF!</definedName>
    <definedName name="Excel_BuiltIn_Print_Area_1" localSheetId="4">#REF!</definedName>
    <definedName name="Excel_BuiltIn_Print_Area_1" localSheetId="3">#REF!</definedName>
    <definedName name="_xlnm.Print_Area" localSheetId="4">'Financials Quarterly'!$A$1:$V$102</definedName>
    <definedName name="_xlnm.Print_Area" localSheetId="3">'Financials Yearly'!$A$1:$P$421</definedName>
    <definedName name="_xlnm.Print_Titles" localSheetId="4">'Financials Quarterly'!$1:$4</definedName>
    <definedName name="_xlnm.Print_Titles" localSheetId="3">'Financials Yearly'!$1:$4</definedName>
  </definedNames>
  <calcPr calcId="181029" calcOnSave="0"/>
  <extLst>
    <ext xmlns:mx="http://schemas.microsoft.com/office/mac/excel/2008/main" uri="http://schemas.microsoft.com/office/mac/excel/2008/main">
      <mx:ArchID Flags="2"/>
    </ext>
  </extLst>
</workbook>
</file>

<file path=xl/calcChain.xml><?xml version="1.0" encoding="utf-8"?>
<calcChain xmlns="http://schemas.openxmlformats.org/spreadsheetml/2006/main">
  <c r="K125" i="3" l="1"/>
  <c r="D158" i="3"/>
  <c r="E132" i="3"/>
  <c r="E131" i="3"/>
  <c r="N42" i="9" s="1"/>
  <c r="E134" i="3"/>
  <c r="H20" i="7" s="1"/>
  <c r="E130" i="3"/>
  <c r="F53" i="7" s="1"/>
  <c r="E53" i="7" s="1"/>
  <c r="D53" i="7" s="1"/>
  <c r="I2" i="2"/>
  <c r="B2" i="2"/>
  <c r="F12" i="9"/>
  <c r="F13" i="9" s="1"/>
  <c r="G12" i="9"/>
  <c r="H12" i="9"/>
  <c r="E12" i="9"/>
  <c r="D54" i="9"/>
  <c r="E54" i="9" s="1"/>
  <c r="D55" i="9"/>
  <c r="E55" i="9" s="1"/>
  <c r="F55" i="9" s="1"/>
  <c r="G55" i="9" s="1"/>
  <c r="H55" i="9" s="1"/>
  <c r="I55" i="9" s="1"/>
  <c r="H68" i="9"/>
  <c r="H84" i="9" s="1"/>
  <c r="H13" i="9"/>
  <c r="H20" i="9" s="1"/>
  <c r="H24" i="9" s="1"/>
  <c r="H19" i="9"/>
  <c r="H69" i="9"/>
  <c r="H70" i="9"/>
  <c r="H71" i="9"/>
  <c r="H72" i="9"/>
  <c r="H73" i="9"/>
  <c r="H74" i="9"/>
  <c r="H80" i="9"/>
  <c r="G68" i="9"/>
  <c r="G84" i="9" s="1"/>
  <c r="G13" i="9"/>
  <c r="G19" i="9"/>
  <c r="G20" i="9" s="1"/>
  <c r="G24" i="9" s="1"/>
  <c r="G69" i="9"/>
  <c r="G70" i="9"/>
  <c r="G71" i="9"/>
  <c r="G72" i="9"/>
  <c r="G73" i="9"/>
  <c r="G74" i="9"/>
  <c r="G80" i="9"/>
  <c r="F68" i="9"/>
  <c r="F19" i="9"/>
  <c r="F69" i="9"/>
  <c r="F70" i="9"/>
  <c r="F71" i="9"/>
  <c r="F72" i="9"/>
  <c r="F73" i="9"/>
  <c r="F74" i="9"/>
  <c r="F80" i="9"/>
  <c r="D45" i="9"/>
  <c r="E70" i="9" s="1"/>
  <c r="I70" i="9" s="1"/>
  <c r="D46" i="9"/>
  <c r="E71" i="9" s="1"/>
  <c r="D47" i="9"/>
  <c r="E72" i="9"/>
  <c r="I72" i="9" s="1"/>
  <c r="D52" i="9"/>
  <c r="E73" i="9" s="1"/>
  <c r="I73" i="9" s="1"/>
  <c r="D53" i="9"/>
  <c r="E74" i="9" s="1"/>
  <c r="I74" i="9" s="1"/>
  <c r="F82" i="7" s="1"/>
  <c r="E13" i="9"/>
  <c r="E20" i="9" s="1"/>
  <c r="E21" i="9" s="1"/>
  <c r="E19" i="9"/>
  <c r="E68" i="9"/>
  <c r="E69" i="9"/>
  <c r="E84" i="9"/>
  <c r="E80" i="9"/>
  <c r="I53" i="9"/>
  <c r="I52" i="9"/>
  <c r="I48" i="9"/>
  <c r="I47" i="9"/>
  <c r="I46" i="9"/>
  <c r="I45" i="9"/>
  <c r="J68" i="9"/>
  <c r="J84" i="9"/>
  <c r="V31" i="9"/>
  <c r="U79" i="9"/>
  <c r="N79" i="9"/>
  <c r="N45" i="9"/>
  <c r="P45" i="9" s="1"/>
  <c r="S70" i="9" s="1"/>
  <c r="U70" i="9" s="1"/>
  <c r="T70" i="9"/>
  <c r="K70" i="9"/>
  <c r="O70" i="9"/>
  <c r="N52" i="9"/>
  <c r="P52" i="9"/>
  <c r="S73" i="9" s="1"/>
  <c r="U73" i="9" s="1"/>
  <c r="V73" i="9" s="1"/>
  <c r="T52" i="9"/>
  <c r="T73" i="9" s="1"/>
  <c r="K73" i="9"/>
  <c r="O73" i="9"/>
  <c r="N86" i="9"/>
  <c r="P86" i="9"/>
  <c r="V82" i="9"/>
  <c r="K74" i="9"/>
  <c r="O74" i="9"/>
  <c r="N53" i="9"/>
  <c r="P53" i="9"/>
  <c r="K72" i="9"/>
  <c r="O72" i="9"/>
  <c r="N47" i="9"/>
  <c r="P47" i="9" s="1"/>
  <c r="S72" i="9" s="1"/>
  <c r="U72" i="9" s="1"/>
  <c r="T72" i="9"/>
  <c r="K71" i="9"/>
  <c r="O71" i="9"/>
  <c r="N46" i="9"/>
  <c r="P46" i="9"/>
  <c r="S71" i="9" s="1"/>
  <c r="U71" i="9" s="1"/>
  <c r="T71" i="9"/>
  <c r="U85" i="9"/>
  <c r="U47" i="9"/>
  <c r="U46" i="9"/>
  <c r="V46" i="9" s="1"/>
  <c r="U45" i="9"/>
  <c r="T80" i="9"/>
  <c r="S80" i="9"/>
  <c r="K68" i="9"/>
  <c r="N68" i="9" s="1"/>
  <c r="P68" i="9" s="1"/>
  <c r="K84" i="9"/>
  <c r="N84" i="9" s="1"/>
  <c r="P84" i="9" s="1"/>
  <c r="J13" i="9"/>
  <c r="J19" i="9"/>
  <c r="P19" i="9" s="1"/>
  <c r="K13" i="9"/>
  <c r="K20" i="9" s="1"/>
  <c r="K19" i="9"/>
  <c r="O75" i="9"/>
  <c r="I79" i="9"/>
  <c r="I80" i="9" s="1"/>
  <c r="K80" i="9"/>
  <c r="J80" i="9"/>
  <c r="U80" i="9"/>
  <c r="N85" i="9"/>
  <c r="C78" i="9"/>
  <c r="N55" i="9"/>
  <c r="N54" i="9"/>
  <c r="P9" i="9"/>
  <c r="P13" i="9" s="1"/>
  <c r="P12" i="9"/>
  <c r="U9" i="9"/>
  <c r="U12" i="9"/>
  <c r="U13" i="9" s="1"/>
  <c r="U16" i="9"/>
  <c r="U17" i="9"/>
  <c r="U18" i="9"/>
  <c r="U19" i="9"/>
  <c r="I86" i="9"/>
  <c r="I85" i="9"/>
  <c r="I69" i="9"/>
  <c r="D48" i="9"/>
  <c r="D32" i="9"/>
  <c r="D27" i="9"/>
  <c r="D23" i="9"/>
  <c r="D18" i="9"/>
  <c r="D17" i="9"/>
  <c r="D16" i="9"/>
  <c r="D12" i="9"/>
  <c r="D9" i="9"/>
  <c r="D14" i="9" s="1"/>
  <c r="D13" i="9"/>
  <c r="D19" i="9"/>
  <c r="D20" i="9" s="1"/>
  <c r="U63" i="9"/>
  <c r="T63" i="9"/>
  <c r="S63" i="9"/>
  <c r="R63" i="9"/>
  <c r="Q63" i="9"/>
  <c r="M63" i="9"/>
  <c r="L63" i="9"/>
  <c r="K63" i="9"/>
  <c r="J63" i="9"/>
  <c r="H63" i="9"/>
  <c r="G63" i="9"/>
  <c r="F63" i="9"/>
  <c r="E63" i="9"/>
  <c r="T41" i="9"/>
  <c r="S41" i="9"/>
  <c r="R41" i="9"/>
  <c r="Q41" i="9"/>
  <c r="U41" i="9"/>
  <c r="M41" i="9"/>
  <c r="L41" i="9"/>
  <c r="K41" i="9"/>
  <c r="J41" i="9"/>
  <c r="H41" i="9"/>
  <c r="G41" i="9"/>
  <c r="F41" i="9"/>
  <c r="E41" i="9"/>
  <c r="C92" i="9"/>
  <c r="C91" i="9"/>
  <c r="C89" i="9"/>
  <c r="C87" i="9"/>
  <c r="V9" i="9"/>
  <c r="V13" i="9" s="1"/>
  <c r="C86" i="9"/>
  <c r="V12" i="9"/>
  <c r="V16" i="9"/>
  <c r="V17" i="9"/>
  <c r="V18" i="9"/>
  <c r="C85" i="9"/>
  <c r="C84" i="9"/>
  <c r="C83" i="9"/>
  <c r="C80" i="9"/>
  <c r="C79" i="9"/>
  <c r="C75" i="9"/>
  <c r="C74" i="9"/>
  <c r="C73" i="9"/>
  <c r="C72" i="9"/>
  <c r="C71" i="9"/>
  <c r="C70" i="9"/>
  <c r="C69" i="9"/>
  <c r="C68" i="9"/>
  <c r="C67" i="9"/>
  <c r="B62" i="9"/>
  <c r="M50" i="9"/>
  <c r="M56" i="9"/>
  <c r="M57" i="9" s="1"/>
  <c r="M58" i="9" s="1"/>
  <c r="L50" i="9"/>
  <c r="L56" i="9"/>
  <c r="L57" i="9" s="1"/>
  <c r="L58" i="9" s="1"/>
  <c r="C57" i="9"/>
  <c r="C56" i="9"/>
  <c r="C55" i="9"/>
  <c r="C54" i="9"/>
  <c r="C53" i="9"/>
  <c r="C52" i="9"/>
  <c r="C50" i="9"/>
  <c r="C49" i="9"/>
  <c r="V47" i="9"/>
  <c r="C47" i="9"/>
  <c r="C46" i="9"/>
  <c r="V45" i="9"/>
  <c r="C45" i="9"/>
  <c r="C44" i="9"/>
  <c r="B39" i="9"/>
  <c r="T13" i="9"/>
  <c r="T19" i="9"/>
  <c r="T20" i="9" s="1"/>
  <c r="T14" i="9"/>
  <c r="S13" i="9"/>
  <c r="S19" i="9"/>
  <c r="S20" i="9"/>
  <c r="S21" i="9" s="1"/>
  <c r="S14" i="9"/>
  <c r="P32" i="9"/>
  <c r="P27" i="9"/>
  <c r="P18" i="9"/>
  <c r="P17" i="9"/>
  <c r="P16" i="9"/>
  <c r="N9" i="9"/>
  <c r="N12" i="9"/>
  <c r="N13" i="9"/>
  <c r="N16" i="9"/>
  <c r="N19" i="9" s="1"/>
  <c r="N17" i="9"/>
  <c r="N18" i="9"/>
  <c r="N32" i="9"/>
  <c r="N27" i="9"/>
  <c r="I32" i="9"/>
  <c r="I27" i="9"/>
  <c r="I23" i="9"/>
  <c r="I18" i="9"/>
  <c r="I17" i="9"/>
  <c r="I16" i="9"/>
  <c r="I19" i="9" s="1"/>
  <c r="I12" i="9"/>
  <c r="I9" i="9"/>
  <c r="E14" i="9"/>
  <c r="G21" i="9"/>
  <c r="B33" i="9"/>
  <c r="B34" i="9"/>
  <c r="B32" i="9"/>
  <c r="B31" i="9"/>
  <c r="B29" i="9"/>
  <c r="B28" i="9"/>
  <c r="B27" i="9"/>
  <c r="B25" i="9"/>
  <c r="B24" i="9"/>
  <c r="B23" i="9"/>
  <c r="B21" i="9"/>
  <c r="B20" i="9"/>
  <c r="B19" i="9"/>
  <c r="B18" i="9"/>
  <c r="B17" i="9"/>
  <c r="B16" i="9"/>
  <c r="B14" i="9"/>
  <c r="B13" i="9"/>
  <c r="B12" i="9"/>
  <c r="B10" i="9"/>
  <c r="B9" i="9"/>
  <c r="C33" i="9"/>
  <c r="C32" i="9"/>
  <c r="C28" i="9"/>
  <c r="C27" i="9"/>
  <c r="C24" i="9"/>
  <c r="C23" i="9"/>
  <c r="H21" i="9"/>
  <c r="C20" i="9"/>
  <c r="C19" i="9"/>
  <c r="C18" i="9"/>
  <c r="C17" i="9"/>
  <c r="C16" i="9"/>
  <c r="N14" i="9"/>
  <c r="K14" i="9"/>
  <c r="H14" i="9"/>
  <c r="G14" i="9"/>
  <c r="C13" i="9"/>
  <c r="C12" i="9"/>
  <c r="C9" i="9"/>
  <c r="B6" i="9"/>
  <c r="V3" i="9"/>
  <c r="V2" i="9"/>
  <c r="B2" i="9"/>
  <c r="J70" i="9"/>
  <c r="N70" i="9" s="1"/>
  <c r="P70" i="9" s="1"/>
  <c r="J71" i="9"/>
  <c r="J72" i="9"/>
  <c r="N71" i="9"/>
  <c r="P71" i="9" s="1"/>
  <c r="N72" i="9"/>
  <c r="P72" i="9" s="1"/>
  <c r="J55" i="9"/>
  <c r="J74" i="9"/>
  <c r="N74" i="9" s="1"/>
  <c r="P74" i="9" s="1"/>
  <c r="J73" i="9"/>
  <c r="N73" i="9" s="1"/>
  <c r="P73" i="9" s="1"/>
  <c r="C238" i="7"/>
  <c r="G22" i="7"/>
  <c r="H22" i="7" s="1"/>
  <c r="I22" i="7" s="1"/>
  <c r="G30" i="7"/>
  <c r="G15" i="7" s="1"/>
  <c r="H15" i="7" s="1"/>
  <c r="I15" i="7" s="1"/>
  <c r="J15" i="7" s="1"/>
  <c r="K15" i="7"/>
  <c r="L15" i="7" s="1"/>
  <c r="M15" i="7" s="1"/>
  <c r="G31" i="7"/>
  <c r="H25" i="7"/>
  <c r="H63" i="7" s="1"/>
  <c r="H30" i="7"/>
  <c r="I209" i="7"/>
  <c r="J209" i="7"/>
  <c r="J307" i="7" s="1"/>
  <c r="K209" i="7"/>
  <c r="I307" i="7"/>
  <c r="H307" i="7"/>
  <c r="C273" i="7"/>
  <c r="F330" i="7"/>
  <c r="F356" i="7" s="1"/>
  <c r="G313" i="7"/>
  <c r="G314" i="7" s="1"/>
  <c r="H313" i="7"/>
  <c r="H314" i="7" s="1"/>
  <c r="G25" i="7"/>
  <c r="G26" i="7"/>
  <c r="F327" i="7"/>
  <c r="F353" i="7" s="1"/>
  <c r="G344" i="7" s="1"/>
  <c r="F328" i="7"/>
  <c r="F354" i="7" s="1"/>
  <c r="I345" i="7" s="1"/>
  <c r="F329" i="7"/>
  <c r="F355" i="7" s="1"/>
  <c r="F357" i="7"/>
  <c r="F332" i="7"/>
  <c r="F358" i="7" s="1"/>
  <c r="G310" i="7"/>
  <c r="H310" i="7" s="1"/>
  <c r="I310" i="7" s="1"/>
  <c r="G311" i="7"/>
  <c r="H311" i="7" s="1"/>
  <c r="I311" i="7" s="1"/>
  <c r="G312" i="7"/>
  <c r="H312" i="7" s="1"/>
  <c r="I312" i="7" s="1"/>
  <c r="G315" i="7"/>
  <c r="H315" i="7" s="1"/>
  <c r="I315" i="7" s="1"/>
  <c r="I93" i="7"/>
  <c r="J93" i="7"/>
  <c r="K93" i="7"/>
  <c r="L93" i="7"/>
  <c r="M93" i="7"/>
  <c r="N15" i="7"/>
  <c r="O15" i="7" s="1"/>
  <c r="N93" i="7"/>
  <c r="O93" i="7"/>
  <c r="P15" i="7"/>
  <c r="P389" i="7"/>
  <c r="G44" i="7"/>
  <c r="H44" i="7" s="1"/>
  <c r="I44" i="7" s="1"/>
  <c r="J44" i="7" s="1"/>
  <c r="K44" i="7" s="1"/>
  <c r="L44" i="7" s="1"/>
  <c r="M44" i="7" s="1"/>
  <c r="N44" i="7" s="1"/>
  <c r="O44" i="7" s="1"/>
  <c r="P44" i="7" s="1"/>
  <c r="F142" i="7"/>
  <c r="F152" i="7" s="1"/>
  <c r="H389" i="7"/>
  <c r="H87" i="7"/>
  <c r="H88" i="7" s="1"/>
  <c r="F393" i="7"/>
  <c r="M399" i="7" s="1"/>
  <c r="F78" i="7"/>
  <c r="F80" i="7"/>
  <c r="F81" i="7"/>
  <c r="F77" i="7"/>
  <c r="F93" i="7"/>
  <c r="F94" i="7"/>
  <c r="F86" i="7"/>
  <c r="F87" i="7"/>
  <c r="F88" i="7"/>
  <c r="E26" i="7"/>
  <c r="E33" i="7" s="1"/>
  <c r="E32" i="7"/>
  <c r="E76" i="7"/>
  <c r="E77" i="7"/>
  <c r="E60" i="7" s="1"/>
  <c r="E78" i="7"/>
  <c r="E79" i="7"/>
  <c r="E80" i="7"/>
  <c r="E81" i="7"/>
  <c r="E82" i="7"/>
  <c r="E88" i="7"/>
  <c r="E91" i="7"/>
  <c r="E95" i="7" s="1"/>
  <c r="E92" i="7"/>
  <c r="D100" i="7"/>
  <c r="E99" i="7" s="1"/>
  <c r="F109" i="7"/>
  <c r="F125" i="7" s="1"/>
  <c r="G56" i="7"/>
  <c r="B353" i="7"/>
  <c r="B327" i="7" s="1"/>
  <c r="B344" i="7"/>
  <c r="I56" i="7"/>
  <c r="I182" i="7" s="1"/>
  <c r="H57" i="7"/>
  <c r="H183" i="7" s="1"/>
  <c r="G57" i="7"/>
  <c r="G58" i="7"/>
  <c r="G63" i="7"/>
  <c r="G64" i="7"/>
  <c r="G81" i="7"/>
  <c r="E185" i="7"/>
  <c r="D185" i="7"/>
  <c r="E408" i="7"/>
  <c r="E410" i="7"/>
  <c r="D412" i="7"/>
  <c r="D408" i="7"/>
  <c r="D410" i="7"/>
  <c r="D391" i="7" s="1"/>
  <c r="F36" i="7"/>
  <c r="F408" i="7"/>
  <c r="F40" i="7"/>
  <c r="D174" i="7"/>
  <c r="E179" i="7" s="1"/>
  <c r="E174" i="7"/>
  <c r="C174" i="7"/>
  <c r="D179" i="7" s="1"/>
  <c r="P360" i="7"/>
  <c r="P65" i="7" s="1"/>
  <c r="D26" i="7"/>
  <c r="D32" i="7"/>
  <c r="D33" i="7"/>
  <c r="D215" i="7"/>
  <c r="G205" i="7"/>
  <c r="D198" i="7"/>
  <c r="F389" i="7"/>
  <c r="E389" i="7"/>
  <c r="D389" i="7"/>
  <c r="H93" i="7"/>
  <c r="F22" i="7"/>
  <c r="F25" i="7"/>
  <c r="F11" i="7" s="1"/>
  <c r="F29" i="7"/>
  <c r="F30" i="7"/>
  <c r="F15" i="7" s="1"/>
  <c r="F31" i="7"/>
  <c r="F45" i="7"/>
  <c r="H23" i="7"/>
  <c r="H188" i="7" s="1"/>
  <c r="C86" i="7"/>
  <c r="F139" i="7"/>
  <c r="F114" i="7"/>
  <c r="G114" i="7" s="1"/>
  <c r="H114" i="7" s="1"/>
  <c r="I114" i="7" s="1"/>
  <c r="J114" i="7" s="1"/>
  <c r="K114" i="7" s="1"/>
  <c r="L114" i="7" s="1"/>
  <c r="M114" i="7" s="1"/>
  <c r="N114" i="7" s="1"/>
  <c r="O114" i="7" s="1"/>
  <c r="P114" i="7" s="1"/>
  <c r="G184" i="7"/>
  <c r="G183" i="7"/>
  <c r="G182" i="7"/>
  <c r="G163" i="7"/>
  <c r="G11" i="7"/>
  <c r="G8" i="7"/>
  <c r="F116" i="7"/>
  <c r="C207" i="7"/>
  <c r="C206" i="7"/>
  <c r="C205" i="7"/>
  <c r="C204" i="7"/>
  <c r="C203" i="7"/>
  <c r="C202" i="7"/>
  <c r="C201" i="7"/>
  <c r="C171" i="7"/>
  <c r="C166" i="7"/>
  <c r="C170" i="7"/>
  <c r="C169" i="7"/>
  <c r="C165" i="7"/>
  <c r="C164" i="7"/>
  <c r="C163" i="7"/>
  <c r="G27" i="7"/>
  <c r="F16" i="7"/>
  <c r="D199" i="7"/>
  <c r="P23" i="7" s="1"/>
  <c r="P188" i="7" s="1"/>
  <c r="F23" i="7"/>
  <c r="F188" i="7"/>
  <c r="G70" i="3" s="1"/>
  <c r="E23" i="7"/>
  <c r="E188" i="7" s="1"/>
  <c r="D188" i="7"/>
  <c r="D61" i="7"/>
  <c r="D191" i="7"/>
  <c r="D67" i="7"/>
  <c r="D37" i="7"/>
  <c r="D41" i="7"/>
  <c r="D46" i="7"/>
  <c r="C67" i="7"/>
  <c r="E34" i="7"/>
  <c r="E187" i="7"/>
  <c r="D34" i="7"/>
  <c r="D187" i="7" s="1"/>
  <c r="E184" i="7"/>
  <c r="D184" i="7"/>
  <c r="E183" i="7"/>
  <c r="D183" i="7"/>
  <c r="E182" i="7"/>
  <c r="D182" i="7"/>
  <c r="D181" i="7"/>
  <c r="E163" i="7"/>
  <c r="E164" i="7"/>
  <c r="D163" i="7"/>
  <c r="D164" i="7"/>
  <c r="D165" i="7"/>
  <c r="D166" i="7" s="1"/>
  <c r="D169" i="7"/>
  <c r="D170" i="7"/>
  <c r="D171" i="7" s="1"/>
  <c r="P93" i="7"/>
  <c r="B348" i="7"/>
  <c r="B340" i="7"/>
  <c r="B314" i="7"/>
  <c r="B322" i="7"/>
  <c r="B331" i="7"/>
  <c r="C155" i="7"/>
  <c r="C133" i="7"/>
  <c r="C154" i="7"/>
  <c r="C153" i="7"/>
  <c r="C152" i="7"/>
  <c r="C151" i="7"/>
  <c r="C150" i="7"/>
  <c r="C147" i="7"/>
  <c r="C146" i="7"/>
  <c r="C145" i="7"/>
  <c r="C122" i="7"/>
  <c r="C121" i="7"/>
  <c r="C120" i="7"/>
  <c r="C117" i="7"/>
  <c r="C116" i="7"/>
  <c r="C115" i="7"/>
  <c r="F138" i="7"/>
  <c r="C135" i="7"/>
  <c r="C134" i="7"/>
  <c r="C132" i="7"/>
  <c r="C142" i="7"/>
  <c r="B139" i="7"/>
  <c r="B138" i="7"/>
  <c r="C141" i="7"/>
  <c r="C140" i="7"/>
  <c r="B104" i="7"/>
  <c r="C125" i="7"/>
  <c r="C129" i="7"/>
  <c r="C128" i="7"/>
  <c r="C127" i="7"/>
  <c r="E16" i="7"/>
  <c r="D16" i="7"/>
  <c r="E15" i="7"/>
  <c r="D15" i="7"/>
  <c r="E14" i="7"/>
  <c r="D14" i="7"/>
  <c r="E8" i="7"/>
  <c r="F8" i="7"/>
  <c r="B5" i="7"/>
  <c r="D176" i="7"/>
  <c r="C55" i="7"/>
  <c r="C56" i="7"/>
  <c r="C57" i="7"/>
  <c r="C58" i="7"/>
  <c r="C60" i="7"/>
  <c r="C61" i="7"/>
  <c r="C63" i="7"/>
  <c r="C64" i="7"/>
  <c r="C65" i="7"/>
  <c r="C66" i="7"/>
  <c r="C68" i="7"/>
  <c r="C75" i="7"/>
  <c r="C76" i="7"/>
  <c r="C77" i="7"/>
  <c r="C78" i="7"/>
  <c r="C79" i="7"/>
  <c r="C80" i="7"/>
  <c r="C81" i="7"/>
  <c r="C82" i="7"/>
  <c r="C83" i="7"/>
  <c r="C87" i="7"/>
  <c r="C88" i="7"/>
  <c r="C91" i="7"/>
  <c r="C92" i="7"/>
  <c r="C93" i="7"/>
  <c r="C94" i="7"/>
  <c r="C95" i="7"/>
  <c r="C97" i="7"/>
  <c r="C99" i="7"/>
  <c r="C100" i="7"/>
  <c r="C22" i="7"/>
  <c r="C25" i="7"/>
  <c r="C26" i="7"/>
  <c r="C29" i="7"/>
  <c r="C30" i="7"/>
  <c r="C31" i="7"/>
  <c r="C32" i="7"/>
  <c r="C33" i="7"/>
  <c r="C36" i="7"/>
  <c r="C37" i="7"/>
  <c r="C40" i="7"/>
  <c r="C41" i="7"/>
  <c r="C45" i="7"/>
  <c r="C46" i="7"/>
  <c r="H205" i="7"/>
  <c r="B381" i="7"/>
  <c r="B358" i="7"/>
  <c r="B377" i="7"/>
  <c r="B355" i="7"/>
  <c r="B368" i="7" s="1"/>
  <c r="B354" i="7"/>
  <c r="B375" i="7" s="1"/>
  <c r="B374" i="7"/>
  <c r="G225" i="7"/>
  <c r="E228" i="7"/>
  <c r="F284" i="7"/>
  <c r="F289" i="7" s="1"/>
  <c r="F272" i="7"/>
  <c r="F276" i="7" s="1"/>
  <c r="F243" i="7"/>
  <c r="F246" i="7"/>
  <c r="F230" i="7"/>
  <c r="D230" i="7"/>
  <c r="B231" i="7"/>
  <c r="E230" i="7"/>
  <c r="B230" i="7"/>
  <c r="E229" i="7"/>
  <c r="D229" i="7"/>
  <c r="D228" i="7"/>
  <c r="D227" i="7"/>
  <c r="B227" i="7"/>
  <c r="D226" i="7"/>
  <c r="B226" i="7"/>
  <c r="B221" i="7"/>
  <c r="B339" i="7"/>
  <c r="B338" i="7"/>
  <c r="B369" i="7"/>
  <c r="B366" i="7"/>
  <c r="B347" i="7"/>
  <c r="B346" i="7"/>
  <c r="B330" i="7"/>
  <c r="B321" i="7"/>
  <c r="B320" i="7"/>
  <c r="B313" i="7"/>
  <c r="B312" i="7"/>
  <c r="B310" i="7"/>
  <c r="B234" i="7"/>
  <c r="D178" i="7"/>
  <c r="D68" i="7"/>
  <c r="D69" i="7" s="1"/>
  <c r="D38" i="7"/>
  <c r="E27" i="7"/>
  <c r="D27" i="7"/>
  <c r="B384" i="7"/>
  <c r="B194" i="7"/>
  <c r="B159" i="7"/>
  <c r="B71" i="7"/>
  <c r="B51" i="7"/>
  <c r="B19" i="7"/>
  <c r="C412" i="7"/>
  <c r="C410" i="7"/>
  <c r="C408" i="7"/>
  <c r="C391" i="7"/>
  <c r="C389" i="7"/>
  <c r="B2" i="7"/>
  <c r="P3" i="7"/>
  <c r="P2" i="7"/>
  <c r="F57" i="7"/>
  <c r="F58" i="7"/>
  <c r="F56" i="7"/>
  <c r="F182" i="7"/>
  <c r="F59" i="7"/>
  <c r="F164" i="7"/>
  <c r="F66" i="7"/>
  <c r="F64" i="7"/>
  <c r="F63" i="7"/>
  <c r="F184" i="7" s="1"/>
  <c r="M402" i="7"/>
  <c r="L401" i="7"/>
  <c r="J389" i="7"/>
  <c r="J87" i="7"/>
  <c r="J88" i="7" s="1"/>
  <c r="J205" i="7" s="1"/>
  <c r="K389" i="7"/>
  <c r="K87" i="7" s="1"/>
  <c r="K88" i="7"/>
  <c r="K205" i="7"/>
  <c r="L389" i="7"/>
  <c r="L87" i="7" s="1"/>
  <c r="L88" i="7" s="1"/>
  <c r="L205" i="7" s="1"/>
  <c r="M389" i="7"/>
  <c r="M87" i="7" s="1"/>
  <c r="M88" i="7" s="1"/>
  <c r="M205" i="7"/>
  <c r="N401" i="7"/>
  <c r="N389" i="7"/>
  <c r="N87" i="7" s="1"/>
  <c r="N88" i="7" s="1"/>
  <c r="N205" i="7" s="1"/>
  <c r="O404" i="7"/>
  <c r="O389" i="7"/>
  <c r="O87" i="7"/>
  <c r="O88" i="7" s="1"/>
  <c r="O205" i="7" s="1"/>
  <c r="N399" i="7"/>
  <c r="I389" i="7"/>
  <c r="I87" i="7" s="1"/>
  <c r="I88" i="7" s="1"/>
  <c r="I205" i="7" s="1"/>
  <c r="F262" i="7"/>
  <c r="F265" i="7" s="1"/>
  <c r="D123" i="3"/>
  <c r="N199" i="3" s="1"/>
  <c r="L199" i="3"/>
  <c r="P198" i="3"/>
  <c r="D122" i="3"/>
  <c r="N198" i="3" s="1"/>
  <c r="L198" i="3"/>
  <c r="E142" i="3"/>
  <c r="E150" i="3" s="1"/>
  <c r="B93" i="3"/>
  <c r="D94" i="3"/>
  <c r="D150" i="3"/>
  <c r="D151" i="3"/>
  <c r="O113" i="3"/>
  <c r="O112" i="3"/>
  <c r="O111" i="3"/>
  <c r="K111" i="3"/>
  <c r="P99" i="3"/>
  <c r="O99" i="3"/>
  <c r="N99" i="3"/>
  <c r="M99" i="3"/>
  <c r="L99" i="3"/>
  <c r="K99" i="3"/>
  <c r="J99" i="3"/>
  <c r="I99" i="3"/>
  <c r="G99" i="3"/>
  <c r="F99" i="3"/>
  <c r="G103" i="3"/>
  <c r="F103" i="3"/>
  <c r="F102" i="3"/>
  <c r="E103" i="3"/>
  <c r="E102" i="3"/>
  <c r="E99" i="3"/>
  <c r="E98" i="3"/>
  <c r="F97" i="3"/>
  <c r="E97" i="3"/>
  <c r="F100" i="3"/>
  <c r="E100" i="3"/>
  <c r="F88" i="3"/>
  <c r="E88" i="3"/>
  <c r="F87" i="3"/>
  <c r="E87" i="3"/>
  <c r="E85" i="3"/>
  <c r="E84" i="3"/>
  <c r="F83" i="3"/>
  <c r="E83" i="3"/>
  <c r="F72" i="3"/>
  <c r="F69" i="3"/>
  <c r="F79" i="3"/>
  <c r="E72" i="3"/>
  <c r="E69" i="3"/>
  <c r="E79" i="3"/>
  <c r="F78" i="3"/>
  <c r="E78" i="3"/>
  <c r="F77" i="3"/>
  <c r="E77" i="3"/>
  <c r="F76" i="3"/>
  <c r="E76" i="3"/>
  <c r="F70" i="3"/>
  <c r="E70" i="3"/>
  <c r="D195" i="3"/>
  <c r="D194" i="3"/>
  <c r="D193" i="3"/>
  <c r="J46" i="3"/>
  <c r="K118" i="3"/>
  <c r="E121" i="3" s="1"/>
  <c r="P197" i="3" s="1"/>
  <c r="D121" i="3"/>
  <c r="N197" i="3" s="1"/>
  <c r="L197" i="3"/>
  <c r="D120" i="3"/>
  <c r="N196" i="3" s="1"/>
  <c r="L196" i="3"/>
  <c r="D117" i="3"/>
  <c r="N195" i="3" s="1"/>
  <c r="L195" i="3"/>
  <c r="D116" i="3"/>
  <c r="N194" i="3" s="1"/>
  <c r="L194" i="3"/>
  <c r="O193" i="3"/>
  <c r="D115" i="3"/>
  <c r="N193" i="3" s="1"/>
  <c r="L193" i="3"/>
  <c r="O192" i="3"/>
  <c r="D114" i="3"/>
  <c r="N192" i="3" s="1"/>
  <c r="L192" i="3"/>
  <c r="D113" i="3"/>
  <c r="N191" i="3" s="1"/>
  <c r="L191" i="3"/>
  <c r="O190" i="3"/>
  <c r="D112" i="3"/>
  <c r="N190" i="3" s="1"/>
  <c r="L190" i="3"/>
  <c r="O189" i="3"/>
  <c r="D111" i="3"/>
  <c r="N189" i="3" s="1"/>
  <c r="L189" i="3"/>
  <c r="D110" i="3"/>
  <c r="N188" i="3" s="1"/>
  <c r="L188" i="3"/>
  <c r="H153" i="3"/>
  <c r="B190" i="3" s="1"/>
  <c r="B188" i="3"/>
  <c r="J151" i="3"/>
  <c r="D188" i="3" s="1"/>
  <c r="J152" i="3"/>
  <c r="D189" i="3"/>
  <c r="J153" i="3"/>
  <c r="D190" i="3" s="1"/>
  <c r="J150" i="3"/>
  <c r="D187" i="3" s="1"/>
  <c r="B184" i="3"/>
  <c r="J145" i="3"/>
  <c r="J144" i="3"/>
  <c r="J143" i="3"/>
  <c r="J142" i="3"/>
  <c r="J141" i="3"/>
  <c r="J140" i="3"/>
  <c r="D145" i="3"/>
  <c r="D144" i="3"/>
  <c r="D143" i="3"/>
  <c r="D142" i="3"/>
  <c r="D140" i="3"/>
  <c r="E135" i="3"/>
  <c r="P115" i="3"/>
  <c r="G243" i="7" s="1"/>
  <c r="H243" i="7" s="1"/>
  <c r="I243" i="7" s="1"/>
  <c r="J243" i="7" s="1"/>
  <c r="K243" i="7" s="1"/>
  <c r="L243" i="7" s="1"/>
  <c r="M243" i="7" s="1"/>
  <c r="N243" i="7" s="1"/>
  <c r="O243" i="7" s="1"/>
  <c r="P243" i="7" s="1"/>
  <c r="O119" i="3"/>
  <c r="O118" i="3"/>
  <c r="O117" i="3"/>
  <c r="O116" i="3"/>
  <c r="J113" i="3"/>
  <c r="J111" i="3"/>
  <c r="J119" i="3"/>
  <c r="J118" i="3"/>
  <c r="J117" i="3"/>
  <c r="J116" i="3"/>
  <c r="J112" i="3"/>
  <c r="D118" i="3"/>
  <c r="K131" i="3"/>
  <c r="J132" i="3"/>
  <c r="J131" i="3"/>
  <c r="J130" i="3"/>
  <c r="J129" i="3"/>
  <c r="D100" i="3"/>
  <c r="B96" i="3"/>
  <c r="G76" i="3"/>
  <c r="D76" i="3"/>
  <c r="B76" i="3"/>
  <c r="I77" i="3"/>
  <c r="H77" i="3"/>
  <c r="G77" i="3"/>
  <c r="D77" i="3"/>
  <c r="B77" i="3"/>
  <c r="H78" i="3"/>
  <c r="G78" i="3"/>
  <c r="D78" i="3"/>
  <c r="B78" i="3"/>
  <c r="B79" i="3"/>
  <c r="G88" i="3"/>
  <c r="D88" i="3"/>
  <c r="B88" i="3"/>
  <c r="G87" i="3"/>
  <c r="D87" i="3"/>
  <c r="B87" i="3"/>
  <c r="B85" i="3"/>
  <c r="B84" i="3"/>
  <c r="B83" i="3"/>
  <c r="D84" i="3"/>
  <c r="G83" i="3"/>
  <c r="D83" i="3"/>
  <c r="D98" i="3"/>
  <c r="D97" i="3"/>
  <c r="H72" i="3"/>
  <c r="H69" i="3"/>
  <c r="K144" i="3"/>
  <c r="K143" i="3"/>
  <c r="J122" i="3"/>
  <c r="F162" i="3"/>
  <c r="G230" i="7" s="1"/>
  <c r="E161" i="3"/>
  <c r="F229" i="7" s="1"/>
  <c r="E160" i="3"/>
  <c r="F228" i="7" s="1"/>
  <c r="D159" i="3"/>
  <c r="E227" i="7" s="1"/>
  <c r="E226" i="7"/>
  <c r="C163" i="3"/>
  <c r="D231" i="7" s="1"/>
  <c r="D102" i="3"/>
  <c r="D103" i="3"/>
  <c r="M177" i="3"/>
  <c r="M175" i="3"/>
  <c r="M174" i="3"/>
  <c r="M173" i="3"/>
  <c r="M172" i="3"/>
  <c r="D124" i="3"/>
  <c r="B46" i="3"/>
  <c r="B27" i="3"/>
  <c r="D90" i="3"/>
  <c r="D89" i="3"/>
  <c r="B90" i="3"/>
  <c r="B89" i="3"/>
  <c r="G72" i="3"/>
  <c r="G69" i="3"/>
  <c r="D79" i="3"/>
  <c r="I70" i="3"/>
  <c r="J69" i="3"/>
  <c r="I72" i="3"/>
  <c r="I69" i="3"/>
  <c r="I73" i="3" s="1"/>
  <c r="D73" i="3"/>
  <c r="D72" i="3"/>
  <c r="J8" i="3"/>
  <c r="B8" i="3"/>
  <c r="B105" i="3"/>
  <c r="B66" i="3"/>
  <c r="D99" i="3"/>
  <c r="P3" i="3"/>
  <c r="P2" i="3"/>
  <c r="D80" i="3"/>
  <c r="D69" i="3"/>
  <c r="B2" i="3"/>
  <c r="B168" i="3"/>
  <c r="B4" i="3"/>
  <c r="E143" i="3"/>
  <c r="O191" i="3"/>
  <c r="O195" i="3"/>
  <c r="B318" i="7" l="1"/>
  <c r="B336" i="7"/>
  <c r="G140" i="7"/>
  <c r="E159" i="3"/>
  <c r="F227" i="7" s="1"/>
  <c r="E73" i="3"/>
  <c r="O403" i="7"/>
  <c r="N400" i="7"/>
  <c r="M401" i="7"/>
  <c r="H79" i="7"/>
  <c r="O402" i="7"/>
  <c r="K399" i="7"/>
  <c r="M400" i="7"/>
  <c r="D163" i="3"/>
  <c r="E231" i="7" s="1"/>
  <c r="F160" i="3"/>
  <c r="G228" i="7" s="1"/>
  <c r="O401" i="7"/>
  <c r="K400" i="7"/>
  <c r="J399" i="7"/>
  <c r="O400" i="7"/>
  <c r="L399" i="7"/>
  <c r="N403" i="7"/>
  <c r="L400" i="7"/>
  <c r="G73" i="3"/>
  <c r="G74" i="3" s="1"/>
  <c r="N402" i="7"/>
  <c r="O349" i="7"/>
  <c r="O286" i="7" s="1"/>
  <c r="M349" i="7"/>
  <c r="M286" i="7" s="1"/>
  <c r="K349" i="7"/>
  <c r="K286" i="7" s="1"/>
  <c r="L349" i="7"/>
  <c r="L286" i="7" s="1"/>
  <c r="P349" i="7"/>
  <c r="P286" i="7" s="1"/>
  <c r="G346" i="7"/>
  <c r="H346" i="7"/>
  <c r="O346" i="7"/>
  <c r="F359" i="7"/>
  <c r="H344" i="7"/>
  <c r="F333" i="7"/>
  <c r="E158" i="3"/>
  <c r="B319" i="7"/>
  <c r="I313" i="7"/>
  <c r="H73" i="3"/>
  <c r="H74" i="3" s="1"/>
  <c r="N345" i="7"/>
  <c r="F73" i="3"/>
  <c r="E133" i="3"/>
  <c r="H150" i="3"/>
  <c r="B187" i="3" s="1"/>
  <c r="H72" i="7"/>
  <c r="H160" i="7"/>
  <c r="F20" i="7"/>
  <c r="F160" i="7" s="1"/>
  <c r="I67" i="3"/>
  <c r="H6" i="7"/>
  <c r="H195" i="7"/>
  <c r="H304" i="7"/>
  <c r="H385" i="7"/>
  <c r="H52" i="7"/>
  <c r="H105" i="7" s="1"/>
  <c r="E80" i="3"/>
  <c r="E81" i="3" s="1"/>
  <c r="E74" i="3"/>
  <c r="F161" i="3"/>
  <c r="G229" i="7" s="1"/>
  <c r="D190" i="7"/>
  <c r="D47" i="7"/>
  <c r="E90" i="3" s="1"/>
  <c r="I74" i="3"/>
  <c r="F159" i="3"/>
  <c r="G227" i="7" s="1"/>
  <c r="E89" i="3"/>
  <c r="P42" i="9"/>
  <c r="P64" i="9" s="1"/>
  <c r="F106" i="7"/>
  <c r="F237" i="7"/>
  <c r="F305" i="7"/>
  <c r="E144" i="3"/>
  <c r="E145" i="3" s="1"/>
  <c r="O44" i="9" s="1"/>
  <c r="D44" i="7"/>
  <c r="D42" i="7"/>
  <c r="B378" i="7"/>
  <c r="B341" i="7"/>
  <c r="B315" i="7"/>
  <c r="B349" i="7"/>
  <c r="B323" i="7"/>
  <c r="B332" i="7"/>
  <c r="L209" i="7"/>
  <c r="K307" i="7"/>
  <c r="B370" i="7"/>
  <c r="F183" i="7"/>
  <c r="F163" i="7"/>
  <c r="B367" i="7"/>
  <c r="B328" i="7"/>
  <c r="B337" i="7"/>
  <c r="B311" i="7"/>
  <c r="B345" i="7"/>
  <c r="E166" i="7"/>
  <c r="F32" i="7"/>
  <c r="G79" i="3" s="1"/>
  <c r="F14" i="7"/>
  <c r="E412" i="7"/>
  <c r="E391" i="7" s="1"/>
  <c r="D49" i="9"/>
  <c r="E49" i="9" s="1"/>
  <c r="F49" i="9" s="1"/>
  <c r="G49" i="9" s="1"/>
  <c r="H49" i="9" s="1"/>
  <c r="I49" i="9" s="1"/>
  <c r="E165" i="7"/>
  <c r="H184" i="7"/>
  <c r="H81" i="7"/>
  <c r="D172" i="7"/>
  <c r="J311" i="7"/>
  <c r="P408" i="7"/>
  <c r="P36" i="7" s="1"/>
  <c r="P77" i="7" s="1"/>
  <c r="P203" i="7" s="1"/>
  <c r="P87" i="7"/>
  <c r="P88" i="7" s="1"/>
  <c r="P205" i="7" s="1"/>
  <c r="J22" i="7"/>
  <c r="I31" i="7"/>
  <c r="J78" i="3" s="1"/>
  <c r="I25" i="7"/>
  <c r="I26" i="7"/>
  <c r="I30" i="7"/>
  <c r="J77" i="3" s="1"/>
  <c r="J310" i="7"/>
  <c r="G345" i="7"/>
  <c r="K345" i="7"/>
  <c r="P345" i="7"/>
  <c r="G354" i="7"/>
  <c r="H345" i="7"/>
  <c r="L345" i="7"/>
  <c r="O345" i="7"/>
  <c r="F84" i="9"/>
  <c r="I68" i="9"/>
  <c r="F76" i="7" s="1"/>
  <c r="G25" i="9"/>
  <c r="G28" i="9"/>
  <c r="B376" i="7"/>
  <c r="F26" i="7"/>
  <c r="I398" i="7"/>
  <c r="J398" i="7" s="1"/>
  <c r="G353" i="7"/>
  <c r="J344" i="7"/>
  <c r="N344" i="7"/>
  <c r="K344" i="7"/>
  <c r="P344" i="7"/>
  <c r="I344" i="7"/>
  <c r="L344" i="7"/>
  <c r="O344" i="7"/>
  <c r="M344" i="7"/>
  <c r="I23" i="7"/>
  <c r="I188" i="7" s="1"/>
  <c r="J70" i="3" s="1"/>
  <c r="I64" i="7"/>
  <c r="J315" i="7"/>
  <c r="G23" i="7"/>
  <c r="G188" i="7" s="1"/>
  <c r="H70" i="3" s="1"/>
  <c r="M345" i="7"/>
  <c r="J312" i="7"/>
  <c r="J345" i="7"/>
  <c r="B329" i="7"/>
  <c r="E175" i="7"/>
  <c r="F96" i="3" s="1"/>
  <c r="E37" i="7"/>
  <c r="I58" i="7"/>
  <c r="G355" i="7"/>
  <c r="M346" i="7"/>
  <c r="I346" i="7"/>
  <c r="J346" i="7"/>
  <c r="N346" i="7"/>
  <c r="K346" i="7"/>
  <c r="P346" i="7"/>
  <c r="L346" i="7"/>
  <c r="H349" i="7"/>
  <c r="H286" i="7" s="1"/>
  <c r="I349" i="7"/>
  <c r="I286" i="7" s="1"/>
  <c r="F54" i="9"/>
  <c r="E83" i="9"/>
  <c r="K21" i="9"/>
  <c r="I84" i="9"/>
  <c r="F92" i="7" s="1"/>
  <c r="G102" i="3" s="1"/>
  <c r="D175" i="7"/>
  <c r="E96" i="3" s="1"/>
  <c r="H64" i="7"/>
  <c r="G349" i="7"/>
  <c r="G29" i="7"/>
  <c r="V19" i="9"/>
  <c r="V20" i="9" s="1"/>
  <c r="U14" i="9"/>
  <c r="U20" i="9"/>
  <c r="V72" i="9"/>
  <c r="G80" i="7" s="1"/>
  <c r="N349" i="7"/>
  <c r="N286" i="7" s="1"/>
  <c r="J349" i="7"/>
  <c r="J286" i="7" s="1"/>
  <c r="H235" i="7"/>
  <c r="G20" i="7"/>
  <c r="I20" i="7"/>
  <c r="P6" i="9"/>
  <c r="V7" i="9" s="1"/>
  <c r="K83" i="9"/>
  <c r="K87" i="9" s="1"/>
  <c r="T21" i="9"/>
  <c r="J20" i="9"/>
  <c r="J14" i="9"/>
  <c r="I71" i="9"/>
  <c r="F79" i="7" s="1"/>
  <c r="F185" i="7" s="1"/>
  <c r="H56" i="7"/>
  <c r="V70" i="9"/>
  <c r="G78" i="7" s="1"/>
  <c r="E24" i="9"/>
  <c r="E28" i="9" s="1"/>
  <c r="H28" i="9"/>
  <c r="H25" i="9"/>
  <c r="F14" i="9"/>
  <c r="F20" i="9"/>
  <c r="V14" i="9"/>
  <c r="V71" i="9"/>
  <c r="G79" i="7" s="1"/>
  <c r="S53" i="9"/>
  <c r="P79" i="9"/>
  <c r="N80" i="9"/>
  <c r="H58" i="7"/>
  <c r="H80" i="7" s="1"/>
  <c r="H26" i="7"/>
  <c r="N20" i="9"/>
  <c r="D21" i="9"/>
  <c r="D24" i="9"/>
  <c r="D28" i="9" s="1"/>
  <c r="P20" i="9"/>
  <c r="P14" i="9"/>
  <c r="V79" i="9"/>
  <c r="U52" i="9"/>
  <c r="G16" i="7"/>
  <c r="H16" i="7" s="1"/>
  <c r="I16" i="7" s="1"/>
  <c r="J16" i="7" s="1"/>
  <c r="K16" i="7" s="1"/>
  <c r="L16" i="7" s="1"/>
  <c r="M16" i="7" s="1"/>
  <c r="N16" i="7" s="1"/>
  <c r="O16" i="7" s="1"/>
  <c r="P16" i="7" s="1"/>
  <c r="G80" i="3" l="1"/>
  <c r="G81" i="3" s="1"/>
  <c r="O399" i="7"/>
  <c r="J313" i="7"/>
  <c r="I314" i="7"/>
  <c r="F226" i="7"/>
  <c r="E163" i="3"/>
  <c r="F231" i="7" s="1"/>
  <c r="F385" i="7"/>
  <c r="F158" i="3"/>
  <c r="G226" i="7" s="1"/>
  <c r="F74" i="3"/>
  <c r="F80" i="3"/>
  <c r="F81" i="3" s="1"/>
  <c r="G305" i="7"/>
  <c r="G237" i="7"/>
  <c r="G53" i="7"/>
  <c r="U42" i="9"/>
  <c r="V42" i="9" s="1"/>
  <c r="E6" i="9"/>
  <c r="D6" i="9" s="1"/>
  <c r="D7" i="9" s="1"/>
  <c r="F6" i="7"/>
  <c r="F52" i="7"/>
  <c r="E20" i="7"/>
  <c r="G67" i="3"/>
  <c r="F72" i="7"/>
  <c r="V21" i="9"/>
  <c r="G389" i="7"/>
  <c r="C397" i="7" s="1"/>
  <c r="G87" i="7"/>
  <c r="H99" i="3" s="1"/>
  <c r="E41" i="7"/>
  <c r="E38" i="7"/>
  <c r="F85" i="3" s="1"/>
  <c r="E178" i="7"/>
  <c r="F84" i="3"/>
  <c r="I57" i="7"/>
  <c r="I63" i="7"/>
  <c r="J72" i="3"/>
  <c r="J73" i="3" s="1"/>
  <c r="V41" i="9"/>
  <c r="V63" i="9"/>
  <c r="G33" i="9"/>
  <c r="G29" i="9"/>
  <c r="J21" i="9"/>
  <c r="H182" i="7"/>
  <c r="I78" i="7"/>
  <c r="H163" i="7"/>
  <c r="H353" i="7"/>
  <c r="H318" i="7" s="1"/>
  <c r="P21" i="9"/>
  <c r="H78" i="7"/>
  <c r="J31" i="7"/>
  <c r="K78" i="3" s="1"/>
  <c r="K22" i="7"/>
  <c r="J25" i="7"/>
  <c r="J26" i="7"/>
  <c r="J30" i="7"/>
  <c r="K77" i="3" s="1"/>
  <c r="J58" i="7"/>
  <c r="J80" i="7" s="1"/>
  <c r="J23" i="7"/>
  <c r="J188" i="7" s="1"/>
  <c r="K70" i="3" s="1"/>
  <c r="J64" i="7"/>
  <c r="J82" i="7" s="1"/>
  <c r="J56" i="7"/>
  <c r="K69" i="3"/>
  <c r="H29" i="9"/>
  <c r="H33" i="9"/>
  <c r="H238" i="7"/>
  <c r="H264" i="7"/>
  <c r="H288" i="7"/>
  <c r="H275" i="7"/>
  <c r="H241" i="7"/>
  <c r="H254" i="7"/>
  <c r="G32" i="7"/>
  <c r="G14" i="7"/>
  <c r="H14" i="7" s="1"/>
  <c r="H76" i="3"/>
  <c r="H355" i="7"/>
  <c r="H320" i="7" s="1"/>
  <c r="I82" i="7"/>
  <c r="M209" i="7"/>
  <c r="L307" i="7"/>
  <c r="H354" i="7"/>
  <c r="H319" i="7"/>
  <c r="U21" i="9"/>
  <c r="I235" i="7"/>
  <c r="J20" i="7"/>
  <c r="I385" i="7"/>
  <c r="I6" i="7"/>
  <c r="I195" i="7"/>
  <c r="I160" i="7"/>
  <c r="I304" i="7"/>
  <c r="I52" i="7"/>
  <c r="I105" i="7" s="1"/>
  <c r="I72" i="7"/>
  <c r="J67" i="3"/>
  <c r="G235" i="7"/>
  <c r="G160" i="7"/>
  <c r="G385" i="7"/>
  <c r="B397" i="7" s="1"/>
  <c r="B398" i="7" s="1"/>
  <c r="B399" i="7" s="1"/>
  <c r="B400" i="7" s="1"/>
  <c r="B401" i="7" s="1"/>
  <c r="B402" i="7" s="1"/>
  <c r="B403" i="7" s="1"/>
  <c r="B404" i="7" s="1"/>
  <c r="B405" i="7" s="1"/>
  <c r="B406" i="7" s="1"/>
  <c r="G52" i="7"/>
  <c r="G105" i="7" s="1"/>
  <c r="G6" i="7"/>
  <c r="G72" i="7"/>
  <c r="H67" i="3"/>
  <c r="K155" i="3" s="1"/>
  <c r="E87" i="9"/>
  <c r="K398" i="7"/>
  <c r="K310" i="7"/>
  <c r="I27" i="7"/>
  <c r="F21" i="9"/>
  <c r="F24" i="9"/>
  <c r="F28" i="9" s="1"/>
  <c r="S74" i="9"/>
  <c r="T53" i="9"/>
  <c r="G358" i="7"/>
  <c r="G286" i="7"/>
  <c r="F83" i="9"/>
  <c r="F87" i="9" s="1"/>
  <c r="G54" i="9"/>
  <c r="F60" i="7"/>
  <c r="K311" i="7"/>
  <c r="D33" i="9"/>
  <c r="D34" i="9" s="1"/>
  <c r="D29" i="9"/>
  <c r="K315" i="7"/>
  <c r="N21" i="9"/>
  <c r="F242" i="7"/>
  <c r="F244" i="7" s="1"/>
  <c r="E33" i="9"/>
  <c r="E29" i="9"/>
  <c r="H27" i="7"/>
  <c r="V52" i="9"/>
  <c r="I80" i="7"/>
  <c r="H31" i="7"/>
  <c r="I78" i="3" s="1"/>
  <c r="H82" i="7"/>
  <c r="K312" i="7"/>
  <c r="I13" i="9"/>
  <c r="F33" i="7"/>
  <c r="F27" i="7"/>
  <c r="F163" i="3" l="1"/>
  <c r="G231" i="7" s="1"/>
  <c r="J6" i="9"/>
  <c r="I7" i="9"/>
  <c r="I41" i="9" s="1"/>
  <c r="J314" i="7"/>
  <c r="K313" i="7"/>
  <c r="G106" i="7"/>
  <c r="G209" i="7" s="1"/>
  <c r="H53" i="7"/>
  <c r="F67" i="3"/>
  <c r="E160" i="7"/>
  <c r="E385" i="7"/>
  <c r="E72" i="7"/>
  <c r="D20" i="7"/>
  <c r="E6" i="7"/>
  <c r="D41" i="9" s="1"/>
  <c r="E52" i="7"/>
  <c r="T74" i="9"/>
  <c r="U53" i="9"/>
  <c r="I14" i="9"/>
  <c r="I20" i="9"/>
  <c r="E67" i="9"/>
  <c r="E34" i="9"/>
  <c r="H54" i="9"/>
  <c r="G83" i="9"/>
  <c r="G87" i="9" s="1"/>
  <c r="L315" i="7"/>
  <c r="M307" i="7"/>
  <c r="N209" i="7"/>
  <c r="I14" i="7"/>
  <c r="H29" i="7"/>
  <c r="J182" i="7"/>
  <c r="J78" i="7"/>
  <c r="J74" i="3"/>
  <c r="U74" i="9"/>
  <c r="I238" i="7"/>
  <c r="I241" i="7"/>
  <c r="F29" i="9"/>
  <c r="F33" i="9"/>
  <c r="I355" i="7"/>
  <c r="I320" i="7" s="1"/>
  <c r="L312" i="7"/>
  <c r="F412" i="7"/>
  <c r="F391" i="7" s="1"/>
  <c r="F165" i="7"/>
  <c r="F166" i="7" s="1"/>
  <c r="L398" i="7"/>
  <c r="M398" i="7" s="1"/>
  <c r="G33" i="7"/>
  <c r="H79" i="3"/>
  <c r="H80" i="3" s="1"/>
  <c r="H81" i="3" s="1"/>
  <c r="I81" i="7"/>
  <c r="I184" i="7"/>
  <c r="H397" i="7"/>
  <c r="I397" i="7" s="1"/>
  <c r="J235" i="7"/>
  <c r="K20" i="7"/>
  <c r="J385" i="7"/>
  <c r="J6" i="7"/>
  <c r="J52" i="7"/>
  <c r="J105" i="7" s="1"/>
  <c r="J195" i="7"/>
  <c r="J160" i="7"/>
  <c r="J72" i="7"/>
  <c r="J304" i="7"/>
  <c r="K67" i="3"/>
  <c r="L311" i="7"/>
  <c r="L310" i="7"/>
  <c r="J27" i="7"/>
  <c r="J63" i="7"/>
  <c r="J57" i="7"/>
  <c r="J79" i="7" s="1"/>
  <c r="K72" i="3"/>
  <c r="K73" i="3" s="1"/>
  <c r="E46" i="7"/>
  <c r="E44" i="7"/>
  <c r="E42" i="7"/>
  <c r="K31" i="7"/>
  <c r="L78" i="3" s="1"/>
  <c r="L22" i="7"/>
  <c r="K30" i="7"/>
  <c r="L77" i="3" s="1"/>
  <c r="K25" i="7"/>
  <c r="K58" i="7"/>
  <c r="K80" i="7" s="1"/>
  <c r="K26" i="7"/>
  <c r="K64" i="7"/>
  <c r="K82" i="7" s="1"/>
  <c r="K56" i="7"/>
  <c r="K78" i="7" s="1"/>
  <c r="K23" i="7"/>
  <c r="K188" i="7" s="1"/>
  <c r="L70" i="3" s="1"/>
  <c r="L69" i="3"/>
  <c r="H339" i="7"/>
  <c r="H296" i="7"/>
  <c r="H300" i="7"/>
  <c r="H299" i="7"/>
  <c r="H301" i="7"/>
  <c r="H298" i="7"/>
  <c r="H297" i="7"/>
  <c r="H185" i="7"/>
  <c r="H204" i="7" s="1"/>
  <c r="H100" i="3" s="1"/>
  <c r="I353" i="7"/>
  <c r="I318" i="7" s="1"/>
  <c r="G34" i="9"/>
  <c r="G67" i="9"/>
  <c r="G75" i="9" s="1"/>
  <c r="G89" i="9" s="1"/>
  <c r="I183" i="7"/>
  <c r="I163" i="7"/>
  <c r="I79" i="7"/>
  <c r="G370" i="7"/>
  <c r="H358" i="7"/>
  <c r="H323" i="7" s="1"/>
  <c r="H285" i="7" s="1"/>
  <c r="F37" i="7"/>
  <c r="F34" i="7"/>
  <c r="F187" i="7" s="1"/>
  <c r="G238" i="7"/>
  <c r="G241" i="7"/>
  <c r="G275" i="7"/>
  <c r="G264" i="7"/>
  <c r="G254" i="7"/>
  <c r="G288" i="7"/>
  <c r="I354" i="7"/>
  <c r="H67" i="9"/>
  <c r="H75" i="9" s="1"/>
  <c r="H34" i="9"/>
  <c r="I63" i="9" l="1"/>
  <c r="I185" i="7"/>
  <c r="I204" i="7" s="1"/>
  <c r="I100" i="3" s="1"/>
  <c r="K314" i="7"/>
  <c r="L313" i="7"/>
  <c r="J397" i="7"/>
  <c r="H237" i="7"/>
  <c r="H106" i="7"/>
  <c r="I53" i="7"/>
  <c r="H305" i="7"/>
  <c r="G210" i="7"/>
  <c r="G307" i="7"/>
  <c r="E67" i="3"/>
  <c r="D385" i="7"/>
  <c r="D52" i="7"/>
  <c r="D160" i="7"/>
  <c r="D72" i="7"/>
  <c r="D6" i="7"/>
  <c r="N398" i="7"/>
  <c r="O398" i="7" s="1"/>
  <c r="K235" i="7"/>
  <c r="L20" i="7"/>
  <c r="K52" i="7"/>
  <c r="K105" i="7" s="1"/>
  <c r="K6" i="7"/>
  <c r="K385" i="7"/>
  <c r="K195" i="7"/>
  <c r="K304" i="7"/>
  <c r="K72" i="7"/>
  <c r="L67" i="3"/>
  <c r="K160" i="7"/>
  <c r="I21" i="9"/>
  <c r="I24" i="9"/>
  <c r="I28" i="9" s="1"/>
  <c r="K112" i="3"/>
  <c r="J354" i="7"/>
  <c r="J319" i="7" s="1"/>
  <c r="J241" i="7"/>
  <c r="J238" i="7"/>
  <c r="G396" i="7"/>
  <c r="G408" i="7" s="1"/>
  <c r="G391" i="7"/>
  <c r="I299" i="7"/>
  <c r="I339" i="7"/>
  <c r="I296" i="7"/>
  <c r="I297" i="7"/>
  <c r="G339" i="7"/>
  <c r="G297" i="7"/>
  <c r="G300" i="7"/>
  <c r="G299" i="7"/>
  <c r="G298" i="7"/>
  <c r="G296" i="7"/>
  <c r="G301" i="7"/>
  <c r="K182" i="7"/>
  <c r="V74" i="9"/>
  <c r="G82" i="7" s="1"/>
  <c r="G185" i="7" s="1"/>
  <c r="G204" i="7"/>
  <c r="G100" i="3" s="1"/>
  <c r="J81" i="7"/>
  <c r="J185" i="7" s="1"/>
  <c r="J204" i="7" s="1"/>
  <c r="J100" i="3" s="1"/>
  <c r="J184" i="7"/>
  <c r="M310" i="7"/>
  <c r="M312" i="7"/>
  <c r="H32" i="7"/>
  <c r="I76" i="3"/>
  <c r="M22" i="7"/>
  <c r="L31" i="7"/>
  <c r="M78" i="3" s="1"/>
  <c r="L56" i="7"/>
  <c r="L25" i="7"/>
  <c r="L30" i="7"/>
  <c r="M77" i="3" s="1"/>
  <c r="L58" i="7"/>
  <c r="L80" i="7" s="1"/>
  <c r="L64" i="7"/>
  <c r="L82" i="7" s="1"/>
  <c r="L23" i="7"/>
  <c r="L188" i="7" s="1"/>
  <c r="M70" i="3" s="1"/>
  <c r="M69" i="3"/>
  <c r="K27" i="7"/>
  <c r="K397" i="7"/>
  <c r="L397" i="7" s="1"/>
  <c r="J14" i="7"/>
  <c r="I29" i="7"/>
  <c r="H83" i="9"/>
  <c r="I54" i="9"/>
  <c r="J353" i="7"/>
  <c r="J318" i="7" s="1"/>
  <c r="O209" i="7"/>
  <c r="N307" i="7"/>
  <c r="M315" i="7"/>
  <c r="V53" i="9"/>
  <c r="H340" i="7"/>
  <c r="H347" i="7"/>
  <c r="K57" i="7"/>
  <c r="K79" i="7" s="1"/>
  <c r="K63" i="7"/>
  <c r="L72" i="3"/>
  <c r="L73" i="3" s="1"/>
  <c r="J355" i="7"/>
  <c r="J320" i="7" s="1"/>
  <c r="F178" i="7"/>
  <c r="F41" i="7"/>
  <c r="F38" i="7"/>
  <c r="G85" i="3" s="1"/>
  <c r="G84" i="3"/>
  <c r="E47" i="7"/>
  <c r="F90" i="3" s="1"/>
  <c r="E75" i="7"/>
  <c r="E83" i="7" s="1"/>
  <c r="E97" i="7" s="1"/>
  <c r="E100" i="7" s="1"/>
  <c r="F89" i="3"/>
  <c r="K74" i="3"/>
  <c r="M311" i="7"/>
  <c r="G242" i="7"/>
  <c r="G244" i="7" s="1"/>
  <c r="G34" i="7"/>
  <c r="G187" i="7" s="1"/>
  <c r="G368" i="7"/>
  <c r="G367" i="7"/>
  <c r="G366" i="7"/>
  <c r="I319" i="7"/>
  <c r="I358" i="7"/>
  <c r="I323" i="7"/>
  <c r="I285" i="7" s="1"/>
  <c r="J183" i="7"/>
  <c r="F67" i="9"/>
  <c r="F75" i="9" s="1"/>
  <c r="F89" i="9" s="1"/>
  <c r="F34" i="9"/>
  <c r="J163" i="7"/>
  <c r="I67" i="9"/>
  <c r="E75" i="9"/>
  <c r="E89" i="9" s="1"/>
  <c r="H210" i="7" l="1"/>
  <c r="I210" i="7" s="1"/>
  <c r="J210" i="7" s="1"/>
  <c r="K210" i="7" s="1"/>
  <c r="L210" i="7" s="1"/>
  <c r="M210" i="7" s="1"/>
  <c r="N210" i="7" s="1"/>
  <c r="O210" i="7" s="1"/>
  <c r="P210" i="7" s="1"/>
  <c r="G211" i="7"/>
  <c r="H396" i="7"/>
  <c r="H408" i="7" s="1"/>
  <c r="H36" i="7" s="1"/>
  <c r="I396" i="7"/>
  <c r="I408" i="7" s="1"/>
  <c r="I36" i="7" s="1"/>
  <c r="K163" i="7"/>
  <c r="L314" i="7"/>
  <c r="M313" i="7"/>
  <c r="I237" i="7"/>
  <c r="J53" i="7"/>
  <c r="I305" i="7"/>
  <c r="I106" i="7"/>
  <c r="G318" i="7"/>
  <c r="G374" i="7" s="1"/>
  <c r="G323" i="7"/>
  <c r="G319" i="7"/>
  <c r="G375" i="7" s="1"/>
  <c r="G322" i="7"/>
  <c r="G320" i="7"/>
  <c r="G376" i="7" s="1"/>
  <c r="P209" i="7"/>
  <c r="P307" i="7" s="1"/>
  <c r="O307" i="7"/>
  <c r="L63" i="7"/>
  <c r="L57" i="7"/>
  <c r="M72" i="3"/>
  <c r="M73" i="3" s="1"/>
  <c r="I79" i="3"/>
  <c r="I80" i="3" s="1"/>
  <c r="I81" i="3" s="1"/>
  <c r="H33" i="7"/>
  <c r="H274" i="7"/>
  <c r="F65" i="7"/>
  <c r="J83" i="9"/>
  <c r="L182" i="7"/>
  <c r="N312" i="7"/>
  <c r="I340" i="7"/>
  <c r="I347" i="7"/>
  <c r="K354" i="7"/>
  <c r="K319" i="7"/>
  <c r="L235" i="7"/>
  <c r="M20" i="7"/>
  <c r="L6" i="7"/>
  <c r="L385" i="7"/>
  <c r="L304" i="7"/>
  <c r="L52" i="7"/>
  <c r="L105" i="7" s="1"/>
  <c r="L72" i="7"/>
  <c r="L195" i="7"/>
  <c r="L160" i="7"/>
  <c r="M67" i="3"/>
  <c r="F44" i="7"/>
  <c r="F42" i="7"/>
  <c r="F46" i="7"/>
  <c r="K355" i="7"/>
  <c r="K320" i="7" s="1"/>
  <c r="H87" i="9"/>
  <c r="I83" i="9"/>
  <c r="F91" i="7" s="1"/>
  <c r="F95" i="7" s="1"/>
  <c r="M397" i="7"/>
  <c r="N397" i="7" s="1"/>
  <c r="O397" i="7" s="1"/>
  <c r="H391" i="7"/>
  <c r="F117" i="3"/>
  <c r="K150" i="3"/>
  <c r="F115" i="3"/>
  <c r="F114" i="3"/>
  <c r="F121" i="3"/>
  <c r="K116" i="3"/>
  <c r="F113" i="3"/>
  <c r="F112" i="3"/>
  <c r="F111" i="3"/>
  <c r="F122" i="3"/>
  <c r="K238" i="7"/>
  <c r="K241" i="7"/>
  <c r="K264" i="7"/>
  <c r="K275" i="7"/>
  <c r="K288" i="7"/>
  <c r="K254" i="7"/>
  <c r="F75" i="7"/>
  <c r="F83" i="7" s="1"/>
  <c r="F97" i="7" s="1"/>
  <c r="I75" i="9"/>
  <c r="I32" i="7"/>
  <c r="J76" i="3"/>
  <c r="L26" i="7"/>
  <c r="I77" i="7"/>
  <c r="I203" i="7" s="1"/>
  <c r="J83" i="3"/>
  <c r="J339" i="7"/>
  <c r="J296" i="7"/>
  <c r="J297" i="7"/>
  <c r="I33" i="9"/>
  <c r="I34" i="9" s="1"/>
  <c r="I29" i="9"/>
  <c r="N311" i="7"/>
  <c r="K353" i="7"/>
  <c r="K318" i="7" s="1"/>
  <c r="K14" i="7"/>
  <c r="J29" i="7"/>
  <c r="M31" i="7"/>
  <c r="N78" i="3" s="1"/>
  <c r="M30" i="7"/>
  <c r="N77" i="3" s="1"/>
  <c r="N22" i="7"/>
  <c r="M25" i="7"/>
  <c r="M64" i="7"/>
  <c r="M82" i="7" s="1"/>
  <c r="M58" i="7"/>
  <c r="M80" i="7" s="1"/>
  <c r="M23" i="7"/>
  <c r="M188" i="7" s="1"/>
  <c r="N70" i="3" s="1"/>
  <c r="M56" i="7"/>
  <c r="N69" i="3"/>
  <c r="N310" i="7"/>
  <c r="G347" i="7"/>
  <c r="G340" i="7"/>
  <c r="H77" i="7"/>
  <c r="H203" i="7" s="1"/>
  <c r="I83" i="3"/>
  <c r="L74" i="3"/>
  <c r="K81" i="7"/>
  <c r="K185" i="7" s="1"/>
  <c r="K204" i="7" s="1"/>
  <c r="K100" i="3" s="1"/>
  <c r="K184" i="7"/>
  <c r="N315" i="7"/>
  <c r="J358" i="7"/>
  <c r="J323" i="7" s="1"/>
  <c r="J285" i="7" s="1"/>
  <c r="F99" i="7"/>
  <c r="E55" i="7"/>
  <c r="K183" i="7"/>
  <c r="L78" i="7"/>
  <c r="J396" i="7"/>
  <c r="V23" i="9"/>
  <c r="G410" i="7"/>
  <c r="H410" i="7" s="1"/>
  <c r="I410" i="7" s="1"/>
  <c r="L163" i="7" l="1"/>
  <c r="M314" i="7"/>
  <c r="N313" i="7"/>
  <c r="L79" i="7"/>
  <c r="G285" i="7"/>
  <c r="G378" i="7"/>
  <c r="K53" i="7"/>
  <c r="J237" i="7"/>
  <c r="J106" i="7"/>
  <c r="J305" i="7"/>
  <c r="V69" i="9"/>
  <c r="G77" i="7" s="1"/>
  <c r="T23" i="9"/>
  <c r="G36" i="7"/>
  <c r="V24" i="9"/>
  <c r="G274" i="7"/>
  <c r="G356" i="7"/>
  <c r="F187" i="3"/>
  <c r="F188" i="3" s="1"/>
  <c r="N20" i="7"/>
  <c r="M235" i="7"/>
  <c r="M385" i="7"/>
  <c r="M304" i="7"/>
  <c r="M160" i="7"/>
  <c r="M52" i="7"/>
  <c r="M105" i="7" s="1"/>
  <c r="M6" i="7"/>
  <c r="M195" i="7"/>
  <c r="M72" i="7"/>
  <c r="N67" i="3"/>
  <c r="I274" i="7"/>
  <c r="J87" i="9"/>
  <c r="N83" i="9"/>
  <c r="L14" i="7"/>
  <c r="K29" i="7"/>
  <c r="M57" i="7"/>
  <c r="M79" i="7" s="1"/>
  <c r="M63" i="7"/>
  <c r="N72" i="3"/>
  <c r="N73" i="3" s="1"/>
  <c r="J340" i="7"/>
  <c r="J347" i="7"/>
  <c r="L264" i="7"/>
  <c r="L238" i="7"/>
  <c r="L241" i="7"/>
  <c r="L254" i="7"/>
  <c r="L288" i="7"/>
  <c r="L275" i="7"/>
  <c r="F174" i="7"/>
  <c r="J408" i="7"/>
  <c r="J36" i="7" s="1"/>
  <c r="K396" i="7"/>
  <c r="K408" i="7" s="1"/>
  <c r="K36" i="7" s="1"/>
  <c r="O310" i="7"/>
  <c r="F100" i="7"/>
  <c r="G99" i="7" s="1"/>
  <c r="H412" i="7"/>
  <c r="H60" i="7" s="1"/>
  <c r="H165" i="7" s="1"/>
  <c r="I391" i="7"/>
  <c r="L355" i="7"/>
  <c r="L320" i="7"/>
  <c r="K358" i="7"/>
  <c r="K323" i="7" s="1"/>
  <c r="K285" i="7" s="1"/>
  <c r="N30" i="7"/>
  <c r="O77" i="3" s="1"/>
  <c r="N31" i="7"/>
  <c r="O78" i="3" s="1"/>
  <c r="N25" i="7"/>
  <c r="N26" i="7"/>
  <c r="N64" i="7"/>
  <c r="N82" i="7" s="1"/>
  <c r="N56" i="7"/>
  <c r="N23" i="7"/>
  <c r="N188" i="7" s="1"/>
  <c r="O70" i="3" s="1"/>
  <c r="O22" i="7"/>
  <c r="N58" i="7"/>
  <c r="N80" i="7" s="1"/>
  <c r="O69" i="3"/>
  <c r="O315" i="7"/>
  <c r="G412" i="7"/>
  <c r="F47" i="7"/>
  <c r="G90" i="3" s="1"/>
  <c r="F115" i="7"/>
  <c r="G89" i="3"/>
  <c r="O312" i="7"/>
  <c r="H34" i="7"/>
  <c r="H187" i="7" s="1"/>
  <c r="H242" i="7"/>
  <c r="H244" i="7" s="1"/>
  <c r="H37" i="7"/>
  <c r="H368" i="7"/>
  <c r="H366" i="7"/>
  <c r="H367" i="7"/>
  <c r="H370" i="7"/>
  <c r="F194" i="3"/>
  <c r="E123" i="3"/>
  <c r="L354" i="7"/>
  <c r="M182" i="7"/>
  <c r="L353" i="7"/>
  <c r="L27" i="7"/>
  <c r="M74" i="3"/>
  <c r="D44" i="9"/>
  <c r="E61" i="7"/>
  <c r="E170" i="7"/>
  <c r="E176" i="7" s="1"/>
  <c r="E181" i="7"/>
  <c r="F98" i="3"/>
  <c r="M26" i="7"/>
  <c r="O311" i="7"/>
  <c r="L183" i="7"/>
  <c r="J32" i="7"/>
  <c r="K76" i="3"/>
  <c r="J79" i="3"/>
  <c r="J80" i="3" s="1"/>
  <c r="J81" i="3" s="1"/>
  <c r="I33" i="7"/>
  <c r="K339" i="7"/>
  <c r="K300" i="7"/>
  <c r="K299" i="7"/>
  <c r="K298" i="7"/>
  <c r="K297" i="7"/>
  <c r="K301" i="7"/>
  <c r="K296" i="7"/>
  <c r="I87" i="9"/>
  <c r="H89" i="9"/>
  <c r="M78" i="7"/>
  <c r="L81" i="7"/>
  <c r="L184" i="7"/>
  <c r="L185" i="7" l="1"/>
  <c r="L204" i="7" s="1"/>
  <c r="L100" i="3" s="1"/>
  <c r="O313" i="7"/>
  <c r="N314" i="7"/>
  <c r="K106" i="7"/>
  <c r="K237" i="7"/>
  <c r="K305" i="7"/>
  <c r="L53" i="7"/>
  <c r="H83" i="3"/>
  <c r="G37" i="7"/>
  <c r="N182" i="7"/>
  <c r="M183" i="7"/>
  <c r="O20" i="7"/>
  <c r="N235" i="7"/>
  <c r="N304" i="7"/>
  <c r="N160" i="7"/>
  <c r="N52" i="7"/>
  <c r="N105" i="7" s="1"/>
  <c r="N6" i="7"/>
  <c r="N72" i="7"/>
  <c r="N385" i="7"/>
  <c r="N195" i="7"/>
  <c r="O67" i="3"/>
  <c r="T69" i="9"/>
  <c r="K23" i="9"/>
  <c r="S23" i="9"/>
  <c r="T24" i="9"/>
  <c r="M27" i="7"/>
  <c r="M353" i="7"/>
  <c r="M318" i="7" s="1"/>
  <c r="P315" i="7"/>
  <c r="L358" i="7"/>
  <c r="L323" i="7"/>
  <c r="L285" i="7" s="1"/>
  <c r="P310" i="7"/>
  <c r="F175" i="7"/>
  <c r="G96" i="3" s="1"/>
  <c r="G97" i="3"/>
  <c r="F179" i="7"/>
  <c r="K32" i="7"/>
  <c r="L76" i="3"/>
  <c r="K340" i="7"/>
  <c r="K347" i="7"/>
  <c r="M354" i="7"/>
  <c r="L339" i="7"/>
  <c r="L301" i="7"/>
  <c r="L298" i="7"/>
  <c r="L297" i="7"/>
  <c r="L296" i="7"/>
  <c r="L299" i="7"/>
  <c r="L300" i="7"/>
  <c r="M14" i="7"/>
  <c r="L29" i="7"/>
  <c r="I242" i="7"/>
  <c r="I244" i="7" s="1"/>
  <c r="I34" i="7"/>
  <c r="I187" i="7" s="1"/>
  <c r="I37" i="7"/>
  <c r="I366" i="7"/>
  <c r="I368" i="7"/>
  <c r="I367" i="7"/>
  <c r="I370" i="7"/>
  <c r="M163" i="7"/>
  <c r="K77" i="7"/>
  <c r="K203" i="7" s="1"/>
  <c r="L83" i="3"/>
  <c r="N87" i="9"/>
  <c r="P311" i="7"/>
  <c r="H374" i="7"/>
  <c r="H38" i="7"/>
  <c r="I85" i="3" s="1"/>
  <c r="H375" i="7"/>
  <c r="H201" i="7"/>
  <c r="H376" i="7"/>
  <c r="H378" i="7"/>
  <c r="I84" i="3"/>
  <c r="M81" i="7"/>
  <c r="M184" i="7"/>
  <c r="P199" i="3"/>
  <c r="F123" i="3"/>
  <c r="N78" i="7"/>
  <c r="N57" i="7"/>
  <c r="N63" i="7"/>
  <c r="O72" i="3"/>
  <c r="O73" i="3" s="1"/>
  <c r="M355" i="7"/>
  <c r="M320" i="7"/>
  <c r="J274" i="7"/>
  <c r="H356" i="7"/>
  <c r="H321" i="7" s="1"/>
  <c r="G369" i="7"/>
  <c r="G321" i="7"/>
  <c r="I89" i="9"/>
  <c r="P312" i="7"/>
  <c r="N27" i="7"/>
  <c r="I412" i="7"/>
  <c r="I60" i="7" s="1"/>
  <c r="I165" i="7" s="1"/>
  <c r="J391" i="7"/>
  <c r="D50" i="9"/>
  <c r="D92" i="9"/>
  <c r="M238" i="7"/>
  <c r="M241" i="7"/>
  <c r="K79" i="3"/>
  <c r="K80" i="3" s="1"/>
  <c r="K81" i="3" s="1"/>
  <c r="J33" i="7"/>
  <c r="M185" i="7"/>
  <c r="M204" i="7" s="1"/>
  <c r="M100" i="3" s="1"/>
  <c r="L319" i="7"/>
  <c r="J77" i="7"/>
  <c r="J203" i="7" s="1"/>
  <c r="K83" i="3"/>
  <c r="L396" i="7"/>
  <c r="J410" i="7"/>
  <c r="K410" i="7" s="1"/>
  <c r="E191" i="7"/>
  <c r="E67" i="7"/>
  <c r="L318" i="7"/>
  <c r="O25" i="7"/>
  <c r="O56" i="7"/>
  <c r="O64" i="7"/>
  <c r="O82" i="7" s="1"/>
  <c r="P22" i="7"/>
  <c r="O30" i="7"/>
  <c r="P77" i="3" s="1"/>
  <c r="O26" i="7"/>
  <c r="O58" i="7"/>
  <c r="O31" i="7"/>
  <c r="P78" i="3" s="1"/>
  <c r="O23" i="7"/>
  <c r="O188" i="7" s="1"/>
  <c r="P70" i="3" s="1"/>
  <c r="P69" i="3"/>
  <c r="N74" i="3"/>
  <c r="V25" i="9"/>
  <c r="N163" i="7" l="1"/>
  <c r="O314" i="7"/>
  <c r="P313" i="7"/>
  <c r="P314" i="7" s="1"/>
  <c r="L106" i="7"/>
  <c r="M53" i="7"/>
  <c r="L305" i="7"/>
  <c r="L237" i="7"/>
  <c r="H202" i="7"/>
  <c r="H206" i="7" s="1"/>
  <c r="H211" i="7" s="1"/>
  <c r="E91" i="9"/>
  <c r="E92" i="9" s="1"/>
  <c r="I91" i="9"/>
  <c r="N354" i="7"/>
  <c r="I356" i="7"/>
  <c r="H369" i="7"/>
  <c r="N81" i="7"/>
  <c r="N184" i="7"/>
  <c r="I38" i="7"/>
  <c r="J85" i="3" s="1"/>
  <c r="I378" i="7"/>
  <c r="I375" i="7"/>
  <c r="I374" i="7"/>
  <c r="I376" i="7"/>
  <c r="I201" i="7"/>
  <c r="J84" i="3"/>
  <c r="K274" i="7"/>
  <c r="G38" i="7"/>
  <c r="H85" i="3" s="1"/>
  <c r="H84" i="3"/>
  <c r="H273" i="7"/>
  <c r="K69" i="9"/>
  <c r="K24" i="9"/>
  <c r="O182" i="7"/>
  <c r="N183" i="7"/>
  <c r="H377" i="7"/>
  <c r="N287" i="7"/>
  <c r="N253" i="7"/>
  <c r="N241" i="7"/>
  <c r="N238" i="7"/>
  <c r="N263" i="7"/>
  <c r="N264" i="7"/>
  <c r="N275" i="7"/>
  <c r="N288" i="7"/>
  <c r="N254" i="7"/>
  <c r="N353" i="7"/>
  <c r="N318" i="7" s="1"/>
  <c r="O235" i="7"/>
  <c r="P20" i="7"/>
  <c r="O160" i="7"/>
  <c r="O52" i="7"/>
  <c r="O105" i="7" s="1"/>
  <c r="O6" i="7"/>
  <c r="O304" i="7"/>
  <c r="O72" i="7"/>
  <c r="O385" i="7"/>
  <c r="O195" i="7"/>
  <c r="P67" i="3"/>
  <c r="O74" i="3"/>
  <c r="K391" i="7"/>
  <c r="J412" i="7"/>
  <c r="J60" i="7" s="1"/>
  <c r="J165" i="7" s="1"/>
  <c r="O63" i="7"/>
  <c r="O57" i="7"/>
  <c r="P72" i="3"/>
  <c r="P73" i="3" s="1"/>
  <c r="J242" i="7"/>
  <c r="J244" i="7" s="1"/>
  <c r="J299" i="7" s="1"/>
  <c r="J34" i="7"/>
  <c r="J187" i="7" s="1"/>
  <c r="J37" i="7"/>
  <c r="J366" i="7"/>
  <c r="J367" i="7"/>
  <c r="J368" i="7"/>
  <c r="J370" i="7"/>
  <c r="O80" i="7"/>
  <c r="L32" i="7"/>
  <c r="M76" i="3"/>
  <c r="L347" i="7"/>
  <c r="L340" i="7"/>
  <c r="G377" i="7"/>
  <c r="G273" i="7"/>
  <c r="G324" i="7"/>
  <c r="N14" i="7"/>
  <c r="M29" i="7"/>
  <c r="L79" i="3"/>
  <c r="L80" i="3" s="1"/>
  <c r="L81" i="3" s="1"/>
  <c r="K33" i="7"/>
  <c r="M358" i="7"/>
  <c r="M323" i="7" s="1"/>
  <c r="M285" i="7" s="1"/>
  <c r="N79" i="7"/>
  <c r="N185" i="7" s="1"/>
  <c r="N204" i="7" s="1"/>
  <c r="N100" i="3" s="1"/>
  <c r="O27" i="7"/>
  <c r="D56" i="9"/>
  <c r="E169" i="7"/>
  <c r="E171" i="7" s="1"/>
  <c r="E172" i="7" s="1"/>
  <c r="E68" i="7"/>
  <c r="E69" i="7" s="1"/>
  <c r="E190" i="7"/>
  <c r="L408" i="7"/>
  <c r="L36" i="7" s="1"/>
  <c r="M396" i="7"/>
  <c r="M408" i="7" s="1"/>
  <c r="M36" i="7" s="1"/>
  <c r="M319" i="7"/>
  <c r="T25" i="9"/>
  <c r="P30" i="7"/>
  <c r="P31" i="7"/>
  <c r="P25" i="7"/>
  <c r="P26" i="7"/>
  <c r="P64" i="7"/>
  <c r="P82" i="7" s="1"/>
  <c r="P56" i="7"/>
  <c r="P78" i="7" s="1"/>
  <c r="P58" i="7"/>
  <c r="P80" i="7" s="1"/>
  <c r="M339" i="7"/>
  <c r="M296" i="7"/>
  <c r="N355" i="7"/>
  <c r="N320" i="7" s="1"/>
  <c r="U23" i="9"/>
  <c r="J23" i="9"/>
  <c r="S69" i="9"/>
  <c r="S24" i="9"/>
  <c r="O78" i="7"/>
  <c r="O163" i="7" l="1"/>
  <c r="M237" i="7"/>
  <c r="M106" i="7"/>
  <c r="M305" i="7"/>
  <c r="N53" i="7"/>
  <c r="N265" i="7"/>
  <c r="O354" i="7"/>
  <c r="O319" i="7"/>
  <c r="P74" i="3"/>
  <c r="P235" i="7"/>
  <c r="P6" i="7"/>
  <c r="P304" i="7"/>
  <c r="P160" i="7"/>
  <c r="P52" i="7"/>
  <c r="P105" i="7" s="1"/>
  <c r="P72" i="7"/>
  <c r="P195" i="7"/>
  <c r="P385" i="7"/>
  <c r="N255" i="7"/>
  <c r="M32" i="7"/>
  <c r="N76" i="3"/>
  <c r="L274" i="7"/>
  <c r="J38" i="7"/>
  <c r="K85" i="3" s="1"/>
  <c r="J376" i="7"/>
  <c r="J378" i="7"/>
  <c r="J201" i="7"/>
  <c r="J375" i="7"/>
  <c r="J374" i="7"/>
  <c r="K84" i="3"/>
  <c r="O183" i="7"/>
  <c r="O238" i="7"/>
  <c r="O263" i="7"/>
  <c r="O287" i="7"/>
  <c r="O253" i="7"/>
  <c r="O254" i="7"/>
  <c r="O264" i="7"/>
  <c r="O241" i="7"/>
  <c r="O288" i="7"/>
  <c r="O275" i="7"/>
  <c r="K28" i="9"/>
  <c r="K25" i="9"/>
  <c r="F91" i="9"/>
  <c r="F92" i="9" s="1"/>
  <c r="E44" i="9"/>
  <c r="E50" i="9" s="1"/>
  <c r="J69" i="9"/>
  <c r="N23" i="9"/>
  <c r="N24" i="9" s="1"/>
  <c r="P23" i="9"/>
  <c r="P24" i="9" s="1"/>
  <c r="J24" i="9"/>
  <c r="P27" i="7"/>
  <c r="D57" i="9"/>
  <c r="D58" i="9" s="1"/>
  <c r="E56" i="9"/>
  <c r="O81" i="7"/>
  <c r="O184" i="7"/>
  <c r="J356" i="7"/>
  <c r="I369" i="7"/>
  <c r="O14" i="7"/>
  <c r="N29" i="7"/>
  <c r="U69" i="9"/>
  <c r="G203" i="7"/>
  <c r="U24" i="9"/>
  <c r="P63" i="7"/>
  <c r="P57" i="7"/>
  <c r="P183" i="7" s="1"/>
  <c r="M77" i="7"/>
  <c r="M203" i="7" s="1"/>
  <c r="N83" i="3"/>
  <c r="M79" i="3"/>
  <c r="M80" i="3" s="1"/>
  <c r="M81" i="3" s="1"/>
  <c r="L33" i="7"/>
  <c r="I321" i="7"/>
  <c r="S25" i="9"/>
  <c r="L410" i="7"/>
  <c r="M410" i="7" s="1"/>
  <c r="L391" i="7"/>
  <c r="K412" i="7"/>
  <c r="K60" i="7" s="1"/>
  <c r="K165" i="7" s="1"/>
  <c r="O353" i="7"/>
  <c r="H276" i="7"/>
  <c r="H331" i="7"/>
  <c r="P182" i="7"/>
  <c r="M340" i="7"/>
  <c r="M347" i="7"/>
  <c r="L77" i="7"/>
  <c r="L203" i="7" s="1"/>
  <c r="M83" i="3"/>
  <c r="N358" i="7"/>
  <c r="N323" i="7"/>
  <c r="N285" i="7" s="1"/>
  <c r="N289" i="7" s="1"/>
  <c r="O79" i="7"/>
  <c r="I202" i="7"/>
  <c r="I206" i="7" s="1"/>
  <c r="I211" i="7" s="1"/>
  <c r="N319" i="7"/>
  <c r="U27" i="9"/>
  <c r="G379" i="7"/>
  <c r="O355" i="7"/>
  <c r="K242" i="7"/>
  <c r="K244" i="7" s="1"/>
  <c r="K34" i="7"/>
  <c r="K187" i="7" s="1"/>
  <c r="K37" i="7"/>
  <c r="K367" i="7"/>
  <c r="K368" i="7"/>
  <c r="K366" i="7"/>
  <c r="K370" i="7"/>
  <c r="G276" i="7"/>
  <c r="G331" i="7"/>
  <c r="N296" i="7"/>
  <c r="N339" i="7"/>
  <c r="N299" i="7"/>
  <c r="N300" i="7"/>
  <c r="N297" i="7"/>
  <c r="N301" i="7"/>
  <c r="N298" i="7"/>
  <c r="N396" i="7"/>
  <c r="O185" i="7" l="1"/>
  <c r="O204" i="7" s="1"/>
  <c r="O100" i="3" s="1"/>
  <c r="P163" i="7"/>
  <c r="O53" i="7"/>
  <c r="N106" i="7"/>
  <c r="N305" i="7"/>
  <c r="N237" i="7"/>
  <c r="O255" i="7"/>
  <c r="G333" i="7"/>
  <c r="G348" i="7"/>
  <c r="G350" i="7" s="1"/>
  <c r="F360" i="7" s="1"/>
  <c r="P355" i="7"/>
  <c r="P320" i="7" s="1"/>
  <c r="I273" i="7"/>
  <c r="I377" i="7"/>
  <c r="K356" i="7"/>
  <c r="K321" i="7" s="1"/>
  <c r="K377" i="7" s="1"/>
  <c r="J369" i="7"/>
  <c r="O265" i="7"/>
  <c r="M274" i="7"/>
  <c r="J28" i="9"/>
  <c r="J25" i="9"/>
  <c r="O298" i="7"/>
  <c r="O297" i="7"/>
  <c r="O339" i="7"/>
  <c r="O300" i="7"/>
  <c r="O301" i="7"/>
  <c r="O296" i="7"/>
  <c r="O299" i="7"/>
  <c r="N79" i="3"/>
  <c r="N80" i="3" s="1"/>
  <c r="N81" i="3" s="1"/>
  <c r="M33" i="7"/>
  <c r="U28" i="9"/>
  <c r="U25" i="9"/>
  <c r="G201" i="7"/>
  <c r="K29" i="9"/>
  <c r="K33" i="9"/>
  <c r="J202" i="7"/>
  <c r="J206" i="7" s="1"/>
  <c r="J211" i="7" s="1"/>
  <c r="N340" i="7"/>
  <c r="N347" i="7"/>
  <c r="T27" i="9"/>
  <c r="U68" i="9"/>
  <c r="P353" i="7"/>
  <c r="P318" i="7"/>
  <c r="L34" i="7"/>
  <c r="L187" i="7" s="1"/>
  <c r="L242" i="7"/>
  <c r="L244" i="7" s="1"/>
  <c r="L37" i="7"/>
  <c r="L367" i="7"/>
  <c r="L368" i="7"/>
  <c r="L366" i="7"/>
  <c r="L370" i="7"/>
  <c r="P25" i="9"/>
  <c r="P28" i="9"/>
  <c r="P354" i="7"/>
  <c r="K375" i="7"/>
  <c r="K38" i="7"/>
  <c r="L85" i="3" s="1"/>
  <c r="K201" i="7"/>
  <c r="K376" i="7"/>
  <c r="K378" i="7"/>
  <c r="K374" i="7"/>
  <c r="L84" i="3"/>
  <c r="N32" i="7"/>
  <c r="O76" i="3"/>
  <c r="N25" i="9"/>
  <c r="N28" i="9"/>
  <c r="P79" i="7"/>
  <c r="P14" i="7"/>
  <c r="P29" i="7" s="1"/>
  <c r="P32" i="7" s="1"/>
  <c r="P33" i="7" s="1"/>
  <c r="O29" i="7"/>
  <c r="P253" i="7"/>
  <c r="P263" i="7"/>
  <c r="P254" i="7"/>
  <c r="P238" i="7"/>
  <c r="P288" i="7"/>
  <c r="P287" i="7"/>
  <c r="P241" i="7"/>
  <c r="P275" i="7"/>
  <c r="P264" i="7"/>
  <c r="H333" i="7"/>
  <c r="F56" i="9"/>
  <c r="E57" i="9"/>
  <c r="E58" i="9" s="1"/>
  <c r="N408" i="7"/>
  <c r="N36" i="7" s="1"/>
  <c r="O396" i="7"/>
  <c r="O408" i="7" s="1"/>
  <c r="O36" i="7" s="1"/>
  <c r="M391" i="7"/>
  <c r="L412" i="7"/>
  <c r="L60" i="7" s="1"/>
  <c r="L165" i="7" s="1"/>
  <c r="N69" i="9"/>
  <c r="P69" i="9" s="1"/>
  <c r="J49" i="9"/>
  <c r="K49" i="9" s="1"/>
  <c r="N49" i="9" s="1"/>
  <c r="P49" i="9" s="1"/>
  <c r="O320" i="7"/>
  <c r="O358" i="7"/>
  <c r="J321" i="7"/>
  <c r="G91" i="9"/>
  <c r="G92" i="9" s="1"/>
  <c r="F44" i="9"/>
  <c r="F50" i="9" s="1"/>
  <c r="O318" i="7"/>
  <c r="P81" i="7"/>
  <c r="P184" i="7"/>
  <c r="O106" i="7" l="1"/>
  <c r="O237" i="7"/>
  <c r="O305" i="7"/>
  <c r="P53" i="7"/>
  <c r="P255" i="7"/>
  <c r="P265" i="7"/>
  <c r="L375" i="7"/>
  <c r="L38" i="7"/>
  <c r="M85" i="3" s="1"/>
  <c r="L376" i="7"/>
  <c r="L378" i="7"/>
  <c r="L201" i="7"/>
  <c r="L374" i="7"/>
  <c r="M84" i="3"/>
  <c r="I331" i="7"/>
  <c r="O79" i="3"/>
  <c r="O80" i="3" s="1"/>
  <c r="O81" i="3" s="1"/>
  <c r="N33" i="7"/>
  <c r="P367" i="7"/>
  <c r="S27" i="9"/>
  <c r="T68" i="9"/>
  <c r="T84" i="9" s="1"/>
  <c r="T28" i="9"/>
  <c r="G202" i="7"/>
  <c r="G206" i="7"/>
  <c r="N77" i="7"/>
  <c r="N203" i="7" s="1"/>
  <c r="O83" i="3"/>
  <c r="P358" i="7"/>
  <c r="P370" i="7" s="1"/>
  <c r="O32" i="7"/>
  <c r="P76" i="3"/>
  <c r="P29" i="9"/>
  <c r="P33" i="9"/>
  <c r="P34" i="9" s="1"/>
  <c r="N274" i="7"/>
  <c r="O347" i="7"/>
  <c r="O340" i="7"/>
  <c r="S49" i="9"/>
  <c r="T49" i="9" s="1"/>
  <c r="U49" i="9" s="1"/>
  <c r="V49" i="9" s="1"/>
  <c r="G60" i="7"/>
  <c r="G165" i="7" s="1"/>
  <c r="P37" i="7"/>
  <c r="P34" i="7"/>
  <c r="P187" i="7" s="1"/>
  <c r="P242" i="7"/>
  <c r="P244" i="7" s="1"/>
  <c r="K202" i="7"/>
  <c r="K206" i="7" s="1"/>
  <c r="K211" i="7" s="1"/>
  <c r="U29" i="9"/>
  <c r="K273" i="7"/>
  <c r="P368" i="7"/>
  <c r="G56" i="9"/>
  <c r="F57" i="9"/>
  <c r="F58" i="9" s="1"/>
  <c r="M242" i="7"/>
  <c r="M244" i="7" s="1"/>
  <c r="M37" i="7"/>
  <c r="M34" i="7"/>
  <c r="M187" i="7" s="1"/>
  <c r="M367" i="7"/>
  <c r="M366" i="7"/>
  <c r="M297" i="7"/>
  <c r="M368" i="7"/>
  <c r="M370" i="7"/>
  <c r="P54" i="9"/>
  <c r="F361" i="7"/>
  <c r="P55" i="9" s="1"/>
  <c r="N410" i="7"/>
  <c r="O410" i="7" s="1"/>
  <c r="P410" i="7" s="1"/>
  <c r="P185" i="7"/>
  <c r="P204" i="7" s="1"/>
  <c r="P100" i="3" s="1"/>
  <c r="L356" i="7"/>
  <c r="L321" i="7" s="1"/>
  <c r="K369" i="7"/>
  <c r="G357" i="7"/>
  <c r="P298" i="7"/>
  <c r="P297" i="7"/>
  <c r="P296" i="7"/>
  <c r="P111" i="3" s="1"/>
  <c r="K156" i="3" s="1"/>
  <c r="K151" i="3" s="1"/>
  <c r="G188" i="3" s="1"/>
  <c r="F189" i="3" s="1"/>
  <c r="P339" i="7"/>
  <c r="P301" i="7"/>
  <c r="P300" i="7"/>
  <c r="P299" i="7"/>
  <c r="H91" i="9"/>
  <c r="H92" i="9" s="1"/>
  <c r="G44" i="9"/>
  <c r="G50" i="9" s="1"/>
  <c r="J273" i="7"/>
  <c r="J377" i="7"/>
  <c r="M412" i="7"/>
  <c r="M60" i="7" s="1"/>
  <c r="M165" i="7" s="1"/>
  <c r="N391" i="7"/>
  <c r="N31" i="9"/>
  <c r="N29" i="9"/>
  <c r="N33" i="9"/>
  <c r="P366" i="7"/>
  <c r="J29" i="9"/>
  <c r="J33" i="9"/>
  <c r="O323" i="7"/>
  <c r="O285" i="7" s="1"/>
  <c r="O289" i="7" s="1"/>
  <c r="O77" i="7"/>
  <c r="O203" i="7" s="1"/>
  <c r="P83" i="3"/>
  <c r="P319" i="7"/>
  <c r="K67" i="9"/>
  <c r="K75" i="9" s="1"/>
  <c r="K89" i="9" s="1"/>
  <c r="K34" i="9"/>
  <c r="P323" i="7" l="1"/>
  <c r="P285" i="7" s="1"/>
  <c r="P289" i="7" s="1"/>
  <c r="P305" i="7"/>
  <c r="P106" i="7"/>
  <c r="P237" i="7"/>
  <c r="P112" i="3"/>
  <c r="K153" i="3" s="1"/>
  <c r="K152" i="3" s="1"/>
  <c r="G189" i="3" s="1"/>
  <c r="L273" i="7"/>
  <c r="O55" i="9"/>
  <c r="S55" i="9"/>
  <c r="T55" i="9" s="1"/>
  <c r="U55" i="9" s="1"/>
  <c r="V55" i="9" s="1"/>
  <c r="G66" i="7"/>
  <c r="M375" i="7"/>
  <c r="M38" i="7"/>
  <c r="N85" i="3" s="1"/>
  <c r="M376" i="7"/>
  <c r="M378" i="7"/>
  <c r="M201" i="7"/>
  <c r="M374" i="7"/>
  <c r="N84" i="3"/>
  <c r="O54" i="9"/>
  <c r="S54" i="9"/>
  <c r="G65" i="7"/>
  <c r="M299" i="7"/>
  <c r="P116" i="3" s="1"/>
  <c r="P374" i="7"/>
  <c r="P38" i="7"/>
  <c r="P201" i="7"/>
  <c r="P378" i="7"/>
  <c r="P375" i="7"/>
  <c r="P376" i="7"/>
  <c r="N242" i="7"/>
  <c r="N244" i="7" s="1"/>
  <c r="N34" i="7"/>
  <c r="N187" i="7" s="1"/>
  <c r="N37" i="7"/>
  <c r="N368" i="7"/>
  <c r="N367" i="7"/>
  <c r="N366" i="7"/>
  <c r="N370" i="7"/>
  <c r="L202" i="7"/>
  <c r="P340" i="7"/>
  <c r="P347" i="7"/>
  <c r="J331" i="7"/>
  <c r="G58" i="9"/>
  <c r="O274" i="7"/>
  <c r="I333" i="7"/>
  <c r="L377" i="7"/>
  <c r="J34" i="9"/>
  <c r="J67" i="9"/>
  <c r="M356" i="7"/>
  <c r="M321" i="7" s="1"/>
  <c r="L369" i="7"/>
  <c r="T29" i="9"/>
  <c r="I92" i="9"/>
  <c r="H44" i="9"/>
  <c r="H322" i="7"/>
  <c r="H324" i="7" s="1"/>
  <c r="G359" i="7"/>
  <c r="H348" i="7"/>
  <c r="H350" i="7" s="1"/>
  <c r="G360" i="7" s="1"/>
  <c r="V27" i="9"/>
  <c r="S68" i="9"/>
  <c r="S84" i="9" s="1"/>
  <c r="U84" i="9" s="1"/>
  <c r="V84" i="9" s="1"/>
  <c r="G92" i="7" s="1"/>
  <c r="H102" i="3" s="1"/>
  <c r="S28" i="9"/>
  <c r="P79" i="3"/>
  <c r="P80" i="3" s="1"/>
  <c r="P81" i="3" s="1"/>
  <c r="O33" i="7"/>
  <c r="N34" i="9"/>
  <c r="K113" i="3"/>
  <c r="H56" i="9"/>
  <c r="G57" i="9"/>
  <c r="N412" i="7"/>
  <c r="N60" i="7" s="1"/>
  <c r="N165" i="7" s="1"/>
  <c r="O391" i="7"/>
  <c r="F362" i="7"/>
  <c r="K276" i="7"/>
  <c r="K331" i="7"/>
  <c r="F190" i="3" l="1"/>
  <c r="F195" i="3"/>
  <c r="F196" i="3" s="1"/>
  <c r="M202" i="7"/>
  <c r="M206" i="7" s="1"/>
  <c r="M211" i="7" s="1"/>
  <c r="K333" i="7"/>
  <c r="M273" i="7"/>
  <c r="G361" i="7"/>
  <c r="G362" i="7" s="1"/>
  <c r="G371" i="7"/>
  <c r="P274" i="7"/>
  <c r="G174" i="7"/>
  <c r="G246" i="7"/>
  <c r="I56" i="9"/>
  <c r="H57" i="9"/>
  <c r="H40" i="7"/>
  <c r="H379" i="7"/>
  <c r="O34" i="7"/>
  <c r="O187" i="7" s="1"/>
  <c r="O242" i="7"/>
  <c r="O244" i="7" s="1"/>
  <c r="O37" i="7"/>
  <c r="O366" i="7"/>
  <c r="O367" i="7"/>
  <c r="O368" i="7"/>
  <c r="O370" i="7"/>
  <c r="H357" i="7"/>
  <c r="O412" i="7"/>
  <c r="O60" i="7" s="1"/>
  <c r="O165" i="7" s="1"/>
  <c r="P391" i="7"/>
  <c r="P412" i="7" s="1"/>
  <c r="P60" i="7" s="1"/>
  <c r="P165" i="7" s="1"/>
  <c r="H50" i="9"/>
  <c r="I44" i="9"/>
  <c r="S33" i="9"/>
  <c r="S29" i="9"/>
  <c r="J91" i="9"/>
  <c r="N91" i="9"/>
  <c r="P91" i="9" s="1"/>
  <c r="V91" i="9"/>
  <c r="N356" i="7"/>
  <c r="N321" i="7" s="1"/>
  <c r="M369" i="7"/>
  <c r="N376" i="7"/>
  <c r="N38" i="7"/>
  <c r="O85" i="3" s="1"/>
  <c r="N374" i="7"/>
  <c r="N378" i="7"/>
  <c r="N375" i="7"/>
  <c r="N201" i="7"/>
  <c r="O84" i="3"/>
  <c r="P202" i="7"/>
  <c r="P206" i="7" s="1"/>
  <c r="S83" i="9"/>
  <c r="T54" i="9"/>
  <c r="M377" i="7"/>
  <c r="L276" i="7"/>
  <c r="L331" i="7"/>
  <c r="O83" i="9"/>
  <c r="N67" i="9"/>
  <c r="P67" i="9" s="1"/>
  <c r="P75" i="9" s="1"/>
  <c r="J75" i="9"/>
  <c r="L206" i="7"/>
  <c r="L211" i="7" s="1"/>
  <c r="V68" i="9"/>
  <c r="G76" i="7" s="1"/>
  <c r="G40" i="7"/>
  <c r="V28" i="9"/>
  <c r="J333" i="7"/>
  <c r="P207" i="7" l="1"/>
  <c r="P211" i="7" s="1"/>
  <c r="G179" i="7"/>
  <c r="G178" i="7"/>
  <c r="H87" i="3"/>
  <c r="G41" i="7"/>
  <c r="H76" i="7"/>
  <c r="H92" i="7" s="1"/>
  <c r="I102" i="3" s="1"/>
  <c r="H178" i="7"/>
  <c r="I87" i="3"/>
  <c r="H41" i="7"/>
  <c r="U54" i="9"/>
  <c r="T83" i="9"/>
  <c r="I322" i="7"/>
  <c r="I324" i="7" s="1"/>
  <c r="H359" i="7"/>
  <c r="I348" i="7"/>
  <c r="I350" i="7" s="1"/>
  <c r="H360" i="7" s="1"/>
  <c r="N202" i="7"/>
  <c r="N206" i="7" s="1"/>
  <c r="N211" i="7" s="1"/>
  <c r="S87" i="9"/>
  <c r="N273" i="7"/>
  <c r="P83" i="9"/>
  <c r="N377" i="7"/>
  <c r="I50" i="9"/>
  <c r="I58" i="9" s="1"/>
  <c r="F55" i="7"/>
  <c r="O356" i="7"/>
  <c r="O321" i="7" s="1"/>
  <c r="O377" i="7" s="1"/>
  <c r="N369" i="7"/>
  <c r="H58" i="9"/>
  <c r="O378" i="7"/>
  <c r="O375" i="7"/>
  <c r="O376" i="7"/>
  <c r="O201" i="7"/>
  <c r="O38" i="7"/>
  <c r="P85" i="3" s="1"/>
  <c r="O374" i="7"/>
  <c r="P84" i="3"/>
  <c r="J89" i="9"/>
  <c r="J92" i="9" s="1"/>
  <c r="N75" i="9"/>
  <c r="N89" i="9" s="1"/>
  <c r="N92" i="9" s="1"/>
  <c r="O91" i="9" s="1"/>
  <c r="S34" i="9"/>
  <c r="S67" i="9"/>
  <c r="S75" i="9" s="1"/>
  <c r="J56" i="9"/>
  <c r="I57" i="9"/>
  <c r="M331" i="7"/>
  <c r="V32" i="9"/>
  <c r="V29" i="9"/>
  <c r="L333" i="7"/>
  <c r="G175" i="7"/>
  <c r="H96" i="3" s="1"/>
  <c r="H97" i="3"/>
  <c r="S89" i="9" l="1"/>
  <c r="V54" i="9"/>
  <c r="M333" i="7"/>
  <c r="G42" i="7"/>
  <c r="H45" i="7"/>
  <c r="I88" i="3" s="1"/>
  <c r="H42" i="7"/>
  <c r="N276" i="7"/>
  <c r="N331" i="7"/>
  <c r="I40" i="7"/>
  <c r="I379" i="7"/>
  <c r="K56" i="9"/>
  <c r="J57" i="9"/>
  <c r="O273" i="7"/>
  <c r="T32" i="9"/>
  <c r="G45" i="7"/>
  <c r="H88" i="3" s="1"/>
  <c r="H65" i="7"/>
  <c r="V33" i="9"/>
  <c r="O202" i="7"/>
  <c r="O206" i="7" s="1"/>
  <c r="O211" i="7" s="1"/>
  <c r="D212" i="7" s="1"/>
  <c r="P356" i="7"/>
  <c r="P321" i="7" s="1"/>
  <c r="O369" i="7"/>
  <c r="H361" i="7"/>
  <c r="H66" i="7" s="1"/>
  <c r="H371" i="7"/>
  <c r="J44" i="9"/>
  <c r="J50" i="9" s="1"/>
  <c r="J58" i="9" s="1"/>
  <c r="K91" i="9"/>
  <c r="K92" i="9" s="1"/>
  <c r="K44" i="9" s="1"/>
  <c r="F181" i="7"/>
  <c r="F61" i="7"/>
  <c r="G98" i="3"/>
  <c r="F170" i="7"/>
  <c r="F176" i="7" s="1"/>
  <c r="I94" i="9"/>
  <c r="U83" i="9"/>
  <c r="I357" i="7"/>
  <c r="G46" i="7" l="1"/>
  <c r="G115" i="7" s="1"/>
  <c r="H46" i="7"/>
  <c r="H47" i="7" s="1"/>
  <c r="I90" i="3" s="1"/>
  <c r="K129" i="3"/>
  <c r="H246" i="7"/>
  <c r="H174" i="7"/>
  <c r="H91" i="7"/>
  <c r="N333" i="7"/>
  <c r="N56" i="9"/>
  <c r="K57" i="9"/>
  <c r="F67" i="7"/>
  <c r="F191" i="7"/>
  <c r="H362" i="7"/>
  <c r="V67" i="9"/>
  <c r="V34" i="9"/>
  <c r="K50" i="9"/>
  <c r="N44" i="9"/>
  <c r="V83" i="9"/>
  <c r="O276" i="7"/>
  <c r="O331" i="7"/>
  <c r="P273" i="7"/>
  <c r="P377" i="7"/>
  <c r="I76" i="7"/>
  <c r="I92" i="7" s="1"/>
  <c r="J102" i="3" s="1"/>
  <c r="I178" i="7"/>
  <c r="J87" i="3"/>
  <c r="I41" i="7"/>
  <c r="J322" i="7"/>
  <c r="J324" i="7" s="1"/>
  <c r="I359" i="7"/>
  <c r="J348" i="7"/>
  <c r="J350" i="7" s="1"/>
  <c r="I360" i="7" s="1"/>
  <c r="P369" i="7"/>
  <c r="U32" i="9"/>
  <c r="U33" i="9" s="1"/>
  <c r="T33" i="9"/>
  <c r="I89" i="3" l="1"/>
  <c r="H115" i="7"/>
  <c r="H89" i="3"/>
  <c r="G47" i="7"/>
  <c r="H90" i="3" s="1"/>
  <c r="H75" i="7"/>
  <c r="H83" i="7" s="1"/>
  <c r="V75" i="9"/>
  <c r="G75" i="7"/>
  <c r="G83" i="7" s="1"/>
  <c r="I65" i="7"/>
  <c r="H177" i="7"/>
  <c r="H381" i="7" s="1"/>
  <c r="I361" i="7"/>
  <c r="I66" i="7" s="1"/>
  <c r="I371" i="7"/>
  <c r="H175" i="7"/>
  <c r="I96" i="3" s="1"/>
  <c r="I97" i="3"/>
  <c r="H179" i="7"/>
  <c r="G91" i="7"/>
  <c r="F145" i="7"/>
  <c r="F147" i="7" s="1"/>
  <c r="F169" i="7"/>
  <c r="F171" i="7" s="1"/>
  <c r="F68" i="7"/>
  <c r="F69" i="7" s="1"/>
  <c r="F190" i="7"/>
  <c r="J40" i="7"/>
  <c r="J379" i="7"/>
  <c r="T34" i="9"/>
  <c r="T67" i="9"/>
  <c r="T75" i="9" s="1"/>
  <c r="I45" i="7"/>
  <c r="J88" i="3" s="1"/>
  <c r="I42" i="7"/>
  <c r="K58" i="9"/>
  <c r="N57" i="9"/>
  <c r="K141" i="3"/>
  <c r="K134" i="3"/>
  <c r="J357" i="7"/>
  <c r="P276" i="7"/>
  <c r="P331" i="7"/>
  <c r="N50" i="9"/>
  <c r="P44" i="9"/>
  <c r="D214" i="7"/>
  <c r="K117" i="3"/>
  <c r="U67" i="9"/>
  <c r="U75" i="9" s="1"/>
  <c r="U34" i="9"/>
  <c r="O333" i="7"/>
  <c r="I46" i="7" l="1"/>
  <c r="I362" i="7"/>
  <c r="I174" i="7"/>
  <c r="I91" i="7"/>
  <c r="I246" i="7"/>
  <c r="I301" i="7" s="1"/>
  <c r="P333" i="7"/>
  <c r="G177" i="7"/>
  <c r="J76" i="7"/>
  <c r="J92" i="7" s="1"/>
  <c r="K102" i="3" s="1"/>
  <c r="J178" i="7"/>
  <c r="K87" i="3"/>
  <c r="J41" i="7"/>
  <c r="G55" i="7"/>
  <c r="F153" i="7"/>
  <c r="G145" i="7"/>
  <c r="K322" i="7"/>
  <c r="K324" i="7" s="1"/>
  <c r="J359" i="7"/>
  <c r="K348" i="7"/>
  <c r="K350" i="7" s="1"/>
  <c r="J360" i="7" s="1"/>
  <c r="E110" i="3"/>
  <c r="K119" i="3"/>
  <c r="F245" i="7"/>
  <c r="F247" i="7" s="1"/>
  <c r="K130" i="3"/>
  <c r="K132" i="3" s="1"/>
  <c r="K135" i="3" s="1"/>
  <c r="D216" i="7"/>
  <c r="N58" i="9"/>
  <c r="F172" i="7"/>
  <c r="J89" i="3" l="1"/>
  <c r="I298" i="7"/>
  <c r="I115" i="7"/>
  <c r="I47" i="7"/>
  <c r="J90" i="3" s="1"/>
  <c r="I75" i="7"/>
  <c r="I83" i="7" s="1"/>
  <c r="K357" i="7"/>
  <c r="L348" i="7" s="1"/>
  <c r="L350" i="7" s="1"/>
  <c r="K360" i="7" s="1"/>
  <c r="K40" i="7"/>
  <c r="K379" i="7"/>
  <c r="G194" i="3"/>
  <c r="K122" i="3"/>
  <c r="E140" i="3" s="1"/>
  <c r="E151" i="3" s="1"/>
  <c r="E152" i="3" s="1"/>
  <c r="K140" i="3"/>
  <c r="K142" i="3" s="1"/>
  <c r="E120" i="3"/>
  <c r="F110" i="3"/>
  <c r="O188" i="3"/>
  <c r="I177" i="7"/>
  <c r="I381" i="7" s="1"/>
  <c r="J65" i="7"/>
  <c r="I175" i="7"/>
  <c r="J96" i="3" s="1"/>
  <c r="J97" i="3"/>
  <c r="I179" i="7"/>
  <c r="J42" i="7"/>
  <c r="J45" i="7"/>
  <c r="K88" i="3" s="1"/>
  <c r="J371" i="7"/>
  <c r="J361" i="7"/>
  <c r="J66" i="7" s="1"/>
  <c r="G181" i="7"/>
  <c r="G245" i="7"/>
  <c r="G247" i="7" s="1"/>
  <c r="H98" i="3"/>
  <c r="G170" i="7"/>
  <c r="G176" i="7" s="1"/>
  <c r="L322" i="7" l="1"/>
  <c r="L324" i="7" s="1"/>
  <c r="L40" i="7" s="1"/>
  <c r="K359" i="7"/>
  <c r="K371" i="7" s="1"/>
  <c r="K65" i="7"/>
  <c r="J174" i="7"/>
  <c r="J91" i="7"/>
  <c r="J246" i="7"/>
  <c r="J301" i="7" s="1"/>
  <c r="F120" i="3"/>
  <c r="P196" i="3"/>
  <c r="E124" i="3"/>
  <c r="F133" i="7"/>
  <c r="K145" i="3"/>
  <c r="O48" i="9" s="1"/>
  <c r="L357" i="7"/>
  <c r="F128" i="7"/>
  <c r="F110" i="7"/>
  <c r="F111" i="7" s="1"/>
  <c r="G109" i="7" s="1"/>
  <c r="G111" i="7" s="1"/>
  <c r="H109" i="7" s="1"/>
  <c r="H111" i="7" s="1"/>
  <c r="I109" i="7" s="1"/>
  <c r="I111" i="7" s="1"/>
  <c r="J109" i="7" s="1"/>
  <c r="J111" i="7" s="1"/>
  <c r="K109" i="7" s="1"/>
  <c r="K111" i="7" s="1"/>
  <c r="L109" i="7" s="1"/>
  <c r="L111" i="7" s="1"/>
  <c r="M109" i="7" s="1"/>
  <c r="M111" i="7" s="1"/>
  <c r="N109" i="7" s="1"/>
  <c r="N111" i="7" s="1"/>
  <c r="O109" i="7" s="1"/>
  <c r="O111" i="7" s="1"/>
  <c r="P109" i="7" s="1"/>
  <c r="P111" i="7" s="1"/>
  <c r="C165" i="3"/>
  <c r="D165" i="3" s="1"/>
  <c r="E165" i="3" s="1"/>
  <c r="F165" i="3" s="1"/>
  <c r="H93" i="3" s="1"/>
  <c r="J362" i="7"/>
  <c r="K76" i="7"/>
  <c r="K92" i="7" s="1"/>
  <c r="L102" i="3" s="1"/>
  <c r="K178" i="7"/>
  <c r="L87" i="3"/>
  <c r="K41" i="7"/>
  <c r="J46" i="7"/>
  <c r="J298" i="7" s="1"/>
  <c r="L379" i="7" l="1"/>
  <c r="K361" i="7"/>
  <c r="K66" i="7" s="1"/>
  <c r="K174" i="7" s="1"/>
  <c r="J177" i="7"/>
  <c r="J381" i="7" s="1"/>
  <c r="O78" i="9"/>
  <c r="P48" i="9"/>
  <c r="O50" i="9"/>
  <c r="I93" i="3"/>
  <c r="H94" i="3"/>
  <c r="E116" i="3"/>
  <c r="F124" i="3"/>
  <c r="L76" i="7"/>
  <c r="L92" i="7" s="1"/>
  <c r="M102" i="3" s="1"/>
  <c r="L178" i="7"/>
  <c r="M87" i="3"/>
  <c r="L41" i="7"/>
  <c r="K246" i="7"/>
  <c r="J115" i="7"/>
  <c r="J47" i="7"/>
  <c r="K90" i="3" s="1"/>
  <c r="J75" i="7"/>
  <c r="J83" i="7" s="1"/>
  <c r="K89" i="3"/>
  <c r="M322" i="7"/>
  <c r="M324" i="7" s="1"/>
  <c r="L359" i="7"/>
  <c r="M348" i="7"/>
  <c r="M350" i="7" s="1"/>
  <c r="L360" i="7" s="1"/>
  <c r="J175" i="7"/>
  <c r="K96" i="3" s="1"/>
  <c r="K97" i="3"/>
  <c r="J179" i="7"/>
  <c r="K42" i="7"/>
  <c r="K45" i="7"/>
  <c r="L88" i="3" s="1"/>
  <c r="F129" i="7"/>
  <c r="F134" i="7"/>
  <c r="F135" i="7" s="1"/>
  <c r="K91" i="7" l="1"/>
  <c r="K177" i="7" s="1"/>
  <c r="K381" i="7" s="1"/>
  <c r="K362" i="7"/>
  <c r="K46" i="7"/>
  <c r="K115" i="7" s="1"/>
  <c r="G132" i="7"/>
  <c r="G135" i="7" s="1"/>
  <c r="F151" i="7"/>
  <c r="S48" i="9"/>
  <c r="T48" i="9" s="1"/>
  <c r="U48" i="9" s="1"/>
  <c r="V48" i="9" s="1"/>
  <c r="G59" i="7"/>
  <c r="P50" i="9"/>
  <c r="J93" i="3"/>
  <c r="I94" i="3"/>
  <c r="F150" i="7"/>
  <c r="G127" i="7"/>
  <c r="M40" i="7"/>
  <c r="M379" i="7"/>
  <c r="P78" i="9"/>
  <c r="O80" i="9"/>
  <c r="L371" i="7"/>
  <c r="L361" i="7"/>
  <c r="L66" i="7" s="1"/>
  <c r="M357" i="7"/>
  <c r="F252" i="7"/>
  <c r="F255" i="7" s="1"/>
  <c r="F116" i="3"/>
  <c r="O194" i="3"/>
  <c r="E118" i="3"/>
  <c r="L42" i="7"/>
  <c r="L45" i="7"/>
  <c r="M88" i="3" s="1"/>
  <c r="L65" i="7"/>
  <c r="F155" i="7"/>
  <c r="O56" i="9" s="1"/>
  <c r="K175" i="7"/>
  <c r="L96" i="3" s="1"/>
  <c r="L97" i="3"/>
  <c r="K179" i="7"/>
  <c r="L89" i="3" l="1"/>
  <c r="K47" i="7"/>
  <c r="L90" i="3" s="1"/>
  <c r="K75" i="7"/>
  <c r="K83" i="7" s="1"/>
  <c r="L362" i="7"/>
  <c r="K93" i="3"/>
  <c r="J94" i="3"/>
  <c r="F118" i="3"/>
  <c r="P138" i="3"/>
  <c r="G164" i="7"/>
  <c r="G166" i="7" s="1"/>
  <c r="H59" i="7"/>
  <c r="G61" i="7"/>
  <c r="O85" i="9"/>
  <c r="O57" i="9"/>
  <c r="O58" i="9" s="1"/>
  <c r="P56" i="9"/>
  <c r="L174" i="7"/>
  <c r="L91" i="7"/>
  <c r="L246" i="7"/>
  <c r="M178" i="7"/>
  <c r="N87" i="3"/>
  <c r="M76" i="7"/>
  <c r="M92" i="7" s="1"/>
  <c r="N102" i="3" s="1"/>
  <c r="M41" i="7"/>
  <c r="N322" i="7"/>
  <c r="N324" i="7" s="1"/>
  <c r="M359" i="7"/>
  <c r="N348" i="7"/>
  <c r="N350" i="7" s="1"/>
  <c r="M360" i="7" s="1"/>
  <c r="G125" i="7"/>
  <c r="G129" i="7"/>
  <c r="P80" i="9"/>
  <c r="V78" i="9"/>
  <c r="L46" i="7"/>
  <c r="F154" i="7"/>
  <c r="H132" i="7"/>
  <c r="H135" i="7" s="1"/>
  <c r="G151" i="7"/>
  <c r="N357" i="7" l="1"/>
  <c r="O348" i="7" s="1"/>
  <c r="O350" i="7" s="1"/>
  <c r="N360" i="7" s="1"/>
  <c r="I132" i="7"/>
  <c r="I135" i="7" s="1"/>
  <c r="H151" i="7"/>
  <c r="G191" i="7"/>
  <c r="H127" i="7"/>
  <c r="G150" i="7"/>
  <c r="G141" i="7"/>
  <c r="M65" i="7"/>
  <c r="S56" i="9"/>
  <c r="G67" i="7"/>
  <c r="P57" i="9"/>
  <c r="P58" i="9" s="1"/>
  <c r="L75" i="7"/>
  <c r="L83" i="7" s="1"/>
  <c r="L47" i="7"/>
  <c r="M90" i="3" s="1"/>
  <c r="L115" i="7"/>
  <c r="M89" i="3"/>
  <c r="V80" i="9"/>
  <c r="G86" i="7"/>
  <c r="G88" i="7" s="1"/>
  <c r="H164" i="7"/>
  <c r="H166" i="7" s="1"/>
  <c r="I59" i="7"/>
  <c r="M45" i="7"/>
  <c r="N88" i="3" s="1"/>
  <c r="M42" i="7"/>
  <c r="L177" i="7"/>
  <c r="L381" i="7" s="1"/>
  <c r="L175" i="7"/>
  <c r="M96" i="3" s="1"/>
  <c r="M97" i="3"/>
  <c r="L179" i="7"/>
  <c r="M361" i="7"/>
  <c r="M66" i="7" s="1"/>
  <c r="M371" i="7"/>
  <c r="N40" i="7"/>
  <c r="N379" i="7"/>
  <c r="P85" i="9"/>
  <c r="O87" i="9"/>
  <c r="O89" i="9" s="1"/>
  <c r="L93" i="3"/>
  <c r="K94" i="3"/>
  <c r="N359" i="7" l="1"/>
  <c r="N371" i="7" s="1"/>
  <c r="O322" i="7"/>
  <c r="O324" i="7" s="1"/>
  <c r="O40" i="7" s="1"/>
  <c r="N178" i="7"/>
  <c r="N76" i="7"/>
  <c r="N92" i="7" s="1"/>
  <c r="O102" i="3" s="1"/>
  <c r="O87" i="3"/>
  <c r="N41" i="7"/>
  <c r="O357" i="7"/>
  <c r="M246" i="7"/>
  <c r="M301" i="7" s="1"/>
  <c r="P118" i="3" s="1"/>
  <c r="M174" i="7"/>
  <c r="M91" i="7"/>
  <c r="G169" i="7"/>
  <c r="G171" i="7" s="1"/>
  <c r="G68" i="7"/>
  <c r="G69" i="7" s="1"/>
  <c r="G190" i="7"/>
  <c r="M46" i="7"/>
  <c r="J59" i="7"/>
  <c r="I164" i="7"/>
  <c r="I166" i="7" s="1"/>
  <c r="M93" i="3"/>
  <c r="N93" i="3" s="1"/>
  <c r="O93" i="3" s="1"/>
  <c r="P93" i="3" s="1"/>
  <c r="L94" i="3"/>
  <c r="M362" i="7"/>
  <c r="I151" i="7"/>
  <c r="J132" i="7"/>
  <c r="J135" i="7" s="1"/>
  <c r="H125" i="7"/>
  <c r="H129" i="7"/>
  <c r="S57" i="9"/>
  <c r="G142" i="7"/>
  <c r="G116" i="7"/>
  <c r="G117" i="7" s="1"/>
  <c r="N65" i="7"/>
  <c r="O92" i="9"/>
  <c r="O94" i="9"/>
  <c r="V85" i="9"/>
  <c r="P87" i="9"/>
  <c r="P89" i="9" s="1"/>
  <c r="P92" i="9" s="1"/>
  <c r="N361" i="7" l="1"/>
  <c r="N66" i="7" s="1"/>
  <c r="N174" i="7" s="1"/>
  <c r="O379" i="7"/>
  <c r="G152" i="7"/>
  <c r="H140" i="7"/>
  <c r="O178" i="7"/>
  <c r="O76" i="7"/>
  <c r="O92" i="7" s="1"/>
  <c r="P102" i="3" s="1"/>
  <c r="P87" i="3"/>
  <c r="O41" i="7"/>
  <c r="M47" i="7"/>
  <c r="N90" i="3" s="1"/>
  <c r="M75" i="7"/>
  <c r="M83" i="7" s="1"/>
  <c r="M115" i="7"/>
  <c r="N89" i="3"/>
  <c r="N94" i="3" s="1"/>
  <c r="M298" i="7"/>
  <c r="P113" i="3" s="1"/>
  <c r="N45" i="7"/>
  <c r="O88" i="3" s="1"/>
  <c r="N42" i="7"/>
  <c r="N91" i="7"/>
  <c r="S91" i="9"/>
  <c r="S92" i="9" s="1"/>
  <c r="U91" i="9"/>
  <c r="P94" i="9"/>
  <c r="J164" i="7"/>
  <c r="J166" i="7" s="1"/>
  <c r="K59" i="7"/>
  <c r="M177" i="7"/>
  <c r="M381" i="7" s="1"/>
  <c r="P322" i="7"/>
  <c r="P324" i="7" s="1"/>
  <c r="O359" i="7"/>
  <c r="P348" i="7"/>
  <c r="P350" i="7" s="1"/>
  <c r="O360" i="7" s="1"/>
  <c r="H150" i="7"/>
  <c r="I127" i="7"/>
  <c r="K132" i="7"/>
  <c r="K135" i="7" s="1"/>
  <c r="J151" i="7"/>
  <c r="M175" i="7"/>
  <c r="N96" i="3" s="1"/>
  <c r="N97" i="3"/>
  <c r="M179" i="7"/>
  <c r="G93" i="7"/>
  <c r="G189" i="7"/>
  <c r="G172" i="7"/>
  <c r="M94" i="3"/>
  <c r="N362" i="7" l="1"/>
  <c r="N246" i="7"/>
  <c r="P357" i="7"/>
  <c r="P359" i="7" s="1"/>
  <c r="P371" i="7" s="1"/>
  <c r="N46" i="7"/>
  <c r="N75" i="7" s="1"/>
  <c r="N83" i="7" s="1"/>
  <c r="N177" i="7"/>
  <c r="N381" i="7" s="1"/>
  <c r="H141" i="7"/>
  <c r="H116" i="7" s="1"/>
  <c r="H117" i="7" s="1"/>
  <c r="G119" i="7"/>
  <c r="G120" i="7" s="1"/>
  <c r="K164" i="7"/>
  <c r="K166" i="7" s="1"/>
  <c r="L59" i="7"/>
  <c r="L132" i="7"/>
  <c r="L135" i="7" s="1"/>
  <c r="K151" i="7"/>
  <c r="I125" i="7"/>
  <c r="I129" i="7"/>
  <c r="O65" i="7"/>
  <c r="O42" i="7"/>
  <c r="O45" i="7"/>
  <c r="P88" i="3" s="1"/>
  <c r="O361" i="7"/>
  <c r="O66" i="7" s="1"/>
  <c r="O371" i="7"/>
  <c r="N175" i="7"/>
  <c r="O96" i="3" s="1"/>
  <c r="O97" i="3"/>
  <c r="N179" i="7"/>
  <c r="P40" i="7"/>
  <c r="P379" i="7"/>
  <c r="S44" i="9"/>
  <c r="S50" i="9" s="1"/>
  <c r="S58" i="9" s="1"/>
  <c r="T91" i="9"/>
  <c r="P361" i="7" l="1"/>
  <c r="N115" i="7"/>
  <c r="N47" i="7"/>
  <c r="O90" i="3" s="1"/>
  <c r="O89" i="3"/>
  <c r="O94" i="3" s="1"/>
  <c r="H142" i="7"/>
  <c r="I140" i="7" s="1"/>
  <c r="P178" i="7"/>
  <c r="P76" i="7"/>
  <c r="P92" i="7" s="1"/>
  <c r="P41" i="7"/>
  <c r="O246" i="7"/>
  <c r="O174" i="7"/>
  <c r="O91" i="7"/>
  <c r="T86" i="9"/>
  <c r="G121" i="7"/>
  <c r="G146" i="7" s="1"/>
  <c r="G147" i="7" s="1"/>
  <c r="J127" i="7"/>
  <c r="I150" i="7"/>
  <c r="P66" i="7"/>
  <c r="P362" i="7"/>
  <c r="M132" i="7"/>
  <c r="M135" i="7" s="1"/>
  <c r="L151" i="7"/>
  <c r="O362" i="7"/>
  <c r="O46" i="7"/>
  <c r="M59" i="7"/>
  <c r="L164" i="7"/>
  <c r="L166" i="7" s="1"/>
  <c r="G122" i="7" l="1"/>
  <c r="H152" i="7"/>
  <c r="N132" i="7"/>
  <c r="N135" i="7" s="1"/>
  <c r="M151" i="7"/>
  <c r="P246" i="7"/>
  <c r="P174" i="7"/>
  <c r="P91" i="7"/>
  <c r="P42" i="7"/>
  <c r="P45" i="7"/>
  <c r="P46" i="7" s="1"/>
  <c r="U86" i="9"/>
  <c r="T87" i="9"/>
  <c r="T89" i="9" s="1"/>
  <c r="T92" i="9" s="1"/>
  <c r="T44" i="9" s="1"/>
  <c r="T56" i="9"/>
  <c r="N59" i="7"/>
  <c r="M164" i="7"/>
  <c r="M166" i="7" s="1"/>
  <c r="O177" i="7"/>
  <c r="O381" i="7" s="1"/>
  <c r="I141" i="7"/>
  <c r="I116" i="7" s="1"/>
  <c r="I117" i="7" s="1"/>
  <c r="G153" i="7"/>
  <c r="G154" i="7" s="1"/>
  <c r="H145" i="7"/>
  <c r="J125" i="7"/>
  <c r="J129" i="7"/>
  <c r="O47" i="7"/>
  <c r="P90" i="3" s="1"/>
  <c r="O115" i="7"/>
  <c r="O75" i="7"/>
  <c r="O83" i="7" s="1"/>
  <c r="P89" i="3"/>
  <c r="P94" i="3" s="1"/>
  <c r="P97" i="3"/>
  <c r="O175" i="7"/>
  <c r="P96" i="3" s="1"/>
  <c r="O179" i="7"/>
  <c r="U56" i="9" l="1"/>
  <c r="T57" i="9"/>
  <c r="P175" i="7"/>
  <c r="P179" i="7"/>
  <c r="P75" i="7"/>
  <c r="P83" i="7" s="1"/>
  <c r="P115" i="7"/>
  <c r="P47" i="7"/>
  <c r="U44" i="9"/>
  <c r="T50" i="9"/>
  <c r="K127" i="7"/>
  <c r="J150" i="7"/>
  <c r="P177" i="7"/>
  <c r="P381" i="7" s="1"/>
  <c r="I142" i="7"/>
  <c r="V86" i="9"/>
  <c r="U87" i="9"/>
  <c r="U89" i="9" s="1"/>
  <c r="U92" i="9" s="1"/>
  <c r="N164" i="7"/>
  <c r="N166" i="7" s="1"/>
  <c r="O59" i="7"/>
  <c r="O132" i="7"/>
  <c r="O135" i="7" s="1"/>
  <c r="N151" i="7"/>
  <c r="T58" i="9" l="1"/>
  <c r="K129" i="7"/>
  <c r="K125" i="7"/>
  <c r="P132" i="7"/>
  <c r="P135" i="7" s="1"/>
  <c r="P151" i="7" s="1"/>
  <c r="O151" i="7"/>
  <c r="J140" i="7"/>
  <c r="I152" i="7"/>
  <c r="V44" i="9"/>
  <c r="U50" i="9"/>
  <c r="P59" i="7"/>
  <c r="P164" i="7" s="1"/>
  <c r="P166" i="7" s="1"/>
  <c r="O164" i="7"/>
  <c r="O166" i="7" s="1"/>
  <c r="V56" i="9"/>
  <c r="V57" i="9" s="1"/>
  <c r="U57" i="9"/>
  <c r="G94" i="7"/>
  <c r="V87" i="9"/>
  <c r="V89" i="9" s="1"/>
  <c r="V92" i="9" s="1"/>
  <c r="V94" i="9" s="1"/>
  <c r="P136" i="3" s="1"/>
  <c r="U58" i="9" l="1"/>
  <c r="V50" i="9"/>
  <c r="V58" i="9" s="1"/>
  <c r="H103" i="3"/>
  <c r="G253" i="7"/>
  <c r="G287" i="7"/>
  <c r="G263" i="7"/>
  <c r="G95" i="7"/>
  <c r="G97" i="7" s="1"/>
  <c r="G100" i="7" s="1"/>
  <c r="J141" i="7"/>
  <c r="J116" i="7" s="1"/>
  <c r="J117" i="7" s="1"/>
  <c r="L127" i="7"/>
  <c r="K150" i="7"/>
  <c r="G101" i="7" l="1"/>
  <c r="P137" i="3" s="1"/>
  <c r="H99" i="7"/>
  <c r="H119" i="7" s="1"/>
  <c r="H120" i="7" s="1"/>
  <c r="G265" i="7"/>
  <c r="G255" i="7"/>
  <c r="G289" i="7"/>
  <c r="L129" i="7"/>
  <c r="L125" i="7"/>
  <c r="J142" i="7"/>
  <c r="H94" i="7" l="1"/>
  <c r="H121" i="7"/>
  <c r="H146" i="7" s="1"/>
  <c r="H147" i="7" s="1"/>
  <c r="K140" i="7"/>
  <c r="J152" i="7"/>
  <c r="L150" i="7"/>
  <c r="M127" i="7"/>
  <c r="H122" i="7" l="1"/>
  <c r="K141" i="7"/>
  <c r="K116" i="7" s="1"/>
  <c r="K117" i="7" s="1"/>
  <c r="I103" i="3"/>
  <c r="H253" i="7"/>
  <c r="H263" i="7"/>
  <c r="H287" i="7"/>
  <c r="H95" i="7"/>
  <c r="H97" i="7" s="1"/>
  <c r="H100" i="7" s="1"/>
  <c r="H153" i="7"/>
  <c r="H154" i="7" s="1"/>
  <c r="H67" i="7" s="1"/>
  <c r="I145" i="7"/>
  <c r="M129" i="7"/>
  <c r="M125" i="7"/>
  <c r="H55" i="7" l="1"/>
  <c r="I99" i="7"/>
  <c r="I119" i="7" s="1"/>
  <c r="I120" i="7" s="1"/>
  <c r="N127" i="7"/>
  <c r="M150" i="7"/>
  <c r="H265" i="7"/>
  <c r="K142" i="7"/>
  <c r="H289" i="7"/>
  <c r="H255" i="7"/>
  <c r="H169" i="7"/>
  <c r="H68" i="7"/>
  <c r="H190" i="7"/>
  <c r="N129" i="7" l="1"/>
  <c r="N125" i="7"/>
  <c r="I94" i="7"/>
  <c r="I121" i="7"/>
  <c r="I146" i="7" s="1"/>
  <c r="I147" i="7" s="1"/>
  <c r="L140" i="7"/>
  <c r="K152" i="7"/>
  <c r="H61" i="7"/>
  <c r="I98" i="3"/>
  <c r="H181" i="7"/>
  <c r="H245" i="7"/>
  <c r="H247" i="7" s="1"/>
  <c r="H170" i="7"/>
  <c r="H176" i="7" s="1"/>
  <c r="I153" i="7" l="1"/>
  <c r="I154" i="7" s="1"/>
  <c r="I67" i="7" s="1"/>
  <c r="J145" i="7"/>
  <c r="H191" i="7"/>
  <c r="H69" i="7"/>
  <c r="L141" i="7"/>
  <c r="L116" i="7" s="1"/>
  <c r="L117" i="7" s="1"/>
  <c r="N150" i="7"/>
  <c r="O127" i="7"/>
  <c r="I122" i="7"/>
  <c r="J103" i="3"/>
  <c r="I263" i="7"/>
  <c r="I287" i="7"/>
  <c r="I253" i="7"/>
  <c r="I95" i="7"/>
  <c r="I97" i="7" s="1"/>
  <c r="I100" i="7" s="1"/>
  <c r="H171" i="7"/>
  <c r="H172" i="7" l="1"/>
  <c r="H189" i="7"/>
  <c r="I55" i="7"/>
  <c r="J99" i="7"/>
  <c r="J119" i="7" s="1"/>
  <c r="J120" i="7" s="1"/>
  <c r="L142" i="7"/>
  <c r="O125" i="7"/>
  <c r="O129" i="7"/>
  <c r="I169" i="7"/>
  <c r="I68" i="7"/>
  <c r="I190" i="7"/>
  <c r="J94" i="7" l="1"/>
  <c r="J121" i="7"/>
  <c r="J146" i="7" s="1"/>
  <c r="J147" i="7" s="1"/>
  <c r="I245" i="7"/>
  <c r="I61" i="7"/>
  <c r="J98" i="3"/>
  <c r="I181" i="7"/>
  <c r="I170" i="7"/>
  <c r="I176" i="7" s="1"/>
  <c r="L152" i="7"/>
  <c r="M140" i="7"/>
  <c r="P127" i="7"/>
  <c r="O150" i="7"/>
  <c r="I247" i="7" l="1"/>
  <c r="I300" i="7"/>
  <c r="J122" i="7"/>
  <c r="K145" i="7"/>
  <c r="J153" i="7"/>
  <c r="J154" i="7" s="1"/>
  <c r="J67" i="7" s="1"/>
  <c r="M141" i="7"/>
  <c r="M116" i="7" s="1"/>
  <c r="M117" i="7" s="1"/>
  <c r="K103" i="3"/>
  <c r="J253" i="7"/>
  <c r="J263" i="7"/>
  <c r="J287" i="7"/>
  <c r="J95" i="7"/>
  <c r="J97" i="7" s="1"/>
  <c r="J100" i="7" s="1"/>
  <c r="I191" i="7"/>
  <c r="I69" i="7"/>
  <c r="P125" i="7"/>
  <c r="P129" i="7"/>
  <c r="P150" i="7" s="1"/>
  <c r="I171" i="7"/>
  <c r="I264" i="7" l="1"/>
  <c r="I265" i="7" s="1"/>
  <c r="I275" i="7"/>
  <c r="I276" i="7" s="1"/>
  <c r="I288" i="7"/>
  <c r="I289" i="7" s="1"/>
  <c r="I254" i="7"/>
  <c r="I255" i="7" s="1"/>
  <c r="J169" i="7"/>
  <c r="J68" i="7"/>
  <c r="J190" i="7"/>
  <c r="M142" i="7"/>
  <c r="I172" i="7"/>
  <c r="I189" i="7"/>
  <c r="K99" i="7"/>
  <c r="K119" i="7" s="1"/>
  <c r="K120" i="7" s="1"/>
  <c r="J55" i="7"/>
  <c r="J181" i="7" l="1"/>
  <c r="J61" i="7"/>
  <c r="K98" i="3"/>
  <c r="J245" i="7"/>
  <c r="J170" i="7"/>
  <c r="J176" i="7" s="1"/>
  <c r="K94" i="7"/>
  <c r="K121" i="7"/>
  <c r="K146" i="7" s="1"/>
  <c r="K147" i="7" s="1"/>
  <c r="N140" i="7"/>
  <c r="M152" i="7"/>
  <c r="K122" i="7" l="1"/>
  <c r="J171" i="7"/>
  <c r="J172" i="7" s="1"/>
  <c r="J247" i="7"/>
  <c r="J300" i="7"/>
  <c r="L103" i="3"/>
  <c r="K287" i="7"/>
  <c r="K289" i="7" s="1"/>
  <c r="K253" i="7"/>
  <c r="K263" i="7"/>
  <c r="K95" i="7"/>
  <c r="K97" i="7" s="1"/>
  <c r="K100" i="7" s="1"/>
  <c r="N141" i="7"/>
  <c r="N116" i="7" s="1"/>
  <c r="N117" i="7" s="1"/>
  <c r="J69" i="7"/>
  <c r="J191" i="7"/>
  <c r="L145" i="7"/>
  <c r="K153" i="7"/>
  <c r="K154" i="7" s="1"/>
  <c r="K67" i="7" s="1"/>
  <c r="J189" i="7" l="1"/>
  <c r="J264" i="7"/>
  <c r="J265" i="7" s="1"/>
  <c r="J254" i="7"/>
  <c r="J255" i="7" s="1"/>
  <c r="J288" i="7"/>
  <c r="J289" i="7" s="1"/>
  <c r="J275" i="7"/>
  <c r="J276" i="7" s="1"/>
  <c r="L99" i="7"/>
  <c r="L119" i="7" s="1"/>
  <c r="L120" i="7" s="1"/>
  <c r="K55" i="7"/>
  <c r="K255" i="7"/>
  <c r="N142" i="7"/>
  <c r="K265" i="7"/>
  <c r="K169" i="7"/>
  <c r="K68" i="7"/>
  <c r="K190" i="7"/>
  <c r="K245" i="7" l="1"/>
  <c r="K247" i="7" s="1"/>
  <c r="K61" i="7"/>
  <c r="K181" i="7"/>
  <c r="L98" i="3"/>
  <c r="K170" i="7"/>
  <c r="K176" i="7" s="1"/>
  <c r="L94" i="7"/>
  <c r="L121" i="7"/>
  <c r="L146" i="7" s="1"/>
  <c r="L147" i="7" s="1"/>
  <c r="O140" i="7"/>
  <c r="N152" i="7"/>
  <c r="K171" i="7" l="1"/>
  <c r="K189" i="7" s="1"/>
  <c r="L153" i="7"/>
  <c r="L154" i="7" s="1"/>
  <c r="L67" i="7" s="1"/>
  <c r="M145" i="7"/>
  <c r="O141" i="7"/>
  <c r="O116" i="7" s="1"/>
  <c r="O117" i="7" s="1"/>
  <c r="K69" i="7"/>
  <c r="K191" i="7"/>
  <c r="M103" i="3"/>
  <c r="L253" i="7"/>
  <c r="L255" i="7" s="1"/>
  <c r="L263" i="7"/>
  <c r="L265" i="7" s="1"/>
  <c r="L287" i="7"/>
  <c r="L289" i="7" s="1"/>
  <c r="L95" i="7"/>
  <c r="L97" i="7" s="1"/>
  <c r="L100" i="7" s="1"/>
  <c r="L122" i="7"/>
  <c r="K172" i="7" l="1"/>
  <c r="O142" i="7"/>
  <c r="L55" i="7"/>
  <c r="M99" i="7"/>
  <c r="M119" i="7" s="1"/>
  <c r="M120" i="7" s="1"/>
  <c r="L169" i="7"/>
  <c r="L68" i="7"/>
  <c r="L190" i="7"/>
  <c r="L61" i="7" l="1"/>
  <c r="L245" i="7"/>
  <c r="L247" i="7" s="1"/>
  <c r="M98" i="3"/>
  <c r="L181" i="7"/>
  <c r="L170" i="7"/>
  <c r="L176" i="7" s="1"/>
  <c r="M94" i="7"/>
  <c r="M121" i="7"/>
  <c r="M146" i="7" s="1"/>
  <c r="M147" i="7" s="1"/>
  <c r="P140" i="7"/>
  <c r="O152" i="7"/>
  <c r="M122" i="7" l="1"/>
  <c r="M153" i="7"/>
  <c r="M154" i="7" s="1"/>
  <c r="M67" i="7" s="1"/>
  <c r="N145" i="7"/>
  <c r="N103" i="3"/>
  <c r="M287" i="7"/>
  <c r="M263" i="7"/>
  <c r="M253" i="7"/>
  <c r="M95" i="7"/>
  <c r="M97" i="7" s="1"/>
  <c r="M100" i="7" s="1"/>
  <c r="L171" i="7"/>
  <c r="P141" i="7"/>
  <c r="P116" i="7" s="1"/>
  <c r="P117" i="7" s="1"/>
  <c r="L69" i="7"/>
  <c r="L191" i="7"/>
  <c r="L172" i="7" l="1"/>
  <c r="L189" i="7"/>
  <c r="M55" i="7"/>
  <c r="N99" i="7"/>
  <c r="N119" i="7" s="1"/>
  <c r="N120" i="7" s="1"/>
  <c r="P142" i="7"/>
  <c r="P152" i="7" s="1"/>
  <c r="M169" i="7"/>
  <c r="M68" i="7"/>
  <c r="M190" i="7"/>
  <c r="N94" i="7" l="1"/>
  <c r="N121" i="7"/>
  <c r="N146" i="7" s="1"/>
  <c r="N147" i="7" s="1"/>
  <c r="M245" i="7"/>
  <c r="M181" i="7"/>
  <c r="M61" i="7"/>
  <c r="N98" i="3"/>
  <c r="M170" i="7"/>
  <c r="M176" i="7" s="1"/>
  <c r="N122" i="7" l="1"/>
  <c r="M69" i="7"/>
  <c r="M191" i="7"/>
  <c r="O145" i="7"/>
  <c r="N153" i="7"/>
  <c r="N154" i="7" s="1"/>
  <c r="N67" i="7" s="1"/>
  <c r="O103" i="3"/>
  <c r="N95" i="7"/>
  <c r="N97" i="7" s="1"/>
  <c r="N100" i="7" s="1"/>
  <c r="M300" i="7"/>
  <c r="P117" i="3" s="1"/>
  <c r="P119" i="3" s="1"/>
  <c r="G195" i="3" s="1"/>
  <c r="G196" i="3" s="1"/>
  <c r="M247" i="7"/>
  <c r="M171" i="7"/>
  <c r="N55" i="7" l="1"/>
  <c r="O99" i="7"/>
  <c r="O119" i="7" s="1"/>
  <c r="O120" i="7" s="1"/>
  <c r="M288" i="7"/>
  <c r="M275" i="7"/>
  <c r="M264" i="7"/>
  <c r="M254" i="7"/>
  <c r="N169" i="7"/>
  <c r="N68" i="7"/>
  <c r="N190" i="7"/>
  <c r="M172" i="7"/>
  <c r="M189" i="7"/>
  <c r="C256" i="7" l="1"/>
  <c r="C257" i="7" s="1"/>
  <c r="P125" i="3" s="1"/>
  <c r="M255" i="7"/>
  <c r="C258" i="7" s="1"/>
  <c r="O125" i="3" s="1"/>
  <c r="O94" i="7"/>
  <c r="O121" i="7"/>
  <c r="O146" i="7" s="1"/>
  <c r="O147" i="7" s="1"/>
  <c r="C266" i="7"/>
  <c r="C267" i="7" s="1"/>
  <c r="P126" i="3" s="1"/>
  <c r="M265" i="7"/>
  <c r="C268" i="7" s="1"/>
  <c r="O126" i="3" s="1"/>
  <c r="C277" i="7"/>
  <c r="C278" i="7" s="1"/>
  <c r="P127" i="3" s="1"/>
  <c r="M276" i="7"/>
  <c r="C279" i="7" s="1"/>
  <c r="O127" i="3" s="1"/>
  <c r="C290" i="7"/>
  <c r="C291" i="7" s="1"/>
  <c r="P128" i="3" s="1"/>
  <c r="M289" i="7"/>
  <c r="C292" i="7" s="1"/>
  <c r="O128" i="3" s="1"/>
  <c r="N61" i="7"/>
  <c r="N181" i="7"/>
  <c r="N245" i="7"/>
  <c r="N247" i="7" s="1"/>
  <c r="O98" i="3"/>
  <c r="N170" i="7"/>
  <c r="N176" i="7" s="1"/>
  <c r="O122" i="7" l="1"/>
  <c r="O153" i="7"/>
  <c r="O154" i="7" s="1"/>
  <c r="O67" i="7" s="1"/>
  <c r="P145" i="7"/>
  <c r="N69" i="7"/>
  <c r="N191" i="7"/>
  <c r="P103" i="3"/>
  <c r="O95" i="7"/>
  <c r="O97" i="7" s="1"/>
  <c r="O100" i="7" s="1"/>
  <c r="N171" i="7"/>
  <c r="N172" i="7" l="1"/>
  <c r="N189" i="7"/>
  <c r="O55" i="7"/>
  <c r="P99" i="7"/>
  <c r="P119" i="7" s="1"/>
  <c r="P120" i="7" s="1"/>
  <c r="O169" i="7"/>
  <c r="O68" i="7"/>
  <c r="O190" i="7"/>
  <c r="P94" i="7" l="1"/>
  <c r="P95" i="7" s="1"/>
  <c r="P97" i="7" s="1"/>
  <c r="P100" i="7" s="1"/>
  <c r="P55" i="7" s="1"/>
  <c r="P121" i="7"/>
  <c r="P146" i="7" s="1"/>
  <c r="P147" i="7" s="1"/>
  <c r="P153" i="7" s="1"/>
  <c r="P154" i="7" s="1"/>
  <c r="P67" i="7" s="1"/>
  <c r="O61" i="7"/>
  <c r="O245" i="7"/>
  <c r="O247" i="7" s="1"/>
  <c r="P98" i="3"/>
  <c r="O181" i="7"/>
  <c r="O170" i="7"/>
  <c r="O176" i="7" s="1"/>
  <c r="P122" i="7" l="1"/>
  <c r="P134" i="3" s="1"/>
  <c r="O171" i="7"/>
  <c r="O172" i="7" s="1"/>
  <c r="O69" i="7"/>
  <c r="O191" i="7"/>
  <c r="P169" i="7"/>
  <c r="P68" i="7"/>
  <c r="P190" i="7"/>
  <c r="P245" i="7"/>
  <c r="P247" i="7" s="1"/>
  <c r="P61" i="7"/>
  <c r="P181" i="7"/>
  <c r="P170" i="7"/>
  <c r="P176" i="7" s="1"/>
  <c r="O189" i="7" l="1"/>
  <c r="P171" i="7"/>
  <c r="P172" i="7" s="1"/>
  <c r="P135" i="3" s="1"/>
  <c r="P69" i="7"/>
  <c r="P133" i="3" s="1"/>
  <c r="P191" i="7"/>
  <c r="P189" i="7" l="1"/>
</calcChain>
</file>

<file path=xl/sharedStrings.xml><?xml version="1.0" encoding="utf-8"?>
<sst xmlns="http://schemas.openxmlformats.org/spreadsheetml/2006/main" count="743" uniqueCount="462">
  <si>
    <t>Goodwill</t>
    <phoneticPr fontId="2" type="noConversion"/>
  </si>
  <si>
    <t>Chosen</t>
    <phoneticPr fontId="2" type="noConversion"/>
  </si>
  <si>
    <t>Mezzanine</t>
    <phoneticPr fontId="2" type="noConversion"/>
  </si>
  <si>
    <t>Seller</t>
    <phoneticPr fontId="2" type="noConversion"/>
  </si>
  <si>
    <t>Mezzanine</t>
    <phoneticPr fontId="2" type="noConversion"/>
  </si>
  <si>
    <t>PE Fund</t>
    <phoneticPr fontId="2" type="noConversion"/>
  </si>
  <si>
    <t>Management</t>
    <phoneticPr fontId="2" type="noConversion"/>
  </si>
  <si>
    <t>Seller</t>
    <phoneticPr fontId="2" type="noConversion"/>
  </si>
  <si>
    <t>PIK</t>
  </si>
  <si>
    <t>./. Fair Value Adjustments</t>
    <phoneticPr fontId="2" type="noConversion"/>
  </si>
  <si>
    <t>Deal</t>
    <phoneticPr fontId="2" type="noConversion"/>
  </si>
  <si>
    <t>Adjustments</t>
    <phoneticPr fontId="2" type="noConversion"/>
  </si>
  <si>
    <t>Share premium</t>
    <phoneticPr fontId="2" type="noConversion"/>
  </si>
  <si>
    <t>Total Sources</t>
    <phoneticPr fontId="2" type="noConversion"/>
  </si>
  <si>
    <t>Change in receivables</t>
    <phoneticPr fontId="2" type="noConversion"/>
  </si>
  <si>
    <t>Change in inventory</t>
    <phoneticPr fontId="2" type="noConversion"/>
  </si>
  <si>
    <t>Days COGS</t>
  </si>
  <si>
    <t>Equity purchase price</t>
    <phoneticPr fontId="2" type="noConversion"/>
  </si>
  <si>
    <t>Transaction costs</t>
    <phoneticPr fontId="2" type="noConversion"/>
  </si>
  <si>
    <t>Excess cash</t>
    <phoneticPr fontId="2" type="noConversion"/>
  </si>
  <si>
    <t>Seller financing</t>
  </si>
  <si>
    <t>Equity (PE)</t>
    <phoneticPr fontId="2" type="noConversion"/>
  </si>
  <si>
    <t>Equity (Management)</t>
    <phoneticPr fontId="2" type="noConversion"/>
  </si>
  <si>
    <t>Sources and uses of funds</t>
    <phoneticPr fontId="2" type="noConversion"/>
  </si>
  <si>
    <t>Stake</t>
    <phoneticPr fontId="2" type="noConversion"/>
  </si>
  <si>
    <t>Intangibles</t>
    <phoneticPr fontId="2" type="noConversion"/>
  </si>
  <si>
    <t>Short-term Financial Debt</t>
    <phoneticPr fontId="2" type="noConversion"/>
  </si>
  <si>
    <t>Long-term Financial Debt</t>
    <phoneticPr fontId="2" type="noConversion"/>
  </si>
  <si>
    <t>Total</t>
    <phoneticPr fontId="2" type="noConversion"/>
  </si>
  <si>
    <t>Net working capital</t>
    <phoneticPr fontId="23" type="noConversion"/>
  </si>
  <si>
    <t>Fixed Assets</t>
    <phoneticPr fontId="23" type="noConversion"/>
  </si>
  <si>
    <t>Shareholder's Equity</t>
    <phoneticPr fontId="23" type="noConversion"/>
  </si>
  <si>
    <t>Close</t>
    <phoneticPr fontId="2" type="noConversion"/>
  </si>
  <si>
    <t>Q3</t>
    <phoneticPr fontId="2" type="noConversion"/>
  </si>
  <si>
    <t>Q4</t>
    <phoneticPr fontId="2" type="noConversion"/>
  </si>
  <si>
    <t>Q1</t>
    <phoneticPr fontId="2" type="noConversion"/>
  </si>
  <si>
    <t>Q2</t>
    <phoneticPr fontId="2" type="noConversion"/>
  </si>
  <si>
    <t>Post period</t>
    <phoneticPr fontId="2" type="noConversion"/>
  </si>
  <si>
    <t>Days</t>
    <phoneticPr fontId="2" type="noConversion"/>
  </si>
  <si>
    <t>Equity</t>
    <phoneticPr fontId="2" type="noConversion"/>
  </si>
  <si>
    <t>Capital injection</t>
    <phoneticPr fontId="2" type="noConversion"/>
  </si>
  <si>
    <t>Close</t>
    <phoneticPr fontId="2" type="noConversion"/>
  </si>
  <si>
    <t>Chosen</t>
    <phoneticPr fontId="2" type="noConversion"/>
  </si>
  <si>
    <t>Equity Stakes</t>
    <phoneticPr fontId="2" type="noConversion"/>
  </si>
  <si>
    <t>Proceeds</t>
    <phoneticPr fontId="2" type="noConversion"/>
  </si>
  <si>
    <t>EBITDA Multiple</t>
    <phoneticPr fontId="2" type="noConversion"/>
  </si>
  <si>
    <t>NA</t>
    <phoneticPr fontId="2" type="noConversion"/>
  </si>
  <si>
    <t>Earnings before interest and taxes</t>
  </si>
  <si>
    <t>EBITDA</t>
  </si>
  <si>
    <t>Beginning</t>
    <phoneticPr fontId="2" type="noConversion"/>
  </si>
  <si>
    <t>Reserves</t>
    <phoneticPr fontId="2" type="noConversion"/>
  </si>
  <si>
    <t>Equity</t>
    <phoneticPr fontId="2" type="noConversion"/>
  </si>
  <si>
    <t>Reserves in % of Net Income</t>
    <phoneticPr fontId="2" type="noConversion"/>
  </si>
  <si>
    <t>Nominal Capital</t>
    <phoneticPr fontId="2" type="noConversion"/>
  </si>
  <si>
    <t>Change</t>
    <phoneticPr fontId="2" type="noConversion"/>
  </si>
  <si>
    <t>End</t>
    <phoneticPr fontId="2" type="noConversion"/>
  </si>
  <si>
    <t># of Shares</t>
    <phoneticPr fontId="2" type="noConversion"/>
  </si>
  <si>
    <t>New shares issued</t>
    <phoneticPr fontId="2" type="noConversion"/>
  </si>
  <si>
    <t>End shares</t>
    <phoneticPr fontId="2" type="noConversion"/>
  </si>
  <si>
    <t># of shares</t>
    <phoneticPr fontId="2" type="noConversion"/>
  </si>
  <si>
    <t>Nominal value per share</t>
    <phoneticPr fontId="2" type="noConversion"/>
  </si>
  <si>
    <t>Price per share</t>
    <phoneticPr fontId="2" type="noConversion"/>
  </si>
  <si>
    <t>Price per share</t>
    <phoneticPr fontId="2" type="noConversion"/>
  </si>
  <si>
    <t>#</t>
    <phoneticPr fontId="2" type="noConversion"/>
  </si>
  <si>
    <t># of new shares</t>
    <phoneticPr fontId="2" type="noConversion"/>
  </si>
  <si>
    <t>Powered by</t>
    <phoneticPr fontId="2" type="noConversion"/>
  </si>
  <si>
    <t>Net debt/EBITDA</t>
    <phoneticPr fontId="2" type="noConversion"/>
  </si>
  <si>
    <t>Sales Growth</t>
  </si>
  <si>
    <t>COGS</t>
  </si>
  <si>
    <t>%/Sales</t>
  </si>
  <si>
    <t>OPEX</t>
  </si>
  <si>
    <t>Sales &amp; Marketing</t>
  </si>
  <si>
    <t>General &amp; Admin</t>
  </si>
  <si>
    <t>Other operating expenses</t>
  </si>
  <si>
    <t>Operating Assumptions</t>
    <phoneticPr fontId="23" type="noConversion"/>
  </si>
  <si>
    <t>Debt financing</t>
    <phoneticPr fontId="23" type="noConversion"/>
  </si>
  <si>
    <t>Multiple</t>
    <phoneticPr fontId="2" type="noConversion"/>
  </si>
  <si>
    <t>Interest expenses</t>
    <phoneticPr fontId="2" type="noConversion"/>
  </si>
  <si>
    <t>Drawdown</t>
    <phoneticPr fontId="2" type="noConversion"/>
  </si>
  <si>
    <t>Repayment</t>
    <phoneticPr fontId="2" type="noConversion"/>
  </si>
  <si>
    <t>Days Sales</t>
  </si>
  <si>
    <t>Days Inventory</t>
  </si>
  <si>
    <t>Capital injection</t>
    <phoneticPr fontId="2" type="noConversion"/>
  </si>
  <si>
    <t>Allocation to retained earnings</t>
    <phoneticPr fontId="2" type="noConversion"/>
  </si>
  <si>
    <t>Net Income Distribution</t>
    <phoneticPr fontId="2" type="noConversion"/>
  </si>
  <si>
    <t>Initial investment</t>
    <phoneticPr fontId="2" type="noConversion"/>
  </si>
  <si>
    <t>Interest</t>
    <phoneticPr fontId="2" type="noConversion"/>
  </si>
  <si>
    <t>Repayment</t>
    <phoneticPr fontId="2" type="noConversion"/>
  </si>
  <si>
    <t>DCF Valuation</t>
    <phoneticPr fontId="2" type="noConversion"/>
  </si>
  <si>
    <t>EBIT/Interest</t>
    <phoneticPr fontId="2" type="noConversion"/>
  </si>
  <si>
    <t>LTM</t>
    <phoneticPr fontId="2" type="noConversion"/>
  </si>
  <si>
    <t>PIK</t>
    <phoneticPr fontId="2" type="noConversion"/>
  </si>
  <si>
    <t>Paid in kind</t>
    <phoneticPr fontId="2" type="noConversion"/>
  </si>
  <si>
    <t>Repayment</t>
    <phoneticPr fontId="2" type="noConversion"/>
  </si>
  <si>
    <t>Interest</t>
    <phoneticPr fontId="2" type="noConversion"/>
  </si>
  <si>
    <t>Other Current Liabiliites</t>
    <phoneticPr fontId="2" type="noConversion"/>
  </si>
  <si>
    <t>Liabilities &amp; Shareholder's Equity</t>
    <phoneticPr fontId="23" type="noConversion"/>
  </si>
  <si>
    <t>Total Assets</t>
    <phoneticPr fontId="23" type="noConversion"/>
  </si>
  <si>
    <t>Financial Overview</t>
    <phoneticPr fontId="0" type="noConversion"/>
  </si>
  <si>
    <t>Financial Projections</t>
    <phoneticPr fontId="2" type="noConversion"/>
  </si>
  <si>
    <t>CAPEX</t>
    <phoneticPr fontId="23" type="noConversion"/>
  </si>
  <si>
    <t>COGS</t>
    <phoneticPr fontId="2" type="noConversion"/>
  </si>
  <si>
    <t>Total uses</t>
    <phoneticPr fontId="2" type="noConversion"/>
  </si>
  <si>
    <t>Change (Capital Increase)</t>
    <phoneticPr fontId="2" type="noConversion"/>
  </si>
  <si>
    <t>Change (Transaction)</t>
    <phoneticPr fontId="2" type="noConversion"/>
  </si>
  <si>
    <t>Old Co</t>
    <phoneticPr fontId="2" type="noConversion"/>
  </si>
  <si>
    <t>New Co</t>
    <phoneticPr fontId="2" type="noConversion"/>
  </si>
  <si>
    <t>Increase in Equity Capital</t>
    <phoneticPr fontId="2" type="noConversion"/>
  </si>
  <si>
    <t>Debt to be terminated</t>
    <phoneticPr fontId="2" type="noConversion"/>
  </si>
  <si>
    <t>New debt</t>
    <phoneticPr fontId="2" type="noConversion"/>
  </si>
  <si>
    <t>Equity</t>
    <phoneticPr fontId="2" type="noConversion"/>
  </si>
  <si>
    <t>Depreciation</t>
    <phoneticPr fontId="2" type="noConversion"/>
  </si>
  <si>
    <t>Net Income</t>
    <phoneticPr fontId="2" type="noConversion"/>
  </si>
  <si>
    <t>Reserves</t>
    <phoneticPr fontId="2" type="noConversion"/>
  </si>
  <si>
    <t>%</t>
    <phoneticPr fontId="2" type="noConversion"/>
  </si>
  <si>
    <t>Total</t>
    <phoneticPr fontId="2" type="noConversion"/>
  </si>
  <si>
    <t>%</t>
    <phoneticPr fontId="2" type="noConversion"/>
  </si>
  <si>
    <t>Term Loan A</t>
  </si>
  <si>
    <t>Credit Facility</t>
  </si>
  <si>
    <t>Financial Debt</t>
    <phoneticPr fontId="2" type="noConversion"/>
  </si>
  <si>
    <t>Subordinated loan</t>
  </si>
  <si>
    <t>Debt/EBITDA</t>
    <phoneticPr fontId="2" type="noConversion"/>
  </si>
  <si>
    <t>Term Loan B</t>
  </si>
  <si>
    <t>Capital Employed</t>
    <phoneticPr fontId="23" type="noConversion"/>
  </si>
  <si>
    <t>Total</t>
    <phoneticPr fontId="23" type="noConversion"/>
  </si>
  <si>
    <t>Invested Capital</t>
    <phoneticPr fontId="2" type="noConversion"/>
  </si>
  <si>
    <t>Equity</t>
    <phoneticPr fontId="2" type="noConversion"/>
  </si>
  <si>
    <t>Net debt</t>
    <phoneticPr fontId="2" type="noConversion"/>
  </si>
  <si>
    <t>Short-term financial debt</t>
    <phoneticPr fontId="2" type="noConversion"/>
  </si>
  <si>
    <t>Long-term financial debt</t>
    <phoneticPr fontId="2" type="noConversion"/>
  </si>
  <si>
    <t>Discount rate / factor</t>
    <phoneticPr fontId="2" type="noConversion"/>
  </si>
  <si>
    <t>Discounted free cash flows</t>
    <phoneticPr fontId="2" type="noConversion"/>
  </si>
  <si>
    <t>Free Cash Flow to Firm (FCFF)</t>
    <phoneticPr fontId="23" type="noConversion"/>
  </si>
  <si>
    <t>Discount rate</t>
    <phoneticPr fontId="2" type="noConversion"/>
  </si>
  <si>
    <t>Days</t>
    <phoneticPr fontId="2" type="noConversion"/>
  </si>
  <si>
    <t>NA</t>
    <phoneticPr fontId="2" type="noConversion"/>
  </si>
  <si>
    <t>Equity injection</t>
    <phoneticPr fontId="2" type="noConversion"/>
  </si>
  <si>
    <t>Cash end</t>
    <phoneticPr fontId="23" type="noConversion"/>
  </si>
  <si>
    <t>NA</t>
    <phoneticPr fontId="2" type="noConversion"/>
  </si>
  <si>
    <t>NA</t>
    <phoneticPr fontId="2" type="noConversion"/>
  </si>
  <si>
    <t>Cash available bef. Dividends</t>
    <phoneticPr fontId="2" type="noConversion"/>
  </si>
  <si>
    <t>Check unallocated</t>
    <phoneticPr fontId="2" type="noConversion"/>
  </si>
  <si>
    <t>Dividend payout ratio</t>
    <phoneticPr fontId="2" type="noConversion"/>
  </si>
  <si>
    <t>Mezzanine PIK Retained</t>
    <phoneticPr fontId="2" type="noConversion"/>
  </si>
  <si>
    <t>Check</t>
    <phoneticPr fontId="2" type="noConversion"/>
  </si>
  <si>
    <t>First full year post deal</t>
    <phoneticPr fontId="0" type="noConversion"/>
  </si>
  <si>
    <t>Target Dividend Payout ratio</t>
    <phoneticPr fontId="2" type="noConversion"/>
  </si>
  <si>
    <t>Allocated to retained earnings</t>
    <phoneticPr fontId="2" type="noConversion"/>
  </si>
  <si>
    <t>Equity (end)</t>
    <phoneticPr fontId="2" type="noConversion"/>
  </si>
  <si>
    <t>Purchase Price Allocation</t>
    <phoneticPr fontId="2" type="noConversion"/>
  </si>
  <si>
    <t>Purchase Price</t>
    <phoneticPr fontId="2" type="noConversion"/>
  </si>
  <si>
    <t>Cash</t>
    <phoneticPr fontId="2" type="noConversion"/>
  </si>
  <si>
    <t>Receivables</t>
    <phoneticPr fontId="2" type="noConversion"/>
  </si>
  <si>
    <t>Inventory</t>
    <phoneticPr fontId="2" type="noConversion"/>
  </si>
  <si>
    <t>Payables</t>
    <phoneticPr fontId="2" type="noConversion"/>
  </si>
  <si>
    <t>./. Book Value of Equity</t>
    <phoneticPr fontId="2" type="noConversion"/>
  </si>
  <si>
    <t>Excess purchase price</t>
    <phoneticPr fontId="2" type="noConversion"/>
  </si>
  <si>
    <t xml:space="preserve">Cash on cash </t>
    <phoneticPr fontId="2" type="noConversion"/>
  </si>
  <si>
    <t>Total</t>
    <phoneticPr fontId="2" type="noConversion"/>
  </si>
  <si>
    <t>Interest rates</t>
    <phoneticPr fontId="2" type="noConversion"/>
  </si>
  <si>
    <t>Addback interest</t>
    <phoneticPr fontId="23" type="noConversion"/>
  </si>
  <si>
    <t>Change in other current assets</t>
    <phoneticPr fontId="2" type="noConversion"/>
  </si>
  <si>
    <t>Change in payables</t>
    <phoneticPr fontId="2" type="noConversion"/>
  </si>
  <si>
    <t>Dividends</t>
    <phoneticPr fontId="2" type="noConversion"/>
  </si>
  <si>
    <t>Interest</t>
    <phoneticPr fontId="2" type="noConversion"/>
  </si>
  <si>
    <t>EV/EBITDA</t>
    <phoneticPr fontId="2" type="noConversion"/>
  </si>
  <si>
    <t>Enterprise Value</t>
    <phoneticPr fontId="2" type="noConversion"/>
  </si>
  <si>
    <t>Cash</t>
    <phoneticPr fontId="2" type="noConversion"/>
  </si>
  <si>
    <t>Financial Debt</t>
    <phoneticPr fontId="2" type="noConversion"/>
  </si>
  <si>
    <t>Equity Value</t>
    <phoneticPr fontId="2" type="noConversion"/>
  </si>
  <si>
    <t>%</t>
    <phoneticPr fontId="2" type="noConversion"/>
  </si>
  <si>
    <t>Last FYE</t>
  </si>
  <si>
    <t>Close date</t>
  </si>
  <si>
    <t>Timing</t>
    <phoneticPr fontId="2" type="noConversion"/>
  </si>
  <si>
    <t>LTM</t>
    <phoneticPr fontId="2" type="noConversion"/>
  </si>
  <si>
    <t>Intangibles</t>
    <phoneticPr fontId="2" type="noConversion"/>
  </si>
  <si>
    <t>Check</t>
    <phoneticPr fontId="2" type="noConversion"/>
  </si>
  <si>
    <t>Check</t>
    <phoneticPr fontId="2" type="noConversion"/>
  </si>
  <si>
    <t>./. Existing goodwill</t>
    <phoneticPr fontId="2" type="noConversion"/>
  </si>
  <si>
    <t>Goodwill created</t>
    <phoneticPr fontId="2" type="noConversion"/>
  </si>
  <si>
    <t>Financial year end</t>
    <phoneticPr fontId="2" type="noConversion"/>
  </si>
  <si>
    <t>LTM Month End</t>
    <phoneticPr fontId="2" type="noConversion"/>
  </si>
  <si>
    <t>Close</t>
    <phoneticPr fontId="2" type="noConversion"/>
  </si>
  <si>
    <t>Projected Valuation</t>
    <phoneticPr fontId="2" type="noConversion"/>
  </si>
  <si>
    <t>Cash in / out</t>
    <phoneticPr fontId="2" type="noConversion"/>
  </si>
  <si>
    <t>IRR</t>
    <phoneticPr fontId="2" type="noConversion"/>
  </si>
  <si>
    <t>Exit year</t>
    <phoneticPr fontId="2" type="noConversion"/>
  </si>
  <si>
    <t>%</t>
    <phoneticPr fontId="2" type="noConversion"/>
  </si>
  <si>
    <t>Gross Margin</t>
    <phoneticPr fontId="2" type="noConversion"/>
  </si>
  <si>
    <t>Discount rate</t>
  </si>
  <si>
    <t>COGS</t>
    <phoneticPr fontId="2" type="noConversion"/>
  </si>
  <si>
    <t>Cost of goods sold</t>
    <phoneticPr fontId="2" type="noConversion"/>
  </si>
  <si>
    <t>DCF</t>
    <phoneticPr fontId="2" type="noConversion"/>
  </si>
  <si>
    <t>Discounted Free Cash Flows</t>
    <phoneticPr fontId="2" type="noConversion"/>
  </si>
  <si>
    <t>EBIT</t>
  </si>
  <si>
    <t>Earnings before interest, taxes, depreciation and amortization</t>
  </si>
  <si>
    <t>F</t>
    <phoneticPr fontId="2" type="noConversion"/>
  </si>
  <si>
    <t>Forecasted figure</t>
    <phoneticPr fontId="2" type="noConversion"/>
  </si>
  <si>
    <t>NPV</t>
    <phoneticPr fontId="2" type="noConversion"/>
  </si>
  <si>
    <t>Sales &amp; Marketing</t>
    <phoneticPr fontId="23" type="noConversion"/>
  </si>
  <si>
    <t>General &amp; Admin</t>
    <phoneticPr fontId="2" type="noConversion"/>
  </si>
  <si>
    <t>Other operating expenses</t>
    <phoneticPr fontId="2" type="noConversion"/>
  </si>
  <si>
    <t>OPEX</t>
    <phoneticPr fontId="23" type="noConversion"/>
  </si>
  <si>
    <t>Fixed Assets</t>
    <phoneticPr fontId="2" type="noConversion"/>
  </si>
  <si>
    <t>Fixed Assets (Net)</t>
    <phoneticPr fontId="2" type="noConversion"/>
  </si>
  <si>
    <t>Dividends</t>
    <phoneticPr fontId="2" type="noConversion"/>
  </si>
  <si>
    <t>Exit proceeds</t>
    <phoneticPr fontId="2" type="noConversion"/>
  </si>
  <si>
    <t>DCF Valuation</t>
    <phoneticPr fontId="2" type="noConversion"/>
  </si>
  <si>
    <t>%</t>
  </si>
  <si>
    <t>Total</t>
    <phoneticPr fontId="2" type="noConversion"/>
  </si>
  <si>
    <t>EBITDA</t>
    <phoneticPr fontId="2" type="noConversion"/>
  </si>
  <si>
    <t>Terminal Value</t>
  </si>
  <si>
    <t>USD</t>
  </si>
  <si>
    <t xml:space="preserve">United States Dollar </t>
  </si>
  <si>
    <t>Revenues</t>
  </si>
  <si>
    <t>Financial Model Template</t>
    <phoneticPr fontId="2" type="noConversion"/>
  </si>
  <si>
    <t>Price Earnings Ratio</t>
    <phoneticPr fontId="2" type="noConversion"/>
  </si>
  <si>
    <t>P/E</t>
    <phoneticPr fontId="2" type="noConversion"/>
  </si>
  <si>
    <t>Enterprise Value</t>
    <phoneticPr fontId="2" type="noConversion"/>
  </si>
  <si>
    <t>Change</t>
    <phoneticPr fontId="2" type="noConversion"/>
  </si>
  <si>
    <t>Nominal Capital</t>
    <phoneticPr fontId="2" type="noConversion"/>
  </si>
  <si>
    <t>Share Premium</t>
    <phoneticPr fontId="2" type="noConversion"/>
  </si>
  <si>
    <t>Retained Earnings</t>
    <phoneticPr fontId="2" type="noConversion"/>
  </si>
  <si>
    <t>Retained Earnings</t>
    <phoneticPr fontId="2" type="noConversion"/>
  </si>
  <si>
    <t>./. Legal reserves</t>
    <phoneticPr fontId="2" type="noConversion"/>
  </si>
  <si>
    <t>Subtotal</t>
    <phoneticPr fontId="2" type="noConversion"/>
  </si>
  <si>
    <t>Financial Debt</t>
    <phoneticPr fontId="2" type="noConversion"/>
  </si>
  <si>
    <t>EV</t>
    <phoneticPr fontId="2" type="noConversion"/>
  </si>
  <si>
    <t>Enteprise Value</t>
    <phoneticPr fontId="2" type="noConversion"/>
  </si>
  <si>
    <t>EV/EBITDA</t>
    <phoneticPr fontId="2" type="noConversion"/>
  </si>
  <si>
    <t>Net Present Value</t>
    <phoneticPr fontId="2" type="noConversion"/>
  </si>
  <si>
    <t>OPEX</t>
    <phoneticPr fontId="2" type="noConversion"/>
  </si>
  <si>
    <t>Operating costs</t>
    <phoneticPr fontId="2" type="noConversion"/>
  </si>
  <si>
    <t>Dilution</t>
    <phoneticPr fontId="2" type="noConversion"/>
  </si>
  <si>
    <t>Partial</t>
    <phoneticPr fontId="2" type="noConversion"/>
  </si>
  <si>
    <t>Full</t>
    <phoneticPr fontId="2" type="noConversion"/>
  </si>
  <si>
    <t>Undiluted</t>
    <phoneticPr fontId="2" type="noConversion"/>
  </si>
  <si>
    <t>Seller</t>
    <phoneticPr fontId="2" type="noConversion"/>
  </si>
  <si>
    <t>Mezzanine</t>
    <phoneticPr fontId="2" type="noConversion"/>
  </si>
  <si>
    <t>IRR Analysis</t>
    <phoneticPr fontId="2" type="noConversion"/>
  </si>
  <si>
    <t>Equity Value</t>
    <phoneticPr fontId="2" type="noConversion"/>
  </si>
  <si>
    <t>%</t>
    <phoneticPr fontId="2" type="noConversion"/>
  </si>
  <si>
    <t>Terminal Value growth</t>
    <phoneticPr fontId="2" type="noConversion"/>
  </si>
  <si>
    <t>Powered by</t>
    <phoneticPr fontId="2" type="noConversion"/>
  </si>
  <si>
    <t>CAPEX</t>
    <phoneticPr fontId="2" type="noConversion"/>
  </si>
  <si>
    <t>%</t>
    <phoneticPr fontId="2" type="noConversion"/>
  </si>
  <si>
    <t>EBITDA</t>
    <phoneticPr fontId="2" type="noConversion"/>
  </si>
  <si>
    <t>Discounted Free Cash Flow Analysis (DCF)</t>
    <phoneticPr fontId="2" type="noConversion"/>
  </si>
  <si>
    <t>Uses</t>
    <phoneticPr fontId="2" type="noConversion"/>
  </si>
  <si>
    <t>Equity Value</t>
    <phoneticPr fontId="2" type="noConversion"/>
  </si>
  <si>
    <t>Entry</t>
    <phoneticPr fontId="2" type="noConversion"/>
  </si>
  <si>
    <t>Exit</t>
    <phoneticPr fontId="2" type="noConversion"/>
  </si>
  <si>
    <t>Enterprise Value</t>
    <phoneticPr fontId="2" type="noConversion"/>
  </si>
  <si>
    <t>Gross Profit</t>
    <phoneticPr fontId="2" type="noConversion"/>
  </si>
  <si>
    <t>Depreciation period</t>
  </si>
  <si>
    <t>Depreciation</t>
    <phoneticPr fontId="2" type="noConversion"/>
  </si>
  <si>
    <t>Addback D&amp;A</t>
    <phoneticPr fontId="2" type="noConversion"/>
  </si>
  <si>
    <t>Terminal Value Growth</t>
    <phoneticPr fontId="2" type="noConversion"/>
  </si>
  <si>
    <t>Revenues</t>
    <phoneticPr fontId="23" type="noConversion"/>
  </si>
  <si>
    <t>Years</t>
    <phoneticPr fontId="2" type="noConversion"/>
  </si>
  <si>
    <t>Assumptions</t>
    <phoneticPr fontId="0" type="noConversion"/>
  </si>
  <si>
    <t>General Assumptions</t>
    <phoneticPr fontId="0" type="noConversion"/>
  </si>
  <si>
    <t>Currency</t>
    <phoneticPr fontId="0" type="noConversion"/>
  </si>
  <si>
    <t>Depreciation period</t>
    <phoneticPr fontId="2" type="noConversion"/>
  </si>
  <si>
    <t>Tax rate</t>
    <phoneticPr fontId="2" type="noConversion"/>
  </si>
  <si>
    <t>Revenue growth</t>
    <phoneticPr fontId="2" type="noConversion"/>
  </si>
  <si>
    <t>Addback D&amp;A</t>
    <phoneticPr fontId="2" type="noConversion"/>
  </si>
  <si>
    <t>D&amp;A</t>
    <phoneticPr fontId="2" type="noConversion"/>
  </si>
  <si>
    <t>Depreciation &amp; Amortization</t>
    <phoneticPr fontId="2" type="noConversion"/>
  </si>
  <si>
    <t>Depreciation &amp; Amortization</t>
    <phoneticPr fontId="2" type="noConversion"/>
  </si>
  <si>
    <t>Tangible Fixed Assets</t>
    <phoneticPr fontId="2" type="noConversion"/>
  </si>
  <si>
    <t>Disclaimer: eFinancialModels.com provides the template as is and assumes no liability for any eventual mistakes within the model nor ommissions of it. All eventual data includes serves as example only and cannot be relied upon. Each template needs to be adjusted for the individual project and customized by the user.  The user is self responsible to thoroughly review and adjust the model. However eFinancialModels.com appreciates your feedback.</t>
    <phoneticPr fontId="2" type="noConversion"/>
  </si>
  <si>
    <t>Next FYE</t>
    <phoneticPr fontId="2" type="noConversion"/>
  </si>
  <si>
    <t>Confidential</t>
    <phoneticPr fontId="2" type="noConversion"/>
  </si>
  <si>
    <t>Abbreviations</t>
    <phoneticPr fontId="0" type="noConversion"/>
  </si>
  <si>
    <t>A</t>
    <phoneticPr fontId="2" type="noConversion"/>
  </si>
  <si>
    <t>Accumulated depreciation</t>
    <phoneticPr fontId="2" type="noConversion"/>
  </si>
  <si>
    <t>Cash beginning</t>
    <phoneticPr fontId="23" type="noConversion"/>
  </si>
  <si>
    <t>Days Receivables</t>
  </si>
  <si>
    <t>PE</t>
    <phoneticPr fontId="2" type="noConversion"/>
  </si>
  <si>
    <t>Private Equity</t>
    <phoneticPr fontId="2" type="noConversion"/>
  </si>
  <si>
    <t>Valuation Comparison Entry / Exit</t>
    <phoneticPr fontId="2" type="noConversion"/>
  </si>
  <si>
    <t>Days Payables</t>
  </si>
  <si>
    <t>Other current assets</t>
  </si>
  <si>
    <t>Balance Sheet</t>
    <phoneticPr fontId="23" type="noConversion"/>
  </si>
  <si>
    <t>Growth</t>
    <phoneticPr fontId="2" type="noConversion"/>
  </si>
  <si>
    <t>NA</t>
    <phoneticPr fontId="2" type="noConversion"/>
  </si>
  <si>
    <t>Net Income</t>
    <phoneticPr fontId="2" type="noConversion"/>
  </si>
  <si>
    <t>Actual figure</t>
    <phoneticPr fontId="2" type="noConversion"/>
  </si>
  <si>
    <t>CAPEX</t>
  </si>
  <si>
    <t>Capital Expenditures</t>
  </si>
  <si>
    <t>Check</t>
    <phoneticPr fontId="2" type="noConversion"/>
  </si>
  <si>
    <t>Cash Flow Statement</t>
    <phoneticPr fontId="23" type="noConversion"/>
  </si>
  <si>
    <t>Unit</t>
    <phoneticPr fontId="2" type="noConversion"/>
  </si>
  <si>
    <t>Cash Flow from Operations (CFO)</t>
    <phoneticPr fontId="23" type="noConversion"/>
  </si>
  <si>
    <t>Net income</t>
    <phoneticPr fontId="23" type="noConversion"/>
  </si>
  <si>
    <t>%</t>
    <phoneticPr fontId="2" type="noConversion"/>
  </si>
  <si>
    <t>NPV</t>
  </si>
  <si>
    <t>ROE</t>
    <phoneticPr fontId="2" type="noConversion"/>
  </si>
  <si>
    <t>ROIC</t>
    <phoneticPr fontId="2" type="noConversion"/>
  </si>
  <si>
    <t>Change in NWC</t>
    <phoneticPr fontId="2" type="noConversion"/>
  </si>
  <si>
    <t>Financial Debt / EBITDA</t>
    <phoneticPr fontId="23" type="noConversion"/>
  </si>
  <si>
    <t>Price per share</t>
    <phoneticPr fontId="2" type="noConversion"/>
  </si>
  <si>
    <t>Model Checks</t>
    <phoneticPr fontId="2" type="noConversion"/>
  </si>
  <si>
    <t>P/E</t>
    <phoneticPr fontId="2" type="noConversion"/>
  </si>
  <si>
    <t>x</t>
    <phoneticPr fontId="2" type="noConversion"/>
  </si>
  <si>
    <t>LTM EBITDA</t>
    <phoneticPr fontId="2" type="noConversion"/>
  </si>
  <si>
    <t>LTM Revenues</t>
    <phoneticPr fontId="2" type="noConversion"/>
  </si>
  <si>
    <t>LTM Net Income</t>
    <phoneticPr fontId="2" type="noConversion"/>
  </si>
  <si>
    <t>Exit Scenario</t>
    <phoneticPr fontId="2" type="noConversion"/>
  </si>
  <si>
    <t>Revenues</t>
    <phoneticPr fontId="2" type="noConversion"/>
  </si>
  <si>
    <t>EBITDA</t>
    <phoneticPr fontId="2" type="noConversion"/>
  </si>
  <si>
    <t>Net Income</t>
    <phoneticPr fontId="2" type="noConversion"/>
  </si>
  <si>
    <t>FYE</t>
    <phoneticPr fontId="2" type="noConversion"/>
  </si>
  <si>
    <t>Last twelve months</t>
    <phoneticPr fontId="2" type="noConversion"/>
  </si>
  <si>
    <t>Debt Service Coverage</t>
    <phoneticPr fontId="23" type="noConversion"/>
  </si>
  <si>
    <t>EBIT/Interest</t>
    <phoneticPr fontId="2" type="noConversion"/>
  </si>
  <si>
    <t>Current Ratio</t>
    <phoneticPr fontId="2" type="noConversion"/>
  </si>
  <si>
    <t>EBITDA Margin</t>
    <phoneticPr fontId="2" type="noConversion"/>
  </si>
  <si>
    <t>ROIC</t>
    <phoneticPr fontId="2" type="noConversion"/>
  </si>
  <si>
    <t>ROE</t>
    <phoneticPr fontId="2" type="noConversion"/>
  </si>
  <si>
    <t>Revenues/Assets</t>
    <phoneticPr fontId="2" type="noConversion"/>
  </si>
  <si>
    <t>Private Equity</t>
    <phoneticPr fontId="2" type="noConversion"/>
  </si>
  <si>
    <t>PE Model</t>
    <phoneticPr fontId="2" type="noConversion"/>
  </si>
  <si>
    <t>All amounts in USD</t>
  </si>
  <si>
    <t>Summary</t>
    <phoneticPr fontId="0" type="noConversion"/>
  </si>
  <si>
    <t>#</t>
    <phoneticPr fontId="2" type="noConversion"/>
  </si>
  <si>
    <t>#</t>
    <phoneticPr fontId="2" type="noConversion"/>
  </si>
  <si>
    <t>#</t>
    <phoneticPr fontId="2" type="noConversion"/>
  </si>
  <si>
    <t>%</t>
    <phoneticPr fontId="2" type="noConversion"/>
  </si>
  <si>
    <t>%</t>
    <phoneticPr fontId="2" type="noConversion"/>
  </si>
  <si>
    <t>Max reserves in % of nom. capital</t>
    <phoneticPr fontId="2" type="noConversion"/>
  </si>
  <si>
    <t>x</t>
    <phoneticPr fontId="2" type="noConversion"/>
  </si>
  <si>
    <t>x</t>
    <phoneticPr fontId="2" type="noConversion"/>
  </si>
  <si>
    <t>CAPEX</t>
    <phoneticPr fontId="2" type="noConversion"/>
  </si>
  <si>
    <t>CFI</t>
    <phoneticPr fontId="23" type="noConversion"/>
  </si>
  <si>
    <t>Cash Flow from Financing</t>
    <phoneticPr fontId="23" type="noConversion"/>
  </si>
  <si>
    <t>Change in Financial debt</t>
    <phoneticPr fontId="2" type="noConversion"/>
  </si>
  <si>
    <t>Interest charges</t>
    <phoneticPr fontId="23" type="noConversion"/>
  </si>
  <si>
    <t>Equity financing</t>
    <phoneticPr fontId="2" type="noConversion"/>
  </si>
  <si>
    <t>Dividends</t>
    <phoneticPr fontId="2" type="noConversion"/>
  </si>
  <si>
    <t>Change in Cash</t>
    <phoneticPr fontId="23" type="noConversion"/>
  </si>
  <si>
    <t>Pre-Close</t>
    <phoneticPr fontId="2" type="noConversion"/>
  </si>
  <si>
    <t>Post-Close</t>
    <phoneticPr fontId="2" type="noConversion"/>
  </si>
  <si>
    <t>LTM</t>
    <phoneticPr fontId="2" type="noConversion"/>
  </si>
  <si>
    <t>Confidential</t>
  </si>
  <si>
    <t>Basis</t>
    <phoneticPr fontId="2" type="noConversion"/>
  </si>
  <si>
    <t>%</t>
    <phoneticPr fontId="2" type="noConversion"/>
  </si>
  <si>
    <t>Interest (avg)</t>
    <phoneticPr fontId="2" type="noConversion"/>
  </si>
  <si>
    <t>Financial Debt</t>
    <phoneticPr fontId="23" type="noConversion"/>
  </si>
  <si>
    <t xml:space="preserve"> </t>
    <phoneticPr fontId="2" type="noConversion"/>
  </si>
  <si>
    <t>Old Co</t>
  </si>
  <si>
    <t>New Co</t>
  </si>
  <si>
    <t>Financial Debt</t>
    <phoneticPr fontId="2" type="noConversion"/>
  </si>
  <si>
    <t>Cash</t>
    <phoneticPr fontId="2" type="noConversion"/>
  </si>
  <si>
    <t>Taxes</t>
    <phoneticPr fontId="2" type="noConversion"/>
  </si>
  <si>
    <t>%</t>
    <phoneticPr fontId="2" type="noConversion"/>
  </si>
  <si>
    <t>Fixed Assets (Gross)</t>
    <phoneticPr fontId="2" type="noConversion"/>
  </si>
  <si>
    <t>Valuation Assumptions</t>
    <phoneticPr fontId="2" type="noConversion"/>
  </si>
  <si>
    <t>Cash</t>
    <phoneticPr fontId="2" type="noConversion"/>
  </si>
  <si>
    <t>Full Dilution</t>
    <phoneticPr fontId="2" type="noConversion"/>
  </si>
  <si>
    <t>NA</t>
    <phoneticPr fontId="2" type="noConversion"/>
  </si>
  <si>
    <t>Financial Debt</t>
    <phoneticPr fontId="2" type="noConversion"/>
  </si>
  <si>
    <t>t</t>
    <phoneticPr fontId="2" type="noConversion"/>
  </si>
  <si>
    <t>Tax rate %</t>
    <phoneticPr fontId="2" type="noConversion"/>
  </si>
  <si>
    <t>TV</t>
  </si>
  <si>
    <t>Uses of Funds / Sources of Funds</t>
    <phoneticPr fontId="2" type="noConversion"/>
  </si>
  <si>
    <t>EBITDA Bridge</t>
    <phoneticPr fontId="2" type="noConversion"/>
  </si>
  <si>
    <t>Financials at Exit</t>
    <phoneticPr fontId="2" type="noConversion"/>
  </si>
  <si>
    <t>Enterprise Value</t>
    <phoneticPr fontId="2" type="noConversion"/>
  </si>
  <si>
    <t>Mezzanine interest</t>
    <phoneticPr fontId="2" type="noConversion"/>
  </si>
  <si>
    <t>Taxes</t>
    <phoneticPr fontId="2" type="noConversion"/>
  </si>
  <si>
    <t>New Working Capital</t>
    <phoneticPr fontId="2" type="noConversion"/>
  </si>
  <si>
    <t>Balance Sheet Y</t>
    <phoneticPr fontId="2" type="noConversion"/>
  </si>
  <si>
    <t>Project name</t>
    <phoneticPr fontId="2" type="noConversion"/>
  </si>
  <si>
    <t>Last updated</t>
  </si>
  <si>
    <t>Adjusted Tax (1-t)</t>
    <phoneticPr fontId="2" type="noConversion"/>
  </si>
  <si>
    <t>Key Financial Ratios</t>
    <phoneticPr fontId="23" type="noConversion"/>
  </si>
  <si>
    <t>Unit</t>
    <phoneticPr fontId="2" type="noConversion"/>
  </si>
  <si>
    <t>Powered by</t>
    <phoneticPr fontId="2" type="noConversion"/>
  </si>
  <si>
    <t>www.efinancialmodels.com</t>
  </si>
  <si>
    <t>Enterprise Value</t>
    <phoneticPr fontId="2" type="noConversion"/>
  </si>
  <si>
    <t>Equity value</t>
    <phoneticPr fontId="2" type="noConversion"/>
  </si>
  <si>
    <t>Year</t>
    <phoneticPr fontId="2" type="noConversion"/>
  </si>
  <si>
    <t>Year</t>
    <phoneticPr fontId="2" type="noConversion"/>
  </si>
  <si>
    <t>Date</t>
    <phoneticPr fontId="2" type="noConversion"/>
  </si>
  <si>
    <t>Year</t>
    <phoneticPr fontId="2" type="noConversion"/>
  </si>
  <si>
    <t>Exit year</t>
    <phoneticPr fontId="2" type="noConversion"/>
  </si>
  <si>
    <t>Days</t>
    <phoneticPr fontId="2" type="noConversion"/>
  </si>
  <si>
    <t>x</t>
    <phoneticPr fontId="2" type="noConversion"/>
  </si>
  <si>
    <t>%</t>
    <phoneticPr fontId="2" type="noConversion"/>
  </si>
  <si>
    <t>%</t>
    <phoneticPr fontId="2" type="noConversion"/>
  </si>
  <si>
    <t>%</t>
    <phoneticPr fontId="2" type="noConversion"/>
  </si>
  <si>
    <t>Change in other current liabilities</t>
    <phoneticPr fontId="2" type="noConversion"/>
  </si>
  <si>
    <t>CFO</t>
    <phoneticPr fontId="23" type="noConversion"/>
  </si>
  <si>
    <t>Investing Cash Flow (CFI)</t>
    <phoneticPr fontId="23" type="noConversion"/>
  </si>
  <si>
    <t>Chart Data</t>
    <phoneticPr fontId="0" type="noConversion"/>
  </si>
  <si>
    <t>IRR</t>
    <phoneticPr fontId="2" type="noConversion"/>
  </si>
  <si>
    <t>Equity stakes</t>
    <phoneticPr fontId="2" type="noConversion"/>
  </si>
  <si>
    <t>Growth</t>
    <phoneticPr fontId="2" type="noConversion"/>
  </si>
  <si>
    <t>x</t>
    <phoneticPr fontId="2" type="noConversion"/>
  </si>
  <si>
    <t>Change in NWC</t>
    <phoneticPr fontId="2" type="noConversion"/>
  </si>
  <si>
    <t>Change in NWC</t>
    <phoneticPr fontId="2" type="noConversion"/>
  </si>
  <si>
    <t>Executive Summary</t>
    <phoneticPr fontId="0" type="noConversion"/>
  </si>
  <si>
    <t>x</t>
    <phoneticPr fontId="2" type="noConversion"/>
  </si>
  <si>
    <t>Acquisition Price</t>
    <phoneticPr fontId="2" type="noConversion"/>
  </si>
  <si>
    <t>Entry</t>
    <phoneticPr fontId="2" type="noConversion"/>
  </si>
  <si>
    <t>EV/EBITDA</t>
    <phoneticPr fontId="2" type="noConversion"/>
  </si>
  <si>
    <t>#</t>
    <phoneticPr fontId="2" type="noConversion"/>
  </si>
  <si>
    <t>Other Current Assets</t>
    <phoneticPr fontId="23" type="noConversion"/>
  </si>
  <si>
    <t>Years</t>
    <phoneticPr fontId="2" type="noConversion"/>
  </si>
  <si>
    <t>%</t>
    <phoneticPr fontId="2" type="noConversion"/>
  </si>
  <si>
    <t>Depreciation</t>
    <phoneticPr fontId="2" type="noConversion"/>
  </si>
  <si>
    <t>EBITDA, CAPEX, NWC, Debt and Cash Projections</t>
    <phoneticPr fontId="2" type="noConversion"/>
  </si>
  <si>
    <t>Min. Cash Balance</t>
    <phoneticPr fontId="2" type="noConversion"/>
  </si>
  <si>
    <t>% of Sales</t>
    <phoneticPr fontId="2" type="noConversion"/>
  </si>
  <si>
    <t># of shares</t>
    <phoneticPr fontId="2" type="noConversion"/>
  </si>
  <si>
    <t>Earnings per share</t>
    <phoneticPr fontId="2" type="noConversion"/>
  </si>
  <si>
    <t>#</t>
    <phoneticPr fontId="2" type="noConversion"/>
  </si>
  <si>
    <t>Partial Dilution</t>
    <phoneticPr fontId="2" type="noConversion"/>
  </si>
  <si>
    <t>Full Dilution</t>
  </si>
  <si>
    <t>Change in Company Cash due to Transaction</t>
    <phoneticPr fontId="2" type="noConversion"/>
  </si>
  <si>
    <t>Cash added</t>
    <phoneticPr fontId="2" type="noConversion"/>
  </si>
  <si>
    <t>Mgmt Performance</t>
    <phoneticPr fontId="2" type="noConversion"/>
  </si>
  <si>
    <t>Mgmt</t>
    <phoneticPr fontId="2" type="noConversion"/>
  </si>
  <si>
    <t>PE Firm</t>
    <phoneticPr fontId="2" type="noConversion"/>
  </si>
  <si>
    <t>Returns</t>
    <phoneticPr fontId="2" type="noConversion"/>
  </si>
  <si>
    <t>IRR</t>
    <phoneticPr fontId="2" type="noConversion"/>
  </si>
  <si>
    <t>Cash on Cash</t>
    <phoneticPr fontId="2" type="noConversion"/>
  </si>
  <si>
    <t>PE</t>
    <phoneticPr fontId="2" type="noConversion"/>
  </si>
  <si>
    <t>Management</t>
    <phoneticPr fontId="2" type="noConversion"/>
  </si>
  <si>
    <t>Mezzanine</t>
    <phoneticPr fontId="2" type="noConversion"/>
  </si>
  <si>
    <t>Seller</t>
    <phoneticPr fontId="2" type="noConversion"/>
  </si>
  <si>
    <t>Unallocated earnings</t>
    <phoneticPr fontId="2" type="noConversion"/>
  </si>
  <si>
    <t>Invested Capital</t>
    <phoneticPr fontId="2" type="noConversion"/>
  </si>
  <si>
    <t>Monthly cash flows</t>
    <phoneticPr fontId="2" type="noConversion"/>
  </si>
  <si>
    <t>Monthly vs. Yearly</t>
    <phoneticPr fontId="2" type="noConversion"/>
  </si>
  <si>
    <t>Sources and uses of funds</t>
    <phoneticPr fontId="2" type="noConversion"/>
  </si>
  <si>
    <t>EBITDA Bridge</t>
    <phoneticPr fontId="2" type="noConversion"/>
  </si>
  <si>
    <t>Growth</t>
    <phoneticPr fontId="2" type="noConversion"/>
  </si>
  <si>
    <t>Change in profit margin</t>
    <phoneticPr fontId="2" type="noConversion"/>
  </si>
  <si>
    <t>Years</t>
    <phoneticPr fontId="2" type="noConversion"/>
  </si>
  <si>
    <t>Time period</t>
    <phoneticPr fontId="2" type="noConversion"/>
  </si>
  <si>
    <t>%</t>
    <phoneticPr fontId="2" type="noConversion"/>
  </si>
  <si>
    <t>Revenue CAGR</t>
    <phoneticPr fontId="2" type="noConversion"/>
  </si>
  <si>
    <t>Profit Margin</t>
    <phoneticPr fontId="2" type="noConversion"/>
  </si>
  <si>
    <t>Sources</t>
    <phoneticPr fontId="2" type="noConversion"/>
  </si>
  <si>
    <t>Return on Equity</t>
    <phoneticPr fontId="2" type="noConversion"/>
  </si>
  <si>
    <t>Return on Invested Capital</t>
    <phoneticPr fontId="2" type="noConversion"/>
  </si>
  <si>
    <t>Income Statement</t>
    <phoneticPr fontId="23" type="noConversion"/>
  </si>
  <si>
    <t>Unit</t>
    <phoneticPr fontId="2" type="noConversion"/>
  </si>
  <si>
    <t>Interest payment</t>
  </si>
  <si>
    <t>EBT</t>
  </si>
  <si>
    <t>Tax rate</t>
  </si>
  <si>
    <t>Net Income</t>
    <phoneticPr fontId="23" type="noConversion"/>
  </si>
  <si>
    <t>Terminal Value</t>
    <phoneticPr fontId="2" type="noConversion"/>
  </si>
  <si>
    <t>USD</t>
    <phoneticPr fontId="2" type="noConversion"/>
  </si>
  <si>
    <t>%</t>
    <phoneticPr fontId="2" type="noConversion"/>
  </si>
  <si>
    <t>Other current liabilities</t>
  </si>
  <si>
    <t>COGS</t>
    <phoneticPr fontId="2" type="noConversion"/>
  </si>
  <si>
    <t>EBIT</t>
    <phoneticPr fontId="2" type="noConversion"/>
  </si>
  <si>
    <t>March 29th,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</si>
</sst>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0.0%"/>
    <numFmt numFmtId="166" formatCode="#,##0.0"/>
    <numFmt numFmtId="167" formatCode="0.000"/>
    <numFmt numFmtId="168" formatCode="_(* #,##0_);_(* \(#,##0\);_(* &quot;-&quot;??_);_(@_)"/>
    <numFmt numFmtId="169" formatCode="[$$-409]#,##0"/>
    <numFmt numFmtId="170" formatCode="0000\ \F"/>
    <numFmt numFmtId="171" formatCode="0000\ \A"/>
    <numFmt numFmtId="172" formatCode="0.00\x"/>
    <numFmt numFmtId="173" formatCode="0.0\x"/>
    <numFmt numFmtId="174" formatCode="m/d/yy"/>
    <numFmt numFmtId="175" formatCode="0_);\(0\)"/>
    <numFmt numFmtId="176" formatCode="_(0.00%_);\(0.00%\);_(&quot;–&quot;_)_%;@_(_%"/>
    <numFmt numFmtId="177" formatCode="[$-409]d\-mmm\-yy;@"/>
  </numFmts>
  <fonts count="36" x14ac:knownFonts="1">
    <font>
      <sz val="10"/>
      <name val="Verdana"/>
    </font>
    <font>
      <sz val="10"/>
      <name val="Verdana"/>
      <family val="2"/>
    </font>
    <font>
      <sz val="8"/>
      <name val="Verdana"/>
      <family val="2"/>
    </font>
    <font>
      <sz val="10"/>
      <color indexed="8"/>
      <name val="Arial"/>
      <family val="2"/>
    </font>
    <font>
      <b/>
      <sz val="36"/>
      <color indexed="9"/>
      <name val="Arial"/>
      <family val="2"/>
    </font>
    <font>
      <sz val="10"/>
      <color indexed="9"/>
      <name val="Arial"/>
      <family val="2"/>
    </font>
    <font>
      <sz val="36"/>
      <color indexed="12"/>
      <name val="Arial"/>
      <family val="2"/>
    </font>
    <font>
      <sz val="10"/>
      <color indexed="12"/>
      <name val="Arial"/>
      <family val="2"/>
    </font>
    <font>
      <u/>
      <sz val="10"/>
      <color indexed="12"/>
      <name val="Verdana"/>
      <family val="2"/>
    </font>
    <font>
      <sz val="10"/>
      <name val="Arial"/>
      <family val="2"/>
    </font>
    <font>
      <b/>
      <sz val="10"/>
      <color indexed="8"/>
      <name val="Arial"/>
      <family val="2"/>
    </font>
    <font>
      <sz val="12"/>
      <color indexed="9"/>
      <name val="Arial"/>
      <family val="2"/>
    </font>
    <font>
      <i/>
      <sz val="12"/>
      <color indexed="8"/>
      <name val="Arial"/>
      <family val="2"/>
    </font>
    <font>
      <b/>
      <sz val="12"/>
      <color indexed="8"/>
      <name val="Arial"/>
      <family val="2"/>
    </font>
    <font>
      <b/>
      <sz val="10"/>
      <name val="Arial"/>
      <family val="2"/>
    </font>
    <font>
      <sz val="11"/>
      <color indexed="8"/>
      <name val="Calibri"/>
      <family val="2"/>
    </font>
    <font>
      <i/>
      <sz val="10"/>
      <color indexed="23"/>
      <name val="Arial"/>
      <family val="2"/>
    </font>
    <font>
      <sz val="10"/>
      <color indexed="62"/>
      <name val="Arial"/>
      <family val="2"/>
    </font>
    <font>
      <u/>
      <sz val="10"/>
      <color indexed="12"/>
      <name val="Arial"/>
      <family val="2"/>
    </font>
    <font>
      <i/>
      <sz val="10"/>
      <name val="Arial"/>
      <family val="2"/>
    </font>
    <font>
      <b/>
      <sz val="12"/>
      <color indexed="9"/>
      <name val="Arial"/>
      <family val="2"/>
    </font>
    <font>
      <b/>
      <sz val="9"/>
      <color indexed="8"/>
      <name val="Arial"/>
      <family val="2"/>
    </font>
    <font>
      <sz val="9"/>
      <color indexed="8"/>
      <name val="Arial"/>
      <family val="2"/>
    </font>
    <font>
      <sz val="8"/>
      <name val="Calibri"/>
      <family val="2"/>
    </font>
    <font>
      <sz val="10"/>
      <color indexed="23"/>
      <name val="Arial"/>
      <family val="2"/>
    </font>
    <font>
      <u/>
      <sz val="10"/>
      <color indexed="8"/>
      <name val="Arial"/>
      <family val="2"/>
    </font>
    <font>
      <i/>
      <sz val="10"/>
      <color indexed="22"/>
      <name val="Arial"/>
      <family val="2"/>
    </font>
    <font>
      <u/>
      <sz val="10"/>
      <name val="Arial"/>
      <family val="2"/>
    </font>
    <font>
      <sz val="10"/>
      <color indexed="63"/>
      <name val="Arial"/>
      <family val="2"/>
    </font>
    <font>
      <i/>
      <sz val="12"/>
      <color indexed="23"/>
      <name val="Arial"/>
      <family val="2"/>
    </font>
    <font>
      <sz val="10"/>
      <color indexed="21"/>
      <name val="Arial"/>
      <family val="2"/>
    </font>
    <font>
      <sz val="10"/>
      <color indexed="58"/>
      <name val="Arial"/>
      <family val="2"/>
    </font>
    <font>
      <i/>
      <sz val="10"/>
      <color indexed="21"/>
      <name val="Arial"/>
      <family val="2"/>
    </font>
    <font>
      <sz val="10"/>
      <color indexed="48"/>
      <name val="Arial"/>
      <family val="2"/>
    </font>
    <font>
      <i/>
      <sz val="10"/>
      <color indexed="57"/>
      <name val="Arial"/>
      <family val="2"/>
    </font>
    <font>
      <b/>
      <sz val="10"/>
      <color indexed="12"/>
      <name val="Arial"/>
      <family val="2"/>
    </font>
  </fonts>
  <fills count="8">
    <fill>
      <patternFill patternType="none"/>
    </fill>
    <fill>
      <patternFill patternType="gray125"/>
    </fill>
    <fill>
      <patternFill patternType="solid">
        <fgColor indexed="22"/>
        <bgColor indexed="64"/>
      </patternFill>
    </fill>
    <fill>
      <patternFill patternType="solid">
        <fgColor indexed="57"/>
        <bgColor indexed="64"/>
      </patternFill>
    </fill>
    <fill>
      <patternFill patternType="solid">
        <fgColor indexed="9"/>
        <bgColor indexed="64"/>
      </patternFill>
    </fill>
    <fill>
      <patternFill patternType="solid">
        <fgColor indexed="50"/>
        <bgColor indexed="64"/>
      </patternFill>
    </fill>
    <fill>
      <patternFill patternType="solid">
        <fgColor indexed="23"/>
        <bgColor indexed="64"/>
      </patternFill>
    </fill>
    <fill>
      <patternFill patternType="solid">
        <fgColor rgb="FF217B5D"/>
        <bgColor indexed="64"/>
      </patternFill>
    </fill>
  </fills>
  <borders count="41">
    <border>
      <left/>
      <right/>
      <top/>
      <bottom/>
      <diagonal/>
    </border>
    <border>
      <left/>
      <right/>
      <top/>
      <bottom style="thin">
        <color indexed="57"/>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bottom style="hair">
        <color indexed="56"/>
      </bottom>
      <diagonal/>
    </border>
    <border>
      <left/>
      <right/>
      <top/>
      <bottom style="hair">
        <color indexed="56"/>
      </bottom>
      <diagonal/>
    </border>
    <border>
      <left/>
      <right style="thin">
        <color indexed="64"/>
      </right>
      <top/>
      <bottom style="hair">
        <color indexed="56"/>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style="mediumDashed">
        <color indexed="57"/>
      </left>
      <right/>
      <top style="mediumDashed">
        <color indexed="57"/>
      </top>
      <bottom/>
      <diagonal/>
    </border>
    <border>
      <left/>
      <right style="mediumDashed">
        <color indexed="57"/>
      </right>
      <top style="mediumDashed">
        <color indexed="57"/>
      </top>
      <bottom/>
      <diagonal/>
    </border>
    <border>
      <left style="mediumDashed">
        <color indexed="57"/>
      </left>
      <right/>
      <top/>
      <bottom style="mediumDashed">
        <color indexed="57"/>
      </bottom>
      <diagonal/>
    </border>
    <border>
      <left/>
      <right style="mediumDashed">
        <color indexed="57"/>
      </right>
      <top/>
      <bottom style="mediumDashed">
        <color indexed="57"/>
      </bottom>
      <diagonal/>
    </border>
    <border>
      <left/>
      <right/>
      <top style="hair">
        <color indexed="64"/>
      </top>
      <bottom style="hair">
        <color indexed="64"/>
      </bottom>
      <diagonal/>
    </border>
    <border>
      <left style="mediumDashed">
        <color indexed="57"/>
      </left>
      <right/>
      <top style="mediumDashed">
        <color indexed="57"/>
      </top>
      <bottom style="mediumDashed">
        <color indexed="57"/>
      </bottom>
      <diagonal/>
    </border>
    <border>
      <left/>
      <right style="mediumDashed">
        <color indexed="57"/>
      </right>
      <top style="mediumDashed">
        <color indexed="57"/>
      </top>
      <bottom style="mediumDashed">
        <color indexed="57"/>
      </bottom>
      <diagonal/>
    </border>
    <border>
      <left style="hair">
        <color indexed="64"/>
      </left>
      <right/>
      <top/>
      <bottom/>
      <diagonal/>
    </border>
    <border>
      <left style="hair">
        <color indexed="64"/>
      </left>
      <right/>
      <top style="hair">
        <color indexed="64"/>
      </top>
      <bottom/>
      <diagonal/>
    </border>
    <border>
      <left/>
      <right/>
      <top style="mediumDashed">
        <color indexed="57"/>
      </top>
      <bottom style="mediumDashed">
        <color indexed="57"/>
      </bottom>
      <diagonal/>
    </border>
    <border>
      <left style="hair">
        <color indexed="64"/>
      </left>
      <right style="hair">
        <color indexed="64"/>
      </right>
      <top/>
      <bottom style="hair">
        <color indexed="56"/>
      </bottom>
      <diagonal/>
    </border>
    <border>
      <left style="hair">
        <color indexed="64"/>
      </left>
      <right style="hair">
        <color indexed="64"/>
      </right>
      <top style="hair">
        <color indexed="56"/>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56"/>
      </bottom>
      <diagonal/>
    </border>
    <border>
      <left style="hair">
        <color indexed="56"/>
      </left>
      <right style="hair">
        <color indexed="56"/>
      </right>
      <top style="hair">
        <color indexed="56"/>
      </top>
      <bottom style="hair">
        <color indexed="56"/>
      </bottom>
      <diagonal/>
    </border>
    <border>
      <left/>
      <right style="hair">
        <color indexed="64"/>
      </right>
      <top/>
      <bottom/>
      <diagonal/>
    </border>
    <border>
      <left/>
      <right style="hair">
        <color indexed="64"/>
      </right>
      <top style="hair">
        <color indexed="64"/>
      </top>
      <bottom/>
      <diagonal/>
    </border>
    <border>
      <left/>
      <right style="hair">
        <color indexed="64"/>
      </right>
      <top/>
      <bottom style="thin">
        <color indexed="64"/>
      </bottom>
      <diagonal/>
    </border>
    <border>
      <left/>
      <right style="hair">
        <color indexed="64"/>
      </right>
      <top/>
      <bottom style="hair">
        <color indexed="56"/>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8" fillId="0" borderId="0" applyNumberFormat="0" applyFill="0" applyBorder="0" applyAlignment="0" applyProtection="0"/>
    <xf numFmtId="0" fontId="15" fillId="0" borderId="0"/>
  </cellStyleXfs>
  <cellXfs count="430">
    <xf numFmtId="0" fontId="0" fillId="0" borderId="0" xfId="0"/>
    <xf numFmtId="0" fontId="3" fillId="0" borderId="0" xfId="3" applyFont="1"/>
    <xf numFmtId="0" fontId="4" fillId="3" borderId="0" xfId="3" applyFont="1" applyFill="1" applyAlignment="1">
      <alignment horizontal="centerContinuous"/>
    </xf>
    <xf numFmtId="0" fontId="5" fillId="3" borderId="0" xfId="3" applyFont="1" applyFill="1" applyAlignment="1">
      <alignment horizontal="centerContinuous"/>
    </xf>
    <xf numFmtId="0" fontId="3" fillId="0" borderId="0" xfId="3" applyFont="1" applyAlignment="1">
      <alignment horizontal="center"/>
    </xf>
    <xf numFmtId="0" fontId="6" fillId="2" borderId="0" xfId="3" applyFont="1" applyFill="1" applyAlignment="1">
      <alignment horizontal="center"/>
    </xf>
    <xf numFmtId="0" fontId="7" fillId="0" borderId="0" xfId="3" applyFont="1"/>
    <xf numFmtId="0" fontId="7" fillId="2" borderId="0" xfId="3" applyFont="1" applyFill="1" applyAlignment="1">
      <alignment horizontal="center"/>
    </xf>
    <xf numFmtId="0" fontId="3" fillId="0" borderId="1" xfId="3" applyFont="1" applyBorder="1"/>
    <xf numFmtId="0" fontId="8" fillId="0" borderId="0" xfId="4" applyAlignment="1">
      <alignment horizontal="center"/>
    </xf>
    <xf numFmtId="0" fontId="3" fillId="0" borderId="0" xfId="3" applyFont="1" applyAlignment="1">
      <alignment horizontal="centerContinuous" wrapText="1"/>
    </xf>
    <xf numFmtId="0" fontId="0" fillId="0" borderId="0" xfId="0" applyFill="1"/>
    <xf numFmtId="0" fontId="3" fillId="0" borderId="0" xfId="3" applyFont="1" applyFill="1"/>
    <xf numFmtId="0" fontId="9" fillId="0" borderId="0" xfId="0" applyFont="1"/>
    <xf numFmtId="0" fontId="10" fillId="0" borderId="0" xfId="0" applyFont="1"/>
    <xf numFmtId="14" fontId="9" fillId="0" borderId="0" xfId="0" applyNumberFormat="1" applyFont="1" applyFill="1" applyBorder="1" applyAlignment="1">
      <alignment horizontal="right"/>
    </xf>
    <xf numFmtId="0" fontId="3" fillId="0" borderId="7" xfId="0" applyFont="1" applyFill="1" applyBorder="1"/>
    <xf numFmtId="0" fontId="7" fillId="0" borderId="7" xfId="0" applyFont="1" applyFill="1" applyBorder="1" applyAlignment="1">
      <alignment horizontal="right"/>
    </xf>
    <xf numFmtId="0" fontId="9" fillId="0" borderId="7" xfId="0" applyFont="1" applyFill="1" applyBorder="1"/>
    <xf numFmtId="0" fontId="9" fillId="0" borderId="7" xfId="0" applyFont="1" applyFill="1" applyBorder="1" applyAlignment="1">
      <alignment horizontal="right"/>
    </xf>
    <xf numFmtId="0" fontId="11" fillId="3" borderId="7" xfId="0" applyFont="1" applyFill="1" applyBorder="1"/>
    <xf numFmtId="0" fontId="9" fillId="0" borderId="4" xfId="0" applyFont="1" applyBorder="1"/>
    <xf numFmtId="0" fontId="9" fillId="0" borderId="5" xfId="0" applyFont="1" applyBorder="1"/>
    <xf numFmtId="0" fontId="9" fillId="0" borderId="6" xfId="0" applyFont="1" applyBorder="1"/>
    <xf numFmtId="0" fontId="9" fillId="0" borderId="2" xfId="0" applyFont="1" applyFill="1" applyBorder="1"/>
    <xf numFmtId="0" fontId="9" fillId="0" borderId="0" xfId="0" applyFont="1" applyFill="1" applyBorder="1"/>
    <xf numFmtId="0" fontId="9" fillId="0" borderId="3" xfId="0" applyFont="1" applyFill="1" applyBorder="1"/>
    <xf numFmtId="0" fontId="9" fillId="0" borderId="8" xfId="0" applyFont="1" applyBorder="1"/>
    <xf numFmtId="0" fontId="9" fillId="0" borderId="7" xfId="0" applyFont="1" applyBorder="1"/>
    <xf numFmtId="0" fontId="9" fillId="0" borderId="9" xfId="0" applyFont="1" applyBorder="1"/>
    <xf numFmtId="0" fontId="8" fillId="0" borderId="0" xfId="4" applyAlignment="1">
      <alignment horizontal="left"/>
    </xf>
    <xf numFmtId="0" fontId="12" fillId="0" borderId="0" xfId="0" applyFont="1"/>
    <xf numFmtId="0" fontId="13" fillId="0" borderId="0" xfId="0" applyFont="1"/>
    <xf numFmtId="0" fontId="11" fillId="3" borderId="0" xfId="0" applyFont="1" applyFill="1"/>
    <xf numFmtId="0" fontId="3" fillId="0" borderId="0" xfId="0" applyFont="1" applyBorder="1"/>
    <xf numFmtId="0" fontId="9" fillId="0" borderId="0" xfId="0" applyFont="1" applyBorder="1"/>
    <xf numFmtId="0" fontId="10" fillId="0" borderId="0" xfId="0" applyFont="1" applyBorder="1"/>
    <xf numFmtId="0" fontId="9" fillId="0" borderId="2" xfId="0" applyFont="1" applyBorder="1"/>
    <xf numFmtId="0" fontId="9" fillId="0" borderId="0" xfId="0" applyFont="1" applyBorder="1" applyAlignment="1">
      <alignment horizontal="right"/>
    </xf>
    <xf numFmtId="0" fontId="14" fillId="0" borderId="10" xfId="0" applyFont="1" applyBorder="1"/>
    <xf numFmtId="37" fontId="10" fillId="0" borderId="0" xfId="0" applyNumberFormat="1" applyFont="1" applyBorder="1"/>
    <xf numFmtId="0" fontId="10" fillId="0" borderId="10" xfId="0" applyFont="1" applyBorder="1"/>
    <xf numFmtId="0" fontId="3" fillId="4" borderId="0" xfId="0" applyFont="1" applyFill="1" applyBorder="1"/>
    <xf numFmtId="0" fontId="9" fillId="0" borderId="3" xfId="0" applyFont="1" applyBorder="1"/>
    <xf numFmtId="0" fontId="3" fillId="0" borderId="2" xfId="0" applyFont="1" applyBorder="1"/>
    <xf numFmtId="0" fontId="3" fillId="0" borderId="10" xfId="0" applyFont="1" applyBorder="1"/>
    <xf numFmtId="0" fontId="3" fillId="0" borderId="3" xfId="0" applyFont="1" applyBorder="1"/>
    <xf numFmtId="166" fontId="3" fillId="0" borderId="0" xfId="0" applyNumberFormat="1" applyFont="1" applyBorder="1"/>
    <xf numFmtId="0" fontId="16" fillId="0" borderId="0" xfId="0" applyFont="1" applyBorder="1"/>
    <xf numFmtId="0" fontId="3" fillId="0" borderId="0" xfId="0" applyFont="1" applyBorder="1" applyAlignment="1">
      <alignment horizontal="right"/>
    </xf>
    <xf numFmtId="167" fontId="9" fillId="0" borderId="0" xfId="0" applyNumberFormat="1" applyFont="1"/>
    <xf numFmtId="165" fontId="9" fillId="0" borderId="0" xfId="0" applyNumberFormat="1" applyFont="1"/>
    <xf numFmtId="0" fontId="11" fillId="3" borderId="0" xfId="0" applyFont="1" applyFill="1" applyBorder="1"/>
    <xf numFmtId="165" fontId="9" fillId="0" borderId="0" xfId="0" applyNumberFormat="1" applyFont="1" applyBorder="1"/>
    <xf numFmtId="0" fontId="7" fillId="2" borderId="0" xfId="0" applyFont="1" applyFill="1" applyBorder="1" applyAlignment="1">
      <alignment horizontal="right"/>
    </xf>
    <xf numFmtId="0" fontId="3" fillId="0" borderId="0" xfId="0" applyFont="1" applyBorder="1" applyAlignment="1"/>
    <xf numFmtId="9" fontId="17" fillId="2" borderId="0" xfId="5" applyNumberFormat="1" applyFont="1" applyFill="1" applyBorder="1" applyAlignment="1">
      <alignment horizontal="right" vertical="center"/>
    </xf>
    <xf numFmtId="0" fontId="18" fillId="0" borderId="0" xfId="4" applyFont="1" applyAlignment="1">
      <alignment horizontal="left"/>
    </xf>
    <xf numFmtId="0" fontId="3" fillId="0" borderId="0" xfId="0" applyFont="1"/>
    <xf numFmtId="3" fontId="3" fillId="0" borderId="0" xfId="0" applyNumberFormat="1" applyFont="1" applyBorder="1"/>
    <xf numFmtId="0" fontId="3" fillId="0" borderId="7" xfId="0" applyFont="1" applyBorder="1"/>
    <xf numFmtId="0" fontId="3" fillId="0" borderId="9" xfId="0" applyFont="1" applyBorder="1"/>
    <xf numFmtId="0" fontId="3" fillId="0" borderId="5" xfId="0" applyFont="1" applyBorder="1"/>
    <xf numFmtId="169" fontId="9" fillId="4" borderId="0" xfId="5" applyNumberFormat="1" applyFont="1" applyFill="1" applyBorder="1" applyAlignment="1">
      <alignment horizontal="right" vertical="center"/>
    </xf>
    <xf numFmtId="0" fontId="3" fillId="0" borderId="8" xfId="0" applyFont="1" applyBorder="1"/>
    <xf numFmtId="0" fontId="20" fillId="3" borderId="7" xfId="0" applyFont="1" applyFill="1" applyBorder="1"/>
    <xf numFmtId="168" fontId="9" fillId="0" borderId="0" xfId="1" applyNumberFormat="1" applyFont="1" applyBorder="1"/>
    <xf numFmtId="0" fontId="22" fillId="0" borderId="7" xfId="0" applyFont="1" applyBorder="1"/>
    <xf numFmtId="0" fontId="22" fillId="0" borderId="0" xfId="0" applyFont="1"/>
    <xf numFmtId="0" fontId="14" fillId="0" borderId="0" xfId="0" applyFont="1"/>
    <xf numFmtId="170" fontId="11" fillId="3" borderId="0" xfId="0" applyNumberFormat="1" applyFont="1" applyFill="1" applyBorder="1"/>
    <xf numFmtId="0" fontId="3" fillId="0" borderId="4" xfId="0" applyFont="1" applyBorder="1"/>
    <xf numFmtId="37" fontId="9" fillId="0" borderId="0" xfId="0" applyNumberFormat="1" applyFont="1" applyBorder="1"/>
    <xf numFmtId="0" fontId="14" fillId="0" borderId="0" xfId="0" applyFont="1" applyBorder="1"/>
    <xf numFmtId="37" fontId="24" fillId="0" borderId="0" xfId="0" applyNumberFormat="1" applyFont="1" applyBorder="1"/>
    <xf numFmtId="37" fontId="9" fillId="0" borderId="13" xfId="0" applyNumberFormat="1" applyFont="1" applyBorder="1"/>
    <xf numFmtId="37" fontId="9" fillId="0" borderId="14" xfId="0" applyNumberFormat="1" applyFont="1" applyBorder="1"/>
    <xf numFmtId="37" fontId="9" fillId="0" borderId="3" xfId="0" applyNumberFormat="1" applyFont="1" applyBorder="1"/>
    <xf numFmtId="37" fontId="9" fillId="0" borderId="0" xfId="1" applyNumberFormat="1" applyFont="1" applyBorder="1"/>
    <xf numFmtId="37" fontId="9" fillId="0" borderId="3" xfId="1" applyNumberFormat="1" applyFont="1" applyBorder="1"/>
    <xf numFmtId="37" fontId="9" fillId="0" borderId="10" xfId="0" applyNumberFormat="1" applyFont="1" applyBorder="1"/>
    <xf numFmtId="0" fontId="25" fillId="0" borderId="0" xfId="0" applyFont="1" applyBorder="1"/>
    <xf numFmtId="37" fontId="24" fillId="0" borderId="0" xfId="1" applyNumberFormat="1" applyFont="1" applyBorder="1"/>
    <xf numFmtId="37" fontId="24" fillId="0" borderId="3" xfId="1" applyNumberFormat="1" applyFont="1" applyBorder="1"/>
    <xf numFmtId="168" fontId="3" fillId="0" borderId="0" xfId="1" applyNumberFormat="1" applyFont="1" applyBorder="1"/>
    <xf numFmtId="0" fontId="26" fillId="0" borderId="0" xfId="0" applyFont="1" applyFill="1" applyBorder="1"/>
    <xf numFmtId="37" fontId="26" fillId="0" borderId="0" xfId="0" applyNumberFormat="1" applyFont="1" applyBorder="1"/>
    <xf numFmtId="168" fontId="9" fillId="0" borderId="7" xfId="0" applyNumberFormat="1" applyFont="1" applyBorder="1"/>
    <xf numFmtId="168" fontId="9" fillId="0" borderId="0" xfId="0" applyNumberFormat="1" applyFont="1" applyBorder="1"/>
    <xf numFmtId="0" fontId="27" fillId="0" borderId="0" xfId="0" applyFont="1" applyBorder="1"/>
    <xf numFmtId="37" fontId="9" fillId="0" borderId="0" xfId="0" applyNumberFormat="1" applyFont="1" applyFill="1" applyBorder="1"/>
    <xf numFmtId="0" fontId="9" fillId="0" borderId="10" xfId="0" applyFont="1" applyBorder="1"/>
    <xf numFmtId="37" fontId="9" fillId="0" borderId="0" xfId="1" applyNumberFormat="1" applyFont="1" applyFill="1" applyBorder="1"/>
    <xf numFmtId="173" fontId="9" fillId="0" borderId="0" xfId="0" applyNumberFormat="1" applyFont="1" applyBorder="1"/>
    <xf numFmtId="37" fontId="3" fillId="0" borderId="12" xfId="0" applyNumberFormat="1" applyFont="1" applyBorder="1"/>
    <xf numFmtId="37" fontId="28" fillId="0" borderId="13" xfId="0" applyNumberFormat="1" applyFont="1" applyBorder="1"/>
    <xf numFmtId="37" fontId="9" fillId="0" borderId="2" xfId="0" applyNumberFormat="1" applyFont="1" applyBorder="1"/>
    <xf numFmtId="37" fontId="28" fillId="0" borderId="0" xfId="0" applyNumberFormat="1" applyFont="1" applyBorder="1"/>
    <xf numFmtId="37" fontId="24" fillId="0" borderId="2" xfId="0" applyNumberFormat="1" applyFont="1" applyBorder="1"/>
    <xf numFmtId="0" fontId="9" fillId="4" borderId="0" xfId="0" applyFont="1" applyFill="1" applyBorder="1"/>
    <xf numFmtId="37" fontId="27" fillId="0" borderId="0" xfId="0" applyNumberFormat="1" applyFont="1" applyBorder="1"/>
    <xf numFmtId="0" fontId="9" fillId="4" borderId="10" xfId="0" applyFont="1" applyFill="1" applyBorder="1"/>
    <xf numFmtId="171" fontId="28" fillId="0" borderId="2" xfId="0" applyNumberFormat="1" applyFont="1" applyBorder="1"/>
    <xf numFmtId="170" fontId="28" fillId="0" borderId="2" xfId="0" applyNumberFormat="1" applyFont="1" applyBorder="1"/>
    <xf numFmtId="37" fontId="28" fillId="0" borderId="14" xfId="0" applyNumberFormat="1" applyFont="1" applyBorder="1"/>
    <xf numFmtId="37" fontId="9" fillId="0" borderId="0" xfId="0" applyNumberFormat="1" applyFont="1" applyBorder="1"/>
    <xf numFmtId="37" fontId="3" fillId="0" borderId="0" xfId="0" applyNumberFormat="1" applyFont="1" applyBorder="1"/>
    <xf numFmtId="37" fontId="7" fillId="2" borderId="0" xfId="0" applyNumberFormat="1" applyFont="1" applyFill="1" applyBorder="1"/>
    <xf numFmtId="165" fontId="9" fillId="0" borderId="0" xfId="0" applyNumberFormat="1" applyFont="1" applyBorder="1" applyAlignment="1">
      <alignment horizontal="right"/>
    </xf>
    <xf numFmtId="0" fontId="14" fillId="0" borderId="11" xfId="0" applyFont="1" applyBorder="1"/>
    <xf numFmtId="165" fontId="9" fillId="0" borderId="0" xfId="2" applyNumberFormat="1" applyFont="1" applyBorder="1"/>
    <xf numFmtId="171" fontId="11" fillId="3" borderId="0" xfId="0" applyNumberFormat="1" applyFont="1" applyFill="1" applyBorder="1"/>
    <xf numFmtId="173" fontId="9" fillId="0" borderId="0" xfId="0" applyNumberFormat="1" applyFont="1" applyBorder="1" applyAlignment="1">
      <alignment horizontal="right"/>
    </xf>
    <xf numFmtId="0" fontId="3" fillId="0" borderId="0" xfId="0" applyFont="1" applyFill="1"/>
    <xf numFmtId="37" fontId="9" fillId="0" borderId="0" xfId="0" applyNumberFormat="1" applyFont="1" applyBorder="1" applyAlignment="1">
      <alignment horizontal="right"/>
    </xf>
    <xf numFmtId="0" fontId="21" fillId="0" borderId="7" xfId="0" applyFont="1" applyBorder="1"/>
    <xf numFmtId="0" fontId="22" fillId="0" borderId="5" xfId="0" applyFont="1" applyBorder="1"/>
    <xf numFmtId="0" fontId="9" fillId="0" borderId="18" xfId="0" applyFont="1" applyBorder="1"/>
    <xf numFmtId="0" fontId="11" fillId="0" borderId="0" xfId="0" applyFont="1" applyFill="1" applyBorder="1"/>
    <xf numFmtId="0" fontId="9" fillId="0" borderId="0" xfId="0" applyFont="1" applyFill="1"/>
    <xf numFmtId="37" fontId="3" fillId="0" borderId="10" xfId="0" applyNumberFormat="1" applyFont="1" applyBorder="1"/>
    <xf numFmtId="37" fontId="9" fillId="4" borderId="0" xfId="5" applyNumberFormat="1" applyFont="1" applyFill="1" applyBorder="1" applyAlignment="1">
      <alignment horizontal="right" vertical="center"/>
    </xf>
    <xf numFmtId="0" fontId="9" fillId="0" borderId="0" xfId="0" applyFont="1" applyBorder="1" applyAlignment="1">
      <alignment horizontal="left" indent="1"/>
    </xf>
    <xf numFmtId="0" fontId="9" fillId="0" borderId="0" xfId="0" applyFont="1" applyBorder="1" applyAlignment="1">
      <alignment horizontal="left"/>
    </xf>
    <xf numFmtId="173" fontId="3" fillId="0" borderId="0" xfId="0" applyNumberFormat="1" applyFont="1" applyBorder="1"/>
    <xf numFmtId="174" fontId="11" fillId="3" borderId="0" xfId="0" applyNumberFormat="1" applyFont="1" applyFill="1" applyBorder="1"/>
    <xf numFmtId="174" fontId="3" fillId="0" borderId="0" xfId="0" applyNumberFormat="1" applyFont="1" applyBorder="1"/>
    <xf numFmtId="173" fontId="3" fillId="0" borderId="19" xfId="0" applyNumberFormat="1" applyFont="1" applyBorder="1"/>
    <xf numFmtId="165" fontId="3" fillId="0" borderId="0" xfId="2" applyNumberFormat="1" applyFont="1" applyBorder="1"/>
    <xf numFmtId="0" fontId="3" fillId="0" borderId="19" xfId="0" applyFont="1" applyBorder="1"/>
    <xf numFmtId="37" fontId="3" fillId="0" borderId="19" xfId="0" applyNumberFormat="1" applyFont="1" applyBorder="1"/>
    <xf numFmtId="0" fontId="3" fillId="0" borderId="6" xfId="0" applyFont="1" applyBorder="1"/>
    <xf numFmtId="2" fontId="9" fillId="0" borderId="0" xfId="0" applyNumberFormat="1" applyFont="1"/>
    <xf numFmtId="0" fontId="20" fillId="3" borderId="0" xfId="0" applyFont="1" applyFill="1" applyBorder="1"/>
    <xf numFmtId="175" fontId="11" fillId="3" borderId="0" xfId="0" applyNumberFormat="1" applyFont="1" applyFill="1"/>
    <xf numFmtId="37" fontId="11" fillId="3" borderId="0" xfId="0" applyNumberFormat="1" applyFont="1" applyFill="1"/>
    <xf numFmtId="10" fontId="9" fillId="0" borderId="0" xfId="0" applyNumberFormat="1" applyFont="1" applyBorder="1"/>
    <xf numFmtId="168" fontId="9" fillId="0" borderId="10" xfId="0" applyNumberFormat="1" applyFont="1" applyBorder="1"/>
    <xf numFmtId="165" fontId="9" fillId="0" borderId="10" xfId="2" applyNumberFormat="1" applyFont="1" applyBorder="1"/>
    <xf numFmtId="10" fontId="9" fillId="0" borderId="19" xfId="0" applyNumberFormat="1" applyFont="1" applyBorder="1"/>
    <xf numFmtId="9" fontId="7" fillId="2" borderId="0" xfId="2" applyFont="1" applyFill="1" applyBorder="1"/>
    <xf numFmtId="37" fontId="7" fillId="0" borderId="0" xfId="0" applyNumberFormat="1" applyFont="1" applyFill="1" applyBorder="1"/>
    <xf numFmtId="170" fontId="11" fillId="0" borderId="0" xfId="0" applyNumberFormat="1" applyFont="1" applyFill="1" applyBorder="1"/>
    <xf numFmtId="173" fontId="9" fillId="0" borderId="0" xfId="2" applyNumberFormat="1" applyFont="1" applyBorder="1"/>
    <xf numFmtId="173" fontId="9" fillId="0" borderId="10" xfId="2" applyNumberFormat="1" applyFont="1" applyBorder="1"/>
    <xf numFmtId="2" fontId="3" fillId="0" borderId="0" xfId="0" applyNumberFormat="1" applyFont="1" applyBorder="1"/>
    <xf numFmtId="165" fontId="3" fillId="0" borderId="19" xfId="0" applyNumberFormat="1" applyFont="1" applyBorder="1"/>
    <xf numFmtId="37" fontId="14" fillId="0" borderId="0" xfId="0" applyNumberFormat="1" applyFont="1" applyBorder="1"/>
    <xf numFmtId="37" fontId="7" fillId="4" borderId="13" xfId="0" applyNumberFormat="1" applyFont="1" applyFill="1" applyBorder="1"/>
    <xf numFmtId="37" fontId="7" fillId="4" borderId="0" xfId="0" applyNumberFormat="1" applyFont="1" applyFill="1" applyBorder="1"/>
    <xf numFmtId="37" fontId="9" fillId="4" borderId="13" xfId="0" applyNumberFormat="1" applyFont="1" applyFill="1" applyBorder="1"/>
    <xf numFmtId="0" fontId="27" fillId="4" borderId="0" xfId="0" applyFont="1" applyFill="1" applyBorder="1"/>
    <xf numFmtId="37" fontId="24" fillId="0" borderId="19" xfId="0" applyNumberFormat="1" applyFont="1" applyBorder="1"/>
    <xf numFmtId="37" fontId="24" fillId="0" borderId="20" xfId="0" applyNumberFormat="1" applyFont="1" applyBorder="1"/>
    <xf numFmtId="165" fontId="19" fillId="4" borderId="0" xfId="2" applyNumberFormat="1" applyFont="1" applyFill="1" applyBorder="1" applyAlignment="1">
      <alignment horizontal="right"/>
    </xf>
    <xf numFmtId="10" fontId="9" fillId="0" borderId="0" xfId="0" applyNumberFormat="1" applyFont="1"/>
    <xf numFmtId="176" fontId="9" fillId="4" borderId="0" xfId="0" applyNumberFormat="1" applyFont="1" applyFill="1" applyBorder="1" applyAlignment="1">
      <alignment horizontal="right" vertical="center"/>
    </xf>
    <xf numFmtId="0" fontId="3" fillId="0" borderId="21" xfId="0" applyFont="1" applyBorder="1"/>
    <xf numFmtId="173" fontId="3" fillId="0" borderId="22" xfId="0" applyNumberFormat="1" applyFont="1" applyBorder="1"/>
    <xf numFmtId="0" fontId="3" fillId="0" borderId="23" xfId="0" applyFont="1" applyBorder="1"/>
    <xf numFmtId="165" fontId="3" fillId="0" borderId="24" xfId="2" applyNumberFormat="1" applyFont="1" applyBorder="1"/>
    <xf numFmtId="174" fontId="3" fillId="0" borderId="0" xfId="0" applyNumberFormat="1" applyFont="1" applyBorder="1" applyAlignment="1">
      <alignment horizontal="center"/>
    </xf>
    <xf numFmtId="0" fontId="9" fillId="0" borderId="20" xfId="0" applyFont="1" applyBorder="1"/>
    <xf numFmtId="10" fontId="9" fillId="0" borderId="20" xfId="0" applyNumberFormat="1" applyFont="1" applyBorder="1"/>
    <xf numFmtId="0" fontId="9" fillId="0" borderId="10" xfId="0" applyFont="1" applyBorder="1" applyAlignment="1">
      <alignment horizontal="right"/>
    </xf>
    <xf numFmtId="37" fontId="3" fillId="0" borderId="17" xfId="0" applyNumberFormat="1" applyFont="1" applyBorder="1"/>
    <xf numFmtId="0" fontId="10" fillId="0" borderId="7" xfId="0" applyFont="1" applyBorder="1"/>
    <xf numFmtId="37" fontId="11" fillId="3" borderId="0" xfId="0" applyNumberFormat="1" applyFont="1" applyFill="1" applyBorder="1"/>
    <xf numFmtId="174" fontId="11" fillId="3" borderId="0" xfId="0" applyNumberFormat="1" applyFont="1" applyFill="1" applyBorder="1"/>
    <xf numFmtId="10" fontId="9" fillId="0" borderId="17" xfId="0" applyNumberFormat="1" applyFont="1" applyBorder="1"/>
    <xf numFmtId="0" fontId="14" fillId="0" borderId="7" xfId="0" applyFont="1" applyBorder="1"/>
    <xf numFmtId="0" fontId="9" fillId="0" borderId="25" xfId="0" applyFont="1" applyBorder="1"/>
    <xf numFmtId="37" fontId="9" fillId="0" borderId="25" xfId="0" applyNumberFormat="1" applyFont="1" applyBorder="1"/>
    <xf numFmtId="0" fontId="7" fillId="2" borderId="19" xfId="0" applyFont="1" applyFill="1" applyBorder="1" applyAlignment="1">
      <alignment horizontal="center"/>
    </xf>
    <xf numFmtId="10" fontId="9" fillId="0" borderId="16" xfId="0" applyNumberFormat="1" applyFont="1" applyBorder="1"/>
    <xf numFmtId="10" fontId="9" fillId="0" borderId="15" xfId="0" applyNumberFormat="1" applyFont="1" applyBorder="1"/>
    <xf numFmtId="10" fontId="9" fillId="0" borderId="17" xfId="0" applyNumberFormat="1" applyFont="1" applyBorder="1"/>
    <xf numFmtId="0" fontId="3" fillId="0" borderId="19" xfId="0" applyFont="1" applyBorder="1" applyAlignment="1">
      <alignment horizontal="center"/>
    </xf>
    <xf numFmtId="0" fontId="9" fillId="0" borderId="19" xfId="0" applyFont="1" applyBorder="1" applyAlignment="1">
      <alignment horizontal="center"/>
    </xf>
    <xf numFmtId="0" fontId="9" fillId="0" borderId="10" xfId="0" applyFont="1" applyBorder="1" applyAlignment="1">
      <alignment horizontal="center"/>
    </xf>
    <xf numFmtId="0" fontId="3" fillId="0" borderId="13" xfId="0" applyFont="1" applyBorder="1"/>
    <xf numFmtId="37" fontId="9" fillId="4" borderId="20" xfId="5" applyNumberFormat="1" applyFont="1" applyFill="1" applyBorder="1" applyAlignment="1">
      <alignment horizontal="right" vertical="center"/>
    </xf>
    <xf numFmtId="0" fontId="3" fillId="0" borderId="26" xfId="0" applyFont="1" applyBorder="1"/>
    <xf numFmtId="37" fontId="9" fillId="4" borderId="27" xfId="5" applyNumberFormat="1" applyFont="1" applyFill="1" applyBorder="1" applyAlignment="1">
      <alignment horizontal="right" vertical="center"/>
    </xf>
    <xf numFmtId="37" fontId="3" fillId="0" borderId="27" xfId="0" applyNumberFormat="1" applyFont="1" applyBorder="1"/>
    <xf numFmtId="0" fontId="9" fillId="4" borderId="7" xfId="0" applyFont="1" applyFill="1" applyBorder="1"/>
    <xf numFmtId="170" fontId="11" fillId="0" borderId="7" xfId="0" applyNumberFormat="1" applyFont="1" applyFill="1" applyBorder="1"/>
    <xf numFmtId="0" fontId="9" fillId="4" borderId="20" xfId="0" applyFont="1" applyFill="1" applyBorder="1"/>
    <xf numFmtId="37" fontId="9" fillId="0" borderId="20" xfId="0" applyNumberFormat="1" applyFont="1" applyFill="1" applyBorder="1"/>
    <xf numFmtId="172" fontId="9" fillId="0" borderId="0" xfId="0" applyNumberFormat="1" applyFont="1" applyBorder="1" applyAlignment="1">
      <alignment horizontal="right"/>
    </xf>
    <xf numFmtId="9" fontId="9" fillId="0" borderId="0" xfId="0" applyNumberFormat="1" applyFont="1" applyBorder="1" applyAlignment="1">
      <alignment horizontal="right" vertical="center"/>
    </xf>
    <xf numFmtId="168" fontId="27" fillId="0" borderId="0" xfId="0" applyNumberFormat="1" applyFont="1" applyBorder="1"/>
    <xf numFmtId="165" fontId="9" fillId="0" borderId="0" xfId="2" applyNumberFormat="1" applyFont="1" applyBorder="1" applyAlignment="1">
      <alignment horizontal="right" vertical="center"/>
    </xf>
    <xf numFmtId="165" fontId="17" fillId="2" borderId="0" xfId="2" applyNumberFormat="1" applyFont="1" applyFill="1" applyBorder="1" applyAlignment="1">
      <alignment horizontal="right" vertical="center"/>
    </xf>
    <xf numFmtId="165" fontId="9" fillId="0" borderId="0" xfId="2" applyNumberFormat="1" applyFont="1" applyBorder="1" applyAlignment="1">
      <alignment horizontal="right"/>
    </xf>
    <xf numFmtId="165" fontId="9" fillId="0" borderId="7" xfId="2" applyNumberFormat="1" applyFont="1" applyBorder="1" applyAlignment="1">
      <alignment horizontal="right"/>
    </xf>
    <xf numFmtId="165" fontId="9" fillId="0" borderId="7" xfId="2" applyNumberFormat="1" applyFont="1" applyBorder="1"/>
    <xf numFmtId="165" fontId="9" fillId="0" borderId="0" xfId="2" applyNumberFormat="1" applyFont="1" applyBorder="1"/>
    <xf numFmtId="0" fontId="9" fillId="0" borderId="13" xfId="0" applyFont="1" applyBorder="1"/>
    <xf numFmtId="37" fontId="9" fillId="4" borderId="0" xfId="0" applyNumberFormat="1" applyFont="1" applyFill="1" applyBorder="1"/>
    <xf numFmtId="37" fontId="9" fillId="4" borderId="20" xfId="0" applyNumberFormat="1" applyFont="1" applyFill="1" applyBorder="1"/>
    <xf numFmtId="37" fontId="9" fillId="0" borderId="20" xfId="0" applyNumberFormat="1" applyFont="1" applyBorder="1"/>
    <xf numFmtId="10" fontId="19" fillId="4" borderId="0" xfId="2" applyNumberFormat="1" applyFont="1" applyFill="1" applyBorder="1"/>
    <xf numFmtId="10" fontId="19" fillId="0" borderId="0" xfId="0" applyNumberFormat="1" applyFont="1" applyBorder="1"/>
    <xf numFmtId="0" fontId="14" fillId="0" borderId="7" xfId="0" applyFont="1" applyFill="1" applyBorder="1"/>
    <xf numFmtId="37" fontId="9" fillId="0" borderId="5" xfId="0" applyNumberFormat="1" applyFont="1" applyFill="1" applyBorder="1"/>
    <xf numFmtId="37" fontId="9" fillId="0" borderId="10" xfId="0" applyNumberFormat="1" applyFont="1" applyFill="1" applyBorder="1"/>
    <xf numFmtId="10" fontId="17" fillId="2" borderId="0" xfId="5" applyNumberFormat="1" applyFont="1" applyFill="1" applyBorder="1" applyAlignment="1">
      <alignment horizontal="right" vertical="center"/>
    </xf>
    <xf numFmtId="10" fontId="9" fillId="0" borderId="0" xfId="0" applyNumberFormat="1" applyFont="1" applyBorder="1"/>
    <xf numFmtId="168" fontId="7" fillId="0" borderId="0" xfId="0" applyNumberFormat="1" applyFont="1" applyBorder="1"/>
    <xf numFmtId="0" fontId="9" fillId="0" borderId="20" xfId="0" applyFont="1" applyFill="1" applyBorder="1"/>
    <xf numFmtId="168" fontId="9" fillId="0" borderId="20" xfId="0" applyNumberFormat="1" applyFont="1" applyBorder="1"/>
    <xf numFmtId="168" fontId="3" fillId="0" borderId="0" xfId="0" applyNumberFormat="1" applyFont="1"/>
    <xf numFmtId="9" fontId="9" fillId="0" borderId="0" xfId="2" applyFont="1" applyFill="1" applyBorder="1"/>
    <xf numFmtId="165" fontId="9" fillId="0" borderId="19" xfId="2" applyNumberFormat="1" applyFont="1" applyFill="1" applyBorder="1"/>
    <xf numFmtId="168" fontId="14" fillId="0" borderId="7" xfId="0" applyNumberFormat="1" applyFont="1" applyBorder="1"/>
    <xf numFmtId="168" fontId="3" fillId="0" borderId="20" xfId="0" applyNumberFormat="1" applyFont="1" applyBorder="1"/>
    <xf numFmtId="165" fontId="9" fillId="0" borderId="19" xfId="2" applyNumberFormat="1" applyFont="1" applyBorder="1"/>
    <xf numFmtId="10" fontId="9" fillId="0" borderId="0" xfId="2" applyNumberFormat="1" applyFont="1" applyBorder="1"/>
    <xf numFmtId="168" fontId="3" fillId="0" borderId="10" xfId="0" applyNumberFormat="1" applyFont="1" applyBorder="1"/>
    <xf numFmtId="37" fontId="3" fillId="0" borderId="0" xfId="0" applyNumberFormat="1" applyFont="1"/>
    <xf numFmtId="37" fontId="9" fillId="0" borderId="19" xfId="0" applyNumberFormat="1" applyFont="1" applyFill="1" applyBorder="1"/>
    <xf numFmtId="171" fontId="11" fillId="5" borderId="0" xfId="0" applyNumberFormat="1" applyFont="1" applyFill="1" applyBorder="1" applyAlignment="1">
      <alignment horizontal="right"/>
    </xf>
    <xf numFmtId="0" fontId="9" fillId="6" borderId="0" xfId="0" applyFont="1" applyFill="1"/>
    <xf numFmtId="0" fontId="11" fillId="2" borderId="0" xfId="0" applyFont="1" applyFill="1"/>
    <xf numFmtId="0" fontId="5" fillId="2" borderId="0" xfId="0" applyFont="1" applyFill="1"/>
    <xf numFmtId="0" fontId="5" fillId="6" borderId="0" xfId="0" applyFont="1" applyFill="1"/>
    <xf numFmtId="37" fontId="17" fillId="2" borderId="0" xfId="5" applyNumberFormat="1" applyFont="1" applyFill="1" applyBorder="1" applyAlignment="1">
      <alignment horizontal="right" vertical="center"/>
    </xf>
    <xf numFmtId="37" fontId="9" fillId="0" borderId="0" xfId="0" applyNumberFormat="1" applyFont="1"/>
    <xf numFmtId="37" fontId="9" fillId="0" borderId="0" xfId="5" applyNumberFormat="1" applyFont="1" applyFill="1" applyBorder="1" applyAlignment="1">
      <alignment horizontal="right" vertical="center"/>
    </xf>
    <xf numFmtId="37" fontId="9" fillId="0" borderId="10" xfId="0" applyNumberFormat="1" applyFont="1" applyBorder="1"/>
    <xf numFmtId="37" fontId="16" fillId="0" borderId="0" xfId="0" applyNumberFormat="1" applyFont="1" applyBorder="1"/>
    <xf numFmtId="37" fontId="9" fillId="0" borderId="13" xfId="0" applyNumberFormat="1" applyFont="1" applyBorder="1" applyAlignment="1">
      <alignment horizontal="right"/>
    </xf>
    <xf numFmtId="0" fontId="24" fillId="0" borderId="0" xfId="0" applyFont="1"/>
    <xf numFmtId="0" fontId="24" fillId="4" borderId="0" xfId="0" applyFont="1" applyFill="1" applyBorder="1"/>
    <xf numFmtId="168" fontId="24" fillId="0" borderId="0" xfId="0" applyNumberFormat="1" applyFont="1"/>
    <xf numFmtId="37" fontId="26" fillId="0" borderId="0" xfId="0" applyNumberFormat="1" applyFont="1" applyFill="1" applyBorder="1"/>
    <xf numFmtId="0" fontId="24" fillId="0" borderId="0" xfId="0" applyFont="1" applyFill="1" applyBorder="1"/>
    <xf numFmtId="0" fontId="16" fillId="0" borderId="0" xfId="0" applyFont="1" applyFill="1" applyBorder="1"/>
    <xf numFmtId="0" fontId="29" fillId="0" borderId="0" xfId="0" applyFont="1" applyFill="1" applyBorder="1"/>
    <xf numFmtId="37" fontId="16" fillId="0" borderId="0" xfId="0" applyNumberFormat="1" applyFont="1" applyFill="1" applyBorder="1"/>
    <xf numFmtId="0" fontId="24" fillId="0" borderId="0" xfId="0" applyFont="1" applyFill="1"/>
    <xf numFmtId="169" fontId="16" fillId="0" borderId="0" xfId="5" applyNumberFormat="1" applyFont="1" applyFill="1" applyBorder="1" applyAlignment="1">
      <alignment horizontal="center" vertical="center"/>
    </xf>
    <xf numFmtId="37" fontId="26" fillId="0" borderId="0" xfId="0" applyNumberFormat="1" applyFont="1"/>
    <xf numFmtId="0" fontId="9" fillId="4" borderId="0" xfId="0" applyFont="1" applyFill="1"/>
    <xf numFmtId="0" fontId="9" fillId="4" borderId="30" xfId="0" applyFont="1" applyFill="1" applyBorder="1"/>
    <xf numFmtId="37" fontId="9" fillId="4" borderId="10" xfId="0" applyNumberFormat="1" applyFont="1" applyFill="1" applyBorder="1"/>
    <xf numFmtId="0" fontId="24" fillId="0" borderId="16" xfId="0" applyFont="1" applyFill="1" applyBorder="1"/>
    <xf numFmtId="37" fontId="9" fillId="4" borderId="31" xfId="0" applyNumberFormat="1" applyFont="1" applyFill="1" applyBorder="1"/>
    <xf numFmtId="165" fontId="19" fillId="4" borderId="15" xfId="2" applyNumberFormat="1" applyFont="1" applyFill="1" applyBorder="1" applyAlignment="1">
      <alignment horizontal="right"/>
    </xf>
    <xf numFmtId="0" fontId="9" fillId="4" borderId="15" xfId="0" applyFont="1" applyFill="1" applyBorder="1"/>
    <xf numFmtId="37" fontId="9" fillId="4" borderId="32" xfId="0" applyNumberFormat="1" applyFont="1" applyFill="1" applyBorder="1"/>
    <xf numFmtId="37" fontId="9" fillId="4" borderId="15" xfId="0" applyNumberFormat="1" applyFont="1" applyFill="1" applyBorder="1"/>
    <xf numFmtId="37" fontId="9" fillId="4" borderId="17" xfId="0" applyNumberFormat="1" applyFont="1" applyFill="1" applyBorder="1"/>
    <xf numFmtId="0" fontId="27" fillId="4" borderId="15" xfId="0" applyFont="1" applyFill="1" applyBorder="1"/>
    <xf numFmtId="37" fontId="9" fillId="4" borderId="16" xfId="0" applyNumberFormat="1" applyFont="1" applyFill="1" applyBorder="1"/>
    <xf numFmtId="10" fontId="19" fillId="4" borderId="15" xfId="2" applyNumberFormat="1" applyFont="1" applyFill="1" applyBorder="1"/>
    <xf numFmtId="37" fontId="9" fillId="0" borderId="31" xfId="0" applyNumberFormat="1" applyFont="1" applyBorder="1"/>
    <xf numFmtId="37" fontId="9" fillId="0" borderId="15" xfId="0" applyNumberFormat="1" applyFont="1" applyBorder="1"/>
    <xf numFmtId="37" fontId="27" fillId="0" borderId="15" xfId="0" applyNumberFormat="1" applyFont="1" applyBorder="1"/>
    <xf numFmtId="37" fontId="9" fillId="0" borderId="16" xfId="0" applyNumberFormat="1" applyFont="1" applyBorder="1"/>
    <xf numFmtId="0" fontId="9" fillId="0" borderId="15" xfId="0" applyFont="1" applyBorder="1"/>
    <xf numFmtId="10" fontId="19" fillId="0" borderId="15" xfId="0" applyNumberFormat="1" applyFont="1" applyBorder="1"/>
    <xf numFmtId="37" fontId="7" fillId="0" borderId="10" xfId="0" applyNumberFormat="1" applyFont="1" applyFill="1" applyBorder="1"/>
    <xf numFmtId="0" fontId="9" fillId="0" borderId="16" xfId="0" applyFont="1" applyBorder="1"/>
    <xf numFmtId="37" fontId="9" fillId="0" borderId="15" xfId="0" applyNumberFormat="1" applyFont="1" applyFill="1" applyBorder="1"/>
    <xf numFmtId="37" fontId="7" fillId="0" borderId="15" xfId="0" applyNumberFormat="1" applyFont="1" applyFill="1" applyBorder="1"/>
    <xf numFmtId="37" fontId="9" fillId="0" borderId="17" xfId="0" applyNumberFormat="1" applyFont="1" applyFill="1" applyBorder="1"/>
    <xf numFmtId="37" fontId="26" fillId="0" borderId="17" xfId="0" applyNumberFormat="1" applyFont="1" applyFill="1" applyBorder="1"/>
    <xf numFmtId="37" fontId="9" fillId="0" borderId="34" xfId="0" applyNumberFormat="1" applyFont="1" applyFill="1" applyBorder="1"/>
    <xf numFmtId="37" fontId="7" fillId="0" borderId="28" xfId="0" applyNumberFormat="1" applyFont="1" applyFill="1" applyBorder="1"/>
    <xf numFmtId="37" fontId="9" fillId="0" borderId="16" xfId="0" applyNumberFormat="1" applyFont="1" applyFill="1" applyBorder="1"/>
    <xf numFmtId="37" fontId="7" fillId="0" borderId="0" xfId="0" applyNumberFormat="1" applyFont="1" applyFill="1" applyBorder="1" applyAlignment="1">
      <alignment horizontal="right"/>
    </xf>
    <xf numFmtId="0" fontId="3" fillId="0" borderId="0" xfId="0" applyFont="1" applyFill="1" applyBorder="1"/>
    <xf numFmtId="169" fontId="19" fillId="0" borderId="0" xfId="5" applyNumberFormat="1" applyFont="1" applyFill="1" applyBorder="1" applyAlignment="1">
      <alignment horizontal="center" vertical="center"/>
    </xf>
    <xf numFmtId="37" fontId="30" fillId="0" borderId="13" xfId="0" applyNumberFormat="1" applyFont="1" applyBorder="1"/>
    <xf numFmtId="37" fontId="30" fillId="0" borderId="0" xfId="0" applyNumberFormat="1" applyFont="1" applyBorder="1"/>
    <xf numFmtId="165" fontId="9" fillId="0" borderId="0" xfId="2" applyNumberFormat="1" applyFont="1" applyFill="1" applyBorder="1" applyAlignment="1">
      <alignment horizontal="right" vertical="center"/>
    </xf>
    <xf numFmtId="37" fontId="9" fillId="0" borderId="19" xfId="0" applyNumberFormat="1" applyFont="1" applyBorder="1"/>
    <xf numFmtId="37" fontId="9" fillId="0" borderId="35" xfId="0" applyNumberFormat="1" applyFont="1" applyBorder="1"/>
    <xf numFmtId="37" fontId="30" fillId="0" borderId="15" xfId="0" applyNumberFormat="1" applyFont="1" applyFill="1" applyBorder="1"/>
    <xf numFmtId="37" fontId="30" fillId="0" borderId="17" xfId="0" applyNumberFormat="1" applyFont="1" applyFill="1" applyBorder="1"/>
    <xf numFmtId="37" fontId="30" fillId="0" borderId="10" xfId="0" applyNumberFormat="1" applyFont="1" applyBorder="1"/>
    <xf numFmtId="37" fontId="30" fillId="0" borderId="0" xfId="0" applyNumberFormat="1" applyFont="1" applyFill="1" applyBorder="1"/>
    <xf numFmtId="37" fontId="30" fillId="0" borderId="10" xfId="0" applyNumberFormat="1" applyFont="1" applyFill="1" applyBorder="1"/>
    <xf numFmtId="37" fontId="30" fillId="0" borderId="28" xfId="0" applyNumberFormat="1" applyFont="1" applyFill="1" applyBorder="1"/>
    <xf numFmtId="37" fontId="9" fillId="0" borderId="15" xfId="0" applyNumberFormat="1" applyFont="1" applyBorder="1"/>
    <xf numFmtId="37" fontId="31" fillId="0" borderId="0" xfId="0" applyNumberFormat="1" applyFont="1" applyFill="1" applyBorder="1"/>
    <xf numFmtId="37" fontId="31" fillId="0" borderId="33" xfId="0" applyNumberFormat="1" applyFont="1" applyFill="1" applyBorder="1"/>
    <xf numFmtId="37" fontId="31" fillId="0" borderId="10" xfId="0" applyNumberFormat="1" applyFont="1" applyFill="1" applyBorder="1"/>
    <xf numFmtId="37" fontId="9" fillId="0" borderId="29" xfId="0" applyNumberFormat="1" applyFont="1" applyFill="1" applyBorder="1"/>
    <xf numFmtId="37" fontId="9" fillId="0" borderId="16" xfId="0" applyNumberFormat="1" applyFont="1" applyBorder="1" applyAlignment="1">
      <alignment horizontal="right"/>
    </xf>
    <xf numFmtId="37" fontId="9" fillId="0" borderId="15" xfId="0" applyNumberFormat="1" applyFont="1" applyBorder="1" applyAlignment="1">
      <alignment horizontal="right"/>
    </xf>
    <xf numFmtId="37" fontId="9" fillId="0" borderId="17" xfId="0" applyNumberFormat="1" applyFont="1" applyBorder="1" applyAlignment="1">
      <alignment horizontal="right"/>
    </xf>
    <xf numFmtId="37" fontId="9" fillId="0" borderId="19" xfId="1" applyNumberFormat="1" applyFont="1" applyBorder="1"/>
    <xf numFmtId="37" fontId="30" fillId="4" borderId="31" xfId="0" applyNumberFormat="1" applyFont="1" applyFill="1" applyBorder="1"/>
    <xf numFmtId="173" fontId="9" fillId="0" borderId="0" xfId="2" applyNumberFormat="1" applyFont="1" applyBorder="1" applyAlignment="1">
      <alignment horizontal="right"/>
    </xf>
    <xf numFmtId="173" fontId="9" fillId="0" borderId="10" xfId="2" applyNumberFormat="1" applyFont="1" applyBorder="1" applyAlignment="1">
      <alignment horizontal="right"/>
    </xf>
    <xf numFmtId="0" fontId="26" fillId="0" borderId="0" xfId="0" applyFont="1"/>
    <xf numFmtId="10" fontId="32" fillId="0" borderId="0" xfId="0" applyNumberFormat="1" applyFont="1" applyBorder="1"/>
    <xf numFmtId="37" fontId="33" fillId="0" borderId="0" xfId="0" applyNumberFormat="1" applyFont="1" applyBorder="1"/>
    <xf numFmtId="37" fontId="24" fillId="0" borderId="10" xfId="0" applyNumberFormat="1" applyFont="1" applyBorder="1"/>
    <xf numFmtId="37" fontId="28" fillId="0" borderId="36" xfId="0" applyNumberFormat="1" applyFont="1" applyBorder="1"/>
    <xf numFmtId="3" fontId="9" fillId="0" borderId="0" xfId="5" applyNumberFormat="1" applyFont="1" applyFill="1" applyBorder="1" applyAlignment="1">
      <alignment horizontal="right" vertical="center"/>
    </xf>
    <xf numFmtId="37" fontId="30" fillId="0" borderId="19" xfId="0" applyNumberFormat="1" applyFont="1" applyFill="1" applyBorder="1"/>
    <xf numFmtId="37" fontId="30" fillId="0" borderId="16" xfId="0" applyNumberFormat="1" applyFont="1" applyFill="1" applyBorder="1"/>
    <xf numFmtId="37" fontId="9" fillId="0" borderId="13" xfId="0" applyNumberFormat="1" applyFont="1" applyFill="1" applyBorder="1"/>
    <xf numFmtId="170" fontId="3" fillId="0" borderId="0" xfId="0" applyNumberFormat="1" applyFont="1" applyBorder="1"/>
    <xf numFmtId="10" fontId="9" fillId="0" borderId="0" xfId="2" applyNumberFormat="1" applyFont="1" applyBorder="1" applyAlignment="1">
      <alignment horizontal="right"/>
    </xf>
    <xf numFmtId="37" fontId="9" fillId="0" borderId="17" xfId="0" applyNumberFormat="1" applyFont="1" applyBorder="1"/>
    <xf numFmtId="37" fontId="26" fillId="0" borderId="17" xfId="0" applyNumberFormat="1" applyFont="1" applyBorder="1"/>
    <xf numFmtId="37" fontId="30" fillId="0" borderId="31" xfId="0" applyNumberFormat="1" applyFont="1" applyBorder="1"/>
    <xf numFmtId="170" fontId="11" fillId="3" borderId="0" xfId="0" applyNumberFormat="1" applyFont="1" applyFill="1" applyBorder="1"/>
    <xf numFmtId="167" fontId="9" fillId="0" borderId="0" xfId="0" applyNumberFormat="1" applyFont="1" applyBorder="1"/>
    <xf numFmtId="172" fontId="9" fillId="0" borderId="0" xfId="0" applyNumberFormat="1" applyFont="1" applyBorder="1"/>
    <xf numFmtId="0" fontId="22" fillId="0" borderId="0" xfId="0" applyFont="1" applyBorder="1"/>
    <xf numFmtId="3" fontId="9" fillId="0" borderId="0" xfId="0" applyNumberFormat="1" applyFont="1" applyBorder="1"/>
    <xf numFmtId="0" fontId="9"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xf numFmtId="37" fontId="3" fillId="0" borderId="0" xfId="0" applyNumberFormat="1" applyFont="1" applyFill="1" applyBorder="1"/>
    <xf numFmtId="173" fontId="9" fillId="0" borderId="0" xfId="0" applyNumberFormat="1" applyFont="1"/>
    <xf numFmtId="37" fontId="33" fillId="0" borderId="0" xfId="5" applyNumberFormat="1" applyFont="1" applyFill="1" applyBorder="1" applyAlignment="1">
      <alignment horizontal="right" vertical="center"/>
    </xf>
    <xf numFmtId="173" fontId="33" fillId="0" borderId="0" xfId="0" applyNumberFormat="1" applyFont="1" applyBorder="1"/>
    <xf numFmtId="37" fontId="33" fillId="0" borderId="0" xfId="0" applyNumberFormat="1" applyFont="1" applyFill="1" applyBorder="1"/>
    <xf numFmtId="0" fontId="10" fillId="4" borderId="0" xfId="0" applyFont="1" applyFill="1" applyBorder="1"/>
    <xf numFmtId="37" fontId="14" fillId="0" borderId="0" xfId="0" applyNumberFormat="1" applyFont="1" applyFill="1" applyBorder="1"/>
    <xf numFmtId="37" fontId="14" fillId="0" borderId="10" xfId="0" applyNumberFormat="1" applyFont="1" applyFill="1" applyBorder="1"/>
    <xf numFmtId="0" fontId="35" fillId="0" borderId="0" xfId="0" applyFont="1" applyFill="1" applyBorder="1"/>
    <xf numFmtId="173" fontId="7" fillId="0" borderId="0" xfId="0" applyNumberFormat="1" applyFont="1" applyFill="1" applyBorder="1"/>
    <xf numFmtId="0" fontId="14" fillId="0" borderId="7" xfId="0" applyFont="1" applyFill="1" applyBorder="1" applyAlignment="1">
      <alignment vertical="center"/>
    </xf>
    <xf numFmtId="0" fontId="9" fillId="0" borderId="0" xfId="0" applyFont="1" applyBorder="1" applyAlignment="1">
      <alignment horizontal="center"/>
    </xf>
    <xf numFmtId="0" fontId="7" fillId="0" borderId="0" xfId="0" applyFont="1" applyFill="1" applyBorder="1" applyAlignment="1">
      <alignment horizontal="center"/>
    </xf>
    <xf numFmtId="0" fontId="9" fillId="0" borderId="0" xfId="0" applyFont="1" applyAlignment="1">
      <alignment horizontal="right"/>
    </xf>
    <xf numFmtId="0" fontId="30" fillId="0" borderId="0" xfId="0" applyFont="1"/>
    <xf numFmtId="0" fontId="32" fillId="0" borderId="0" xfId="0" applyFont="1" applyBorder="1"/>
    <xf numFmtId="0" fontId="32" fillId="4" borderId="0" xfId="0" applyFont="1" applyFill="1" applyBorder="1"/>
    <xf numFmtId="37" fontId="32" fillId="4" borderId="0" xfId="0" applyNumberFormat="1" applyFont="1" applyFill="1" applyBorder="1" applyAlignment="1">
      <alignment horizontal="right"/>
    </xf>
    <xf numFmtId="165" fontId="32" fillId="4" borderId="0" xfId="2" applyNumberFormat="1" applyFont="1" applyFill="1" applyBorder="1" applyAlignment="1">
      <alignment horizontal="right"/>
    </xf>
    <xf numFmtId="165" fontId="32" fillId="0" borderId="0" xfId="2" applyNumberFormat="1" applyFont="1" applyBorder="1"/>
    <xf numFmtId="0" fontId="7" fillId="0" borderId="0" xfId="0" applyFont="1" applyBorder="1"/>
    <xf numFmtId="10" fontId="17" fillId="2" borderId="0" xfId="0" applyNumberFormat="1" applyFont="1" applyFill="1" applyBorder="1" applyAlignment="1">
      <alignment horizontal="right" vertical="center"/>
    </xf>
    <xf numFmtId="0" fontId="10" fillId="0" borderId="0" xfId="0" applyFont="1" applyBorder="1" applyAlignment="1"/>
    <xf numFmtId="0" fontId="24" fillId="0" borderId="0" xfId="0" applyFont="1" applyBorder="1"/>
    <xf numFmtId="170" fontId="9" fillId="0" borderId="0" xfId="0" applyNumberFormat="1" applyFont="1"/>
    <xf numFmtId="9" fontId="9" fillId="0" borderId="0" xfId="2" applyFont="1"/>
    <xf numFmtId="0" fontId="34" fillId="0" borderId="0" xfId="0" applyFont="1" applyFill="1" applyBorder="1"/>
    <xf numFmtId="165" fontId="34" fillId="0" borderId="0" xfId="2" applyNumberFormat="1" applyFont="1" applyFill="1" applyBorder="1" applyAlignment="1">
      <alignment horizontal="right"/>
    </xf>
    <xf numFmtId="0" fontId="34" fillId="0" borderId="0" xfId="0" applyFont="1" applyFill="1"/>
    <xf numFmtId="37" fontId="9" fillId="0" borderId="0" xfId="0" applyNumberFormat="1" applyFont="1" applyFill="1" applyBorder="1" applyAlignment="1">
      <alignment horizontal="left" indent="1"/>
    </xf>
    <xf numFmtId="0" fontId="3" fillId="0" borderId="20" xfId="0" applyFont="1" applyFill="1" applyBorder="1"/>
    <xf numFmtId="0" fontId="3" fillId="0" borderId="10" xfId="0" applyFont="1" applyFill="1" applyBorder="1"/>
    <xf numFmtId="37" fontId="3" fillId="0" borderId="10" xfId="0" applyNumberFormat="1" applyFont="1" applyFill="1" applyBorder="1"/>
    <xf numFmtId="173" fontId="9" fillId="0" borderId="0" xfId="0" applyNumberFormat="1" applyFont="1" applyBorder="1"/>
    <xf numFmtId="37" fontId="3" fillId="0" borderId="0" xfId="0" applyNumberFormat="1" applyFont="1" applyBorder="1" applyAlignment="1">
      <alignment horizontal="right"/>
    </xf>
    <xf numFmtId="37" fontId="7" fillId="0" borderId="19" xfId="0" applyNumberFormat="1" applyFont="1" applyBorder="1"/>
    <xf numFmtId="165" fontId="9" fillId="0" borderId="0" xfId="2" applyNumberFormat="1" applyFont="1"/>
    <xf numFmtId="37" fontId="9" fillId="0" borderId="0" xfId="0" applyNumberFormat="1" applyFont="1"/>
    <xf numFmtId="37" fontId="33" fillId="0" borderId="10" xfId="0" applyNumberFormat="1" applyFont="1" applyBorder="1"/>
    <xf numFmtId="172" fontId="9" fillId="0" borderId="0" xfId="2" applyNumberFormat="1" applyFont="1"/>
    <xf numFmtId="37" fontId="9" fillId="0" borderId="10" xfId="5" applyNumberFormat="1" applyFont="1" applyFill="1" applyBorder="1" applyAlignment="1">
      <alignment horizontal="right" vertical="center"/>
    </xf>
    <xf numFmtId="172" fontId="9" fillId="0" borderId="10" xfId="2" applyNumberFormat="1" applyFont="1" applyBorder="1"/>
    <xf numFmtId="168" fontId="9" fillId="0" borderId="0" xfId="0" applyNumberFormat="1" applyFont="1" applyFill="1" applyBorder="1"/>
    <xf numFmtId="0" fontId="11" fillId="0" borderId="37" xfId="0" applyFont="1" applyFill="1" applyBorder="1"/>
    <xf numFmtId="37" fontId="3" fillId="0" borderId="34" xfId="0" applyNumberFormat="1" applyFont="1" applyFill="1" applyBorder="1"/>
    <xf numFmtId="165" fontId="34" fillId="0" borderId="37" xfId="2" applyNumberFormat="1" applyFont="1" applyFill="1" applyBorder="1" applyAlignment="1">
      <alignment horizontal="right"/>
    </xf>
    <xf numFmtId="37" fontId="3" fillId="0" borderId="37" xfId="0" applyNumberFormat="1" applyFont="1" applyFill="1" applyBorder="1"/>
    <xf numFmtId="37" fontId="9" fillId="0" borderId="37" xfId="0" applyNumberFormat="1" applyFont="1" applyFill="1" applyBorder="1"/>
    <xf numFmtId="37" fontId="9" fillId="0" borderId="38" xfId="0" applyNumberFormat="1" applyFont="1" applyFill="1" applyBorder="1"/>
    <xf numFmtId="0" fontId="9" fillId="0" borderId="37" xfId="0" applyFont="1" applyBorder="1" applyAlignment="1">
      <alignment horizontal="right"/>
    </xf>
    <xf numFmtId="0" fontId="9" fillId="0" borderId="37" xfId="0" applyFont="1" applyBorder="1"/>
    <xf numFmtId="172" fontId="9" fillId="0" borderId="37" xfId="0" applyNumberFormat="1" applyFont="1" applyBorder="1"/>
    <xf numFmtId="37" fontId="3" fillId="0" borderId="37" xfId="0" applyNumberFormat="1" applyFont="1" applyBorder="1" applyAlignment="1">
      <alignment horizontal="right"/>
    </xf>
    <xf numFmtId="37" fontId="3" fillId="0" borderId="37" xfId="0" applyNumberFormat="1" applyFont="1" applyBorder="1"/>
    <xf numFmtId="37" fontId="9" fillId="0" borderId="37" xfId="0" applyNumberFormat="1" applyFont="1" applyBorder="1"/>
    <xf numFmtId="165" fontId="9" fillId="0" borderId="37" xfId="2" applyNumberFormat="1" applyFont="1" applyBorder="1" applyAlignment="1">
      <alignment horizontal="right"/>
    </xf>
    <xf numFmtId="9" fontId="9" fillId="0" borderId="37" xfId="0" applyNumberFormat="1" applyFont="1" applyBorder="1" applyAlignment="1">
      <alignment horizontal="right" vertical="center"/>
    </xf>
    <xf numFmtId="170" fontId="9" fillId="0" borderId="37" xfId="0" applyNumberFormat="1" applyFont="1" applyBorder="1" applyAlignment="1">
      <alignment horizontal="right"/>
    </xf>
    <xf numFmtId="0" fontId="9" fillId="0" borderId="39" xfId="0" applyFont="1" applyBorder="1" applyAlignment="1">
      <alignment horizontal="right"/>
    </xf>
    <xf numFmtId="165" fontId="9" fillId="0" borderId="37" xfId="2" applyNumberFormat="1" applyFont="1" applyFill="1" applyBorder="1" applyAlignment="1">
      <alignment horizontal="right" vertical="center"/>
    </xf>
    <xf numFmtId="0" fontId="9" fillId="0" borderId="39" xfId="0" applyFont="1" applyBorder="1"/>
    <xf numFmtId="165" fontId="9" fillId="0" borderId="37" xfId="2" applyNumberFormat="1" applyFont="1" applyBorder="1" applyAlignment="1">
      <alignment horizontal="right" vertical="center"/>
    </xf>
    <xf numFmtId="37" fontId="30" fillId="4" borderId="40" xfId="0" applyNumberFormat="1" applyFont="1" applyFill="1" applyBorder="1"/>
    <xf numFmtId="165" fontId="32" fillId="4" borderId="37" xfId="2" applyNumberFormat="1" applyFont="1" applyFill="1" applyBorder="1" applyAlignment="1">
      <alignment horizontal="right"/>
    </xf>
    <xf numFmtId="0" fontId="9" fillId="4" borderId="37" xfId="0" applyFont="1" applyFill="1" applyBorder="1"/>
    <xf numFmtId="37" fontId="9" fillId="4" borderId="37" xfId="0" applyNumberFormat="1" applyFont="1" applyFill="1" applyBorder="1"/>
    <xf numFmtId="37" fontId="30" fillId="4" borderId="37" xfId="0" applyNumberFormat="1" applyFont="1" applyFill="1" applyBorder="1"/>
    <xf numFmtId="37" fontId="9" fillId="4" borderId="40" xfId="0" applyNumberFormat="1" applyFont="1" applyFill="1" applyBorder="1"/>
    <xf numFmtId="0" fontId="27" fillId="4" borderId="37" xfId="0" applyFont="1" applyFill="1" applyBorder="1"/>
    <xf numFmtId="37" fontId="9" fillId="4" borderId="38" xfId="0" applyNumberFormat="1" applyFont="1" applyFill="1" applyBorder="1"/>
    <xf numFmtId="10" fontId="19" fillId="4" borderId="37" xfId="2" applyNumberFormat="1" applyFont="1" applyFill="1" applyBorder="1"/>
    <xf numFmtId="37" fontId="30" fillId="0" borderId="37" xfId="0" applyNumberFormat="1" applyFont="1" applyBorder="1"/>
    <xf numFmtId="37" fontId="30" fillId="0" borderId="34" xfId="0" applyNumberFormat="1" applyFont="1" applyBorder="1"/>
    <xf numFmtId="37" fontId="26" fillId="0" borderId="37" xfId="0" applyNumberFormat="1" applyFont="1" applyBorder="1"/>
    <xf numFmtId="37" fontId="9" fillId="0" borderId="40" xfId="0" applyNumberFormat="1" applyFont="1" applyBorder="1"/>
    <xf numFmtId="9" fontId="32" fillId="0" borderId="0" xfId="2" applyFont="1" applyBorder="1" applyAlignment="1">
      <alignment horizontal="right"/>
    </xf>
    <xf numFmtId="165" fontId="32" fillId="0" borderId="0" xfId="2" applyNumberFormat="1" applyFont="1" applyBorder="1" applyAlignment="1">
      <alignment horizontal="right"/>
    </xf>
    <xf numFmtId="165" fontId="32" fillId="0" borderId="37" xfId="2" applyNumberFormat="1" applyFont="1" applyBorder="1" applyAlignment="1">
      <alignment horizontal="right"/>
    </xf>
    <xf numFmtId="0" fontId="30" fillId="0" borderId="0" xfId="0" applyFont="1" applyAlignment="1">
      <alignment horizontal="right"/>
    </xf>
    <xf numFmtId="0" fontId="32" fillId="0" borderId="0" xfId="0" applyFont="1" applyBorder="1" applyAlignment="1">
      <alignment horizontal="left"/>
    </xf>
    <xf numFmtId="165" fontId="19" fillId="0" borderId="17" xfId="2" applyNumberFormat="1" applyFont="1" applyBorder="1" applyAlignment="1">
      <alignment horizontal="right"/>
    </xf>
    <xf numFmtId="165" fontId="19" fillId="0" borderId="0" xfId="2" applyNumberFormat="1" applyFont="1" applyBorder="1" applyAlignment="1">
      <alignment horizontal="right"/>
    </xf>
    <xf numFmtId="0" fontId="3" fillId="0" borderId="0" xfId="0" applyFont="1" applyAlignment="1">
      <alignment horizontal="right"/>
    </xf>
    <xf numFmtId="165" fontId="19" fillId="0" borderId="15" xfId="2" applyNumberFormat="1" applyFont="1" applyBorder="1" applyAlignment="1">
      <alignment horizontal="right"/>
    </xf>
    <xf numFmtId="0" fontId="19" fillId="0" borderId="0" xfId="0" applyFont="1" applyBorder="1" applyAlignment="1">
      <alignment horizontal="left"/>
    </xf>
    <xf numFmtId="3" fontId="7" fillId="0" borderId="0" xfId="5" applyNumberFormat="1" applyFont="1" applyFill="1" applyBorder="1" applyAlignment="1">
      <alignment horizontal="right" vertical="center"/>
    </xf>
    <xf numFmtId="177" fontId="7" fillId="0" borderId="0" xfId="0" applyNumberFormat="1" applyFont="1" applyFill="1" applyBorder="1" applyAlignment="1">
      <alignment horizontal="right" vertical="center"/>
    </xf>
    <xf numFmtId="171" fontId="11" fillId="7" borderId="0" xfId="0" applyNumberFormat="1" applyFont="1" applyFill="1" applyBorder="1" applyAlignment="1">
      <alignment horizontal="right"/>
    </xf>
    <xf numFmtId="174" fontId="11" fillId="7" borderId="0" xfId="0" applyNumberFormat="1" applyFont="1" applyFill="1" applyBorder="1"/>
    <xf numFmtId="171" fontId="11" fillId="7" borderId="0" xfId="0" applyNumberFormat="1" applyFont="1" applyFill="1" applyBorder="1"/>
    <xf numFmtId="0" fontId="9" fillId="0" borderId="0" xfId="0" applyFont="1" applyAlignment="1">
      <alignment horizontal="left"/>
    </xf>
    <xf numFmtId="0" fontId="9" fillId="0" borderId="7" xfId="0" applyFont="1" applyFill="1" applyBorder="1" applyAlignment="1">
      <alignment horizontal="left"/>
    </xf>
    <xf numFmtId="0" fontId="25" fillId="0" borderId="0" xfId="0" applyFont="1" applyBorder="1" applyAlignment="1">
      <alignment horizontal="left"/>
    </xf>
    <xf numFmtId="0" fontId="13" fillId="0" borderId="0" xfId="0" applyFont="1" applyAlignment="1">
      <alignment horizontal="left"/>
    </xf>
    <xf numFmtId="0" fontId="11" fillId="3" borderId="0" xfId="0" applyFont="1" applyFill="1" applyBorder="1" applyAlignment="1">
      <alignment horizontal="left"/>
    </xf>
    <xf numFmtId="0" fontId="24" fillId="0" borderId="0" xfId="0" applyFont="1" applyFill="1" applyBorder="1" applyAlignment="1">
      <alignment horizontal="left"/>
    </xf>
    <xf numFmtId="0" fontId="9" fillId="4" borderId="10" xfId="0" applyFont="1" applyFill="1" applyBorder="1" applyAlignment="1">
      <alignment horizontal="left"/>
    </xf>
    <xf numFmtId="0" fontId="19" fillId="4" borderId="0" xfId="0" applyFont="1" applyFill="1" applyBorder="1" applyAlignment="1">
      <alignment horizontal="left"/>
    </xf>
    <xf numFmtId="0" fontId="9" fillId="4" borderId="0" xfId="0" applyFont="1" applyFill="1" applyBorder="1" applyAlignment="1">
      <alignment horizontal="left"/>
    </xf>
    <xf numFmtId="9" fontId="19" fillId="0" borderId="0" xfId="2" applyFont="1" applyBorder="1" applyAlignment="1">
      <alignment horizontal="left"/>
    </xf>
    <xf numFmtId="0" fontId="9" fillId="4" borderId="20" xfId="0" applyFont="1" applyFill="1" applyBorder="1" applyAlignment="1">
      <alignment horizontal="left"/>
    </xf>
    <xf numFmtId="0" fontId="12" fillId="0" borderId="0" xfId="0" applyFont="1" applyAlignment="1">
      <alignment horizontal="left"/>
    </xf>
    <xf numFmtId="0" fontId="3" fillId="0" borderId="0" xfId="0" applyFont="1" applyBorder="1" applyAlignment="1">
      <alignment horizontal="left"/>
    </xf>
    <xf numFmtId="0" fontId="26" fillId="0" borderId="0" xfId="0" applyFont="1" applyFill="1" applyBorder="1" applyAlignment="1">
      <alignment horizontal="left"/>
    </xf>
    <xf numFmtId="0" fontId="27" fillId="0" borderId="0" xfId="0" applyFont="1" applyBorder="1" applyAlignment="1">
      <alignment horizontal="left"/>
    </xf>
    <xf numFmtId="0" fontId="9" fillId="0" borderId="0" xfId="0" applyFont="1" applyFill="1" applyBorder="1" applyAlignment="1">
      <alignment horizontal="left"/>
    </xf>
    <xf numFmtId="0" fontId="3" fillId="0" borderId="0" xfId="0" applyFont="1" applyAlignment="1">
      <alignment horizontal="left"/>
    </xf>
    <xf numFmtId="0" fontId="3" fillId="0" borderId="5" xfId="0" applyFont="1" applyBorder="1" applyAlignment="1">
      <alignment horizontal="left"/>
    </xf>
    <xf numFmtId="171" fontId="11" fillId="7" borderId="0" xfId="0" applyNumberFormat="1" applyFont="1" applyFill="1" applyBorder="1" applyAlignment="1">
      <alignment horizontal="center"/>
    </xf>
    <xf numFmtId="174" fontId="11" fillId="7" borderId="0" xfId="0" applyNumberFormat="1" applyFont="1" applyFill="1" applyBorder="1" applyAlignment="1">
      <alignment horizontal="center"/>
    </xf>
  </cellXfs>
  <cellStyles count="6">
    <cellStyle name="Comma" xfId="1" builtinId="3"/>
    <cellStyle name="Hyperlink" xfId="4" builtinId="8"/>
    <cellStyle name="Normal" xfId="0" builtinId="0"/>
    <cellStyle name="Normal 2" xfId="5" xr:uid="{00000000-0005-0000-0000-000003000000}"/>
    <cellStyle name="Percent" xfId="2" builtinId="5"/>
    <cellStyle name="Standard 2" xfId="3" xr:uid="{00000000-0005-0000-0000-000005000000}"/>
  </cellStyles>
  <dxfs count="0"/>
  <tableStyles count="0" defaultTableStyle="TableStyleMedium9"/>
  <colors>
    <mruColors>
      <color rgb="FF217B5D"/>
      <color rgb="FF0D1931"/>
      <color rgb="FF094A51"/>
      <color rgb="FF878380"/>
      <color rgb="FF3AAE65"/>
      <color rgb="FF98C5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803054452030399"/>
          <c:y val="0.126582278481013"/>
          <c:w val="0.92837341191246803"/>
          <c:h val="0.75942356888933205"/>
        </c:manualLayout>
      </c:layout>
      <c:barChart>
        <c:barDir val="col"/>
        <c:grouping val="clustered"/>
        <c:varyColors val="0"/>
        <c:ser>
          <c:idx val="0"/>
          <c:order val="0"/>
          <c:tx>
            <c:strRef>
              <c:f>Summary!$B$69</c:f>
              <c:strCache>
                <c:ptCount val="1"/>
                <c:pt idx="0">
                  <c:v>Revenues</c:v>
                </c:pt>
              </c:strCache>
            </c:strRef>
          </c:tx>
          <c:spPr>
            <a:solidFill>
              <a:srgbClr val="39AD65"/>
            </a:solidFill>
            <a:ln>
              <a:noFill/>
            </a:ln>
            <a:effectLst/>
          </c:spPr>
          <c:invertIfNegative val="0"/>
          <c:cat>
            <c:numRef>
              <c:f>Summary!$E$67:$P$67</c:f>
              <c:numCache>
                <c:formatCode>0000\ \A</c:formatCode>
                <c:ptCount val="12"/>
                <c:pt idx="0">
                  <c:v>2017</c:v>
                </c:pt>
                <c:pt idx="1">
                  <c:v>2018</c:v>
                </c:pt>
                <c:pt idx="2">
                  <c:v>2019</c:v>
                </c:pt>
                <c:pt idx="3" formatCode="0000\ \F">
                  <c:v>2020</c:v>
                </c:pt>
                <c:pt idx="4" formatCode="0000\ \F">
                  <c:v>2021</c:v>
                </c:pt>
                <c:pt idx="5" formatCode="0000\ \F">
                  <c:v>2022</c:v>
                </c:pt>
                <c:pt idx="6" formatCode="0000\ \F">
                  <c:v>2023</c:v>
                </c:pt>
                <c:pt idx="7" formatCode="0000\ \F">
                  <c:v>2024</c:v>
                </c:pt>
                <c:pt idx="8" formatCode="0000\ \F">
                  <c:v>2025</c:v>
                </c:pt>
                <c:pt idx="9" formatCode="0000\ \F">
                  <c:v>2026</c:v>
                </c:pt>
                <c:pt idx="10" formatCode="0000\ \F">
                  <c:v>2027</c:v>
                </c:pt>
                <c:pt idx="11" formatCode="0000\ \F">
                  <c:v>2028</c:v>
                </c:pt>
              </c:numCache>
            </c:numRef>
          </c:cat>
          <c:val>
            <c:numRef>
              <c:f>Summary!$E$69:$P$69</c:f>
              <c:numCache>
                <c:formatCode>#,##0_);\(#,##0\)</c:formatCode>
                <c:ptCount val="12"/>
                <c:pt idx="0">
                  <c:v>4850000</c:v>
                </c:pt>
                <c:pt idx="1">
                  <c:v>4920000</c:v>
                </c:pt>
                <c:pt idx="2">
                  <c:v>5228648</c:v>
                </c:pt>
                <c:pt idx="3">
                  <c:v>5392700</c:v>
                </c:pt>
                <c:pt idx="4">
                  <c:v>5931970.0000000009</c:v>
                </c:pt>
                <c:pt idx="5">
                  <c:v>6525167.0000000019</c:v>
                </c:pt>
                <c:pt idx="6">
                  <c:v>7177683.700000003</c:v>
                </c:pt>
                <c:pt idx="7">
                  <c:v>7536567.8850000035</c:v>
                </c:pt>
                <c:pt idx="8">
                  <c:v>7913396.2792500043</c:v>
                </c:pt>
                <c:pt idx="9">
                  <c:v>8071664.2048350042</c:v>
                </c:pt>
                <c:pt idx="10">
                  <c:v>8233097.4889317043</c:v>
                </c:pt>
                <c:pt idx="11">
                  <c:v>8397759.4387103394</c:v>
                </c:pt>
              </c:numCache>
            </c:numRef>
          </c:val>
          <c:extLst>
            <c:ext xmlns:c16="http://schemas.microsoft.com/office/drawing/2014/chart" uri="{C3380CC4-5D6E-409C-BE32-E72D297353CC}">
              <c16:uniqueId val="{00000000-A3DE-5D46-86F9-4F512DC87950}"/>
            </c:ext>
          </c:extLst>
        </c:ser>
        <c:ser>
          <c:idx val="1"/>
          <c:order val="1"/>
          <c:tx>
            <c:strRef>
              <c:f>Summary!$B$80</c:f>
              <c:strCache>
                <c:ptCount val="1"/>
                <c:pt idx="0">
                  <c:v>EBITDA</c:v>
                </c:pt>
              </c:strCache>
            </c:strRef>
          </c:tx>
          <c:spPr>
            <a:solidFill>
              <a:srgbClr val="98C51E"/>
            </a:solidFill>
          </c:spPr>
          <c:invertIfNegative val="0"/>
          <c:cat>
            <c:numRef>
              <c:f>Summary!$E$67:$P$67</c:f>
              <c:numCache>
                <c:formatCode>0000\ \A</c:formatCode>
                <c:ptCount val="12"/>
                <c:pt idx="0">
                  <c:v>2017</c:v>
                </c:pt>
                <c:pt idx="1">
                  <c:v>2018</c:v>
                </c:pt>
                <c:pt idx="2">
                  <c:v>2019</c:v>
                </c:pt>
                <c:pt idx="3" formatCode="0000\ \F">
                  <c:v>2020</c:v>
                </c:pt>
                <c:pt idx="4" formatCode="0000\ \F">
                  <c:v>2021</c:v>
                </c:pt>
                <c:pt idx="5" formatCode="0000\ \F">
                  <c:v>2022</c:v>
                </c:pt>
                <c:pt idx="6" formatCode="0000\ \F">
                  <c:v>2023</c:v>
                </c:pt>
                <c:pt idx="7" formatCode="0000\ \F">
                  <c:v>2024</c:v>
                </c:pt>
                <c:pt idx="8" formatCode="0000\ \F">
                  <c:v>2025</c:v>
                </c:pt>
                <c:pt idx="9" formatCode="0000\ \F">
                  <c:v>2026</c:v>
                </c:pt>
                <c:pt idx="10" formatCode="0000\ \F">
                  <c:v>2027</c:v>
                </c:pt>
                <c:pt idx="11" formatCode="0000\ \F">
                  <c:v>2028</c:v>
                </c:pt>
              </c:numCache>
            </c:numRef>
          </c:cat>
          <c:val>
            <c:numRef>
              <c:f>Summary!$E$80:$P$80</c:f>
              <c:numCache>
                <c:formatCode>#,##0_);\(#,##0\)</c:formatCode>
                <c:ptCount val="12"/>
                <c:pt idx="0">
                  <c:v>500000</c:v>
                </c:pt>
                <c:pt idx="1">
                  <c:v>570000</c:v>
                </c:pt>
                <c:pt idx="2">
                  <c:v>676202.99000000022</c:v>
                </c:pt>
                <c:pt idx="3">
                  <c:v>816245</c:v>
                </c:pt>
                <c:pt idx="4">
                  <c:v>1014033.8999999999</c:v>
                </c:pt>
                <c:pt idx="5">
                  <c:v>1245940.6299999999</c:v>
                </c:pt>
                <c:pt idx="6">
                  <c:v>1298757.8560000001</c:v>
                </c:pt>
                <c:pt idx="7">
                  <c:v>1363695.7488000002</c:v>
                </c:pt>
                <c:pt idx="8">
                  <c:v>1431880.5362400003</c:v>
                </c:pt>
                <c:pt idx="9">
                  <c:v>1460518.1469648005</c:v>
                </c:pt>
                <c:pt idx="10">
                  <c:v>1489728.5099040959</c:v>
                </c:pt>
                <c:pt idx="11">
                  <c:v>1519523.0801021783</c:v>
                </c:pt>
              </c:numCache>
            </c:numRef>
          </c:val>
          <c:extLst>
            <c:ext xmlns:c16="http://schemas.microsoft.com/office/drawing/2014/chart" uri="{C3380CC4-5D6E-409C-BE32-E72D297353CC}">
              <c16:uniqueId val="{00000001-A3DE-5D46-86F9-4F512DC87950}"/>
            </c:ext>
          </c:extLst>
        </c:ser>
        <c:dLbls>
          <c:showLegendKey val="0"/>
          <c:showVal val="0"/>
          <c:showCatName val="0"/>
          <c:showSerName val="0"/>
          <c:showPercent val="0"/>
          <c:showBubbleSize val="0"/>
        </c:dLbls>
        <c:gapWidth val="150"/>
        <c:axId val="541042568"/>
        <c:axId val="526818728"/>
      </c:barChart>
      <c:lineChart>
        <c:grouping val="standard"/>
        <c:varyColors val="0"/>
        <c:ser>
          <c:idx val="2"/>
          <c:order val="2"/>
          <c:tx>
            <c:strRef>
              <c:f>Summary!$B$81</c:f>
              <c:strCache>
                <c:ptCount val="1"/>
                <c:pt idx="0">
                  <c:v>%</c:v>
                </c:pt>
              </c:strCache>
            </c:strRef>
          </c:tx>
          <c:spPr>
            <a:ln>
              <a:solidFill>
                <a:srgbClr val="878380"/>
              </a:solidFill>
            </a:ln>
          </c:spPr>
          <c:marker>
            <c:symbol val="none"/>
          </c:marker>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Summary!$E$81:$P$81</c:f>
              <c:numCache>
                <c:formatCode>0.0%</c:formatCode>
                <c:ptCount val="12"/>
                <c:pt idx="0">
                  <c:v>0.10309278350515463</c:v>
                </c:pt>
                <c:pt idx="1">
                  <c:v>0.11585365853658537</c:v>
                </c:pt>
                <c:pt idx="2">
                  <c:v>0.12932654674784003</c:v>
                </c:pt>
                <c:pt idx="3">
                  <c:v>0.1513610992638196</c:v>
                </c:pt>
                <c:pt idx="4">
                  <c:v>0.17094386856305743</c:v>
                </c:pt>
                <c:pt idx="5">
                  <c:v>0.1909438685630574</c:v>
                </c:pt>
                <c:pt idx="6">
                  <c:v>0.18094386856305741</c:v>
                </c:pt>
                <c:pt idx="7">
                  <c:v>0.18094386856305741</c:v>
                </c:pt>
                <c:pt idx="8">
                  <c:v>0.18094386856305741</c:v>
                </c:pt>
                <c:pt idx="9">
                  <c:v>0.18094386856305744</c:v>
                </c:pt>
                <c:pt idx="10">
                  <c:v>0.18094386856305736</c:v>
                </c:pt>
                <c:pt idx="11">
                  <c:v>0.18094386856305739</c:v>
                </c:pt>
              </c:numCache>
            </c:numRef>
          </c:val>
          <c:smooth val="0"/>
          <c:extLst>
            <c:ext xmlns:c16="http://schemas.microsoft.com/office/drawing/2014/chart" uri="{C3380CC4-5D6E-409C-BE32-E72D297353CC}">
              <c16:uniqueId val="{00000002-A3DE-5D46-86F9-4F512DC87950}"/>
            </c:ext>
          </c:extLst>
        </c:ser>
        <c:dLbls>
          <c:showLegendKey val="0"/>
          <c:showVal val="0"/>
          <c:showCatName val="0"/>
          <c:showSerName val="0"/>
          <c:showPercent val="0"/>
          <c:showBubbleSize val="0"/>
        </c:dLbls>
        <c:marker val="1"/>
        <c:smooth val="0"/>
        <c:axId val="563883832"/>
        <c:axId val="567108824"/>
      </c:lineChart>
      <c:catAx>
        <c:axId val="541042568"/>
        <c:scaling>
          <c:orientation val="minMax"/>
        </c:scaling>
        <c:delete val="0"/>
        <c:axPos val="b"/>
        <c:numFmt formatCode="0000\ \A" sourceLinked="1"/>
        <c:majorTickMark val="none"/>
        <c:minorTickMark val="none"/>
        <c:tickLblPos val="nextTo"/>
        <c:txPr>
          <a:bodyPr/>
          <a:lstStyle/>
          <a:p>
            <a:pPr>
              <a:defRPr lang="de-DE" sz="1000">
                <a:latin typeface="Arial"/>
                <a:cs typeface="Arial"/>
              </a:defRPr>
            </a:pPr>
            <a:endParaRPr lang="fr-FR"/>
          </a:p>
        </c:txPr>
        <c:crossAx val="526818728"/>
        <c:crosses val="autoZero"/>
        <c:auto val="1"/>
        <c:lblAlgn val="ctr"/>
        <c:lblOffset val="100"/>
        <c:noMultiLvlLbl val="0"/>
      </c:catAx>
      <c:valAx>
        <c:axId val="526818728"/>
        <c:scaling>
          <c:orientation val="minMax"/>
        </c:scaling>
        <c:delete val="0"/>
        <c:axPos val="l"/>
        <c:majorGridlines>
          <c:spPr>
            <a:ln>
              <a:noFill/>
            </a:ln>
          </c:spPr>
        </c:majorGridlines>
        <c:numFmt formatCode="#\,##0_);\(#\,##0\)" sourceLinked="0"/>
        <c:majorTickMark val="out"/>
        <c:minorTickMark val="none"/>
        <c:tickLblPos val="nextTo"/>
        <c:spPr>
          <a:noFill/>
          <a:ln>
            <a:noFill/>
          </a:ln>
        </c:spPr>
        <c:txPr>
          <a:bodyPr/>
          <a:lstStyle/>
          <a:p>
            <a:pPr>
              <a:defRPr lang="de-DE" sz="1000">
                <a:latin typeface="Arial"/>
                <a:cs typeface="Arial"/>
              </a:defRPr>
            </a:pPr>
            <a:endParaRPr lang="fr-FR"/>
          </a:p>
        </c:txPr>
        <c:crossAx val="541042568"/>
        <c:crosses val="autoZero"/>
        <c:crossBetween val="between"/>
      </c:valAx>
      <c:valAx>
        <c:axId val="567108824"/>
        <c:scaling>
          <c:orientation val="minMax"/>
        </c:scaling>
        <c:delete val="0"/>
        <c:axPos val="r"/>
        <c:numFmt formatCode="0.0%" sourceLinked="1"/>
        <c:majorTickMark val="out"/>
        <c:minorTickMark val="none"/>
        <c:tickLblPos val="nextTo"/>
        <c:crossAx val="563883832"/>
        <c:crosses val="max"/>
        <c:crossBetween val="between"/>
      </c:valAx>
      <c:catAx>
        <c:axId val="563883832"/>
        <c:scaling>
          <c:orientation val="minMax"/>
        </c:scaling>
        <c:delete val="1"/>
        <c:axPos val="b"/>
        <c:numFmt formatCode="0000\ \A" sourceLinked="1"/>
        <c:majorTickMark val="out"/>
        <c:minorTickMark val="none"/>
        <c:tickLblPos val="nextTo"/>
        <c:crossAx val="567108824"/>
        <c:crosses val="autoZero"/>
        <c:auto val="1"/>
        <c:lblAlgn val="ctr"/>
        <c:lblOffset val="100"/>
        <c:noMultiLvlLbl val="0"/>
      </c:catAx>
      <c:spPr>
        <a:noFill/>
      </c:spPr>
    </c:plotArea>
    <c:legend>
      <c:legendPos val="r"/>
      <c:layout>
        <c:manualLayout>
          <c:xMode val="edge"/>
          <c:yMode val="edge"/>
          <c:x val="9.8033411364119999E-2"/>
          <c:y val="1.77369680055816E-2"/>
          <c:w val="0.83717088827751895"/>
          <c:h val="7.6624140336888302E-2"/>
        </c:manualLayout>
      </c:layout>
      <c:overlay val="0"/>
      <c:txPr>
        <a:bodyPr/>
        <a:lstStyle/>
        <a:p>
          <a:pPr>
            <a:defRPr lang="de-DE" sz="1000">
              <a:latin typeface="Arial"/>
              <a:cs typeface="Arial"/>
            </a:defRPr>
          </a:pPr>
          <a:endParaRPr lang="fr-FR"/>
        </a:p>
      </c:txPr>
    </c:legend>
    <c:plotVisOnly val="1"/>
    <c:dispBlanksAs val="gap"/>
    <c:showDLblsOverMax val="0"/>
  </c:chart>
  <c:spPr>
    <a:noFill/>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803054452030399"/>
          <c:y val="0.15581698013136999"/>
          <c:w val="0.92837341191246803"/>
          <c:h val="0.70420056301252498"/>
        </c:manualLayout>
      </c:layout>
      <c:barChart>
        <c:barDir val="col"/>
        <c:grouping val="clustered"/>
        <c:varyColors val="0"/>
        <c:ser>
          <c:idx val="0"/>
          <c:order val="0"/>
          <c:tx>
            <c:strRef>
              <c:f>Summary!$B$80</c:f>
              <c:strCache>
                <c:ptCount val="1"/>
                <c:pt idx="0">
                  <c:v>EBITDA</c:v>
                </c:pt>
              </c:strCache>
            </c:strRef>
          </c:tx>
          <c:spPr>
            <a:solidFill>
              <a:srgbClr val="98C51E"/>
            </a:solidFill>
            <a:ln>
              <a:noFill/>
            </a:ln>
            <a:effectLst/>
          </c:spPr>
          <c:invertIfNegative val="0"/>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Summary!$G$80:$P$80</c:f>
              <c:numCache>
                <c:formatCode>#,##0_);\(#,##0\)</c:formatCode>
                <c:ptCount val="10"/>
                <c:pt idx="0">
                  <c:v>676202.99000000022</c:v>
                </c:pt>
                <c:pt idx="1">
                  <c:v>816245</c:v>
                </c:pt>
                <c:pt idx="2">
                  <c:v>1014033.8999999999</c:v>
                </c:pt>
                <c:pt idx="3">
                  <c:v>1245940.6299999999</c:v>
                </c:pt>
                <c:pt idx="4">
                  <c:v>1298757.8560000001</c:v>
                </c:pt>
                <c:pt idx="5">
                  <c:v>1363695.7488000002</c:v>
                </c:pt>
                <c:pt idx="6">
                  <c:v>1431880.5362400003</c:v>
                </c:pt>
                <c:pt idx="7">
                  <c:v>1460518.1469648005</c:v>
                </c:pt>
                <c:pt idx="8">
                  <c:v>1489728.5099040959</c:v>
                </c:pt>
                <c:pt idx="9">
                  <c:v>1519523.0801021783</c:v>
                </c:pt>
              </c:numCache>
            </c:numRef>
          </c:val>
          <c:extLst>
            <c:ext xmlns:c16="http://schemas.microsoft.com/office/drawing/2014/chart" uri="{C3380CC4-5D6E-409C-BE32-E72D297353CC}">
              <c16:uniqueId val="{00000000-A5A9-DE4A-9D62-499BA06B0766}"/>
            </c:ext>
          </c:extLst>
        </c:ser>
        <c:ser>
          <c:idx val="1"/>
          <c:order val="1"/>
          <c:tx>
            <c:strRef>
              <c:f>Summary!$B$99</c:f>
              <c:strCache>
                <c:ptCount val="1"/>
                <c:pt idx="0">
                  <c:v>CAPEX</c:v>
                </c:pt>
              </c:strCache>
            </c:strRef>
          </c:tx>
          <c:spPr>
            <a:solidFill>
              <a:srgbClr val="217B5D"/>
            </a:solidFill>
            <a:ln>
              <a:noFill/>
            </a:ln>
            <a:effectLst/>
          </c:spPr>
          <c:invertIfNegative val="0"/>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Summary!$G$99:$P$99</c:f>
              <c:numCache>
                <c:formatCode>#,##0_);\(#,##0\)</c:formatCode>
                <c:ptCount val="10"/>
                <c:pt idx="0">
                  <c:v>700000</c:v>
                </c:pt>
                <c:pt idx="1">
                  <c:v>600000</c:v>
                </c:pt>
                <c:pt idx="2">
                  <c:v>1500000</c:v>
                </c:pt>
                <c:pt idx="3">
                  <c:v>400000</c:v>
                </c:pt>
                <c:pt idx="4">
                  <c:v>400000</c:v>
                </c:pt>
                <c:pt idx="5">
                  <c:v>400000</c:v>
                </c:pt>
                <c:pt idx="6">
                  <c:v>800000</c:v>
                </c:pt>
                <c:pt idx="7">
                  <c:v>800000</c:v>
                </c:pt>
                <c:pt idx="8">
                  <c:v>800000</c:v>
                </c:pt>
                <c:pt idx="9">
                  <c:v>800000</c:v>
                </c:pt>
              </c:numCache>
            </c:numRef>
          </c:val>
          <c:extLst>
            <c:ext xmlns:c16="http://schemas.microsoft.com/office/drawing/2014/chart" uri="{C3380CC4-5D6E-409C-BE32-E72D297353CC}">
              <c16:uniqueId val="{00000001-A5A9-DE4A-9D62-499BA06B0766}"/>
            </c:ext>
          </c:extLst>
        </c:ser>
        <c:ser>
          <c:idx val="2"/>
          <c:order val="2"/>
          <c:tx>
            <c:strRef>
              <c:f>Summary!$B$100</c:f>
              <c:strCache>
                <c:ptCount val="1"/>
                <c:pt idx="0">
                  <c:v>Change in NWC</c:v>
                </c:pt>
              </c:strCache>
            </c:strRef>
          </c:tx>
          <c:spPr>
            <a:solidFill>
              <a:srgbClr val="094A51"/>
            </a:solidFill>
            <a:ln>
              <a:noFill/>
            </a:ln>
            <a:effectLst/>
          </c:spPr>
          <c:invertIfNegative val="0"/>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Summary!$G$100:$P$100</c:f>
              <c:numCache>
                <c:formatCode>#,##0_);\(#,##0\)</c:formatCode>
                <c:ptCount val="10"/>
                <c:pt idx="0">
                  <c:v>0</c:v>
                </c:pt>
                <c:pt idx="1">
                  <c:v>204422.27534246584</c:v>
                </c:pt>
                <c:pt idx="2">
                  <c:v>93123.803013698795</c:v>
                </c:pt>
                <c:pt idx="3">
                  <c:v>102704.34086301381</c:v>
                </c:pt>
                <c:pt idx="4">
                  <c:v>55012.520960958936</c:v>
                </c:pt>
                <c:pt idx="5">
                  <c:v>57763.147009007087</c:v>
                </c:pt>
                <c:pt idx="6">
                  <c:v>24260.521743782767</c:v>
                </c:pt>
                <c:pt idx="7">
                  <c:v>24745.732178658618</c:v>
                </c:pt>
                <c:pt idx="8">
                  <c:v>25240.646822231814</c:v>
                </c:pt>
                <c:pt idx="9">
                  <c:v>25745.459758676603</c:v>
                </c:pt>
              </c:numCache>
            </c:numRef>
          </c:val>
          <c:extLst>
            <c:ext xmlns:c16="http://schemas.microsoft.com/office/drawing/2014/chart" uri="{C3380CC4-5D6E-409C-BE32-E72D297353CC}">
              <c16:uniqueId val="{00000002-A5A9-DE4A-9D62-499BA06B0766}"/>
            </c:ext>
          </c:extLst>
        </c:ser>
        <c:dLbls>
          <c:showLegendKey val="0"/>
          <c:showVal val="0"/>
          <c:showCatName val="0"/>
          <c:showSerName val="0"/>
          <c:showPercent val="0"/>
          <c:showBubbleSize val="0"/>
        </c:dLbls>
        <c:gapWidth val="150"/>
        <c:axId val="528072920"/>
        <c:axId val="528092904"/>
      </c:barChart>
      <c:lineChart>
        <c:grouping val="standard"/>
        <c:varyColors val="0"/>
        <c:ser>
          <c:idx val="4"/>
          <c:order val="4"/>
          <c:tx>
            <c:strRef>
              <c:f>Summary!$B$98</c:f>
              <c:strCache>
                <c:ptCount val="1"/>
                <c:pt idx="0">
                  <c:v>Cash</c:v>
                </c:pt>
              </c:strCache>
            </c:strRef>
          </c:tx>
          <c:spPr>
            <a:ln>
              <a:solidFill>
                <a:schemeClr val="bg1">
                  <a:lumMod val="85000"/>
                </a:schemeClr>
              </a:solidFill>
            </a:ln>
          </c:spPr>
          <c:marker>
            <c:symbol val="none"/>
          </c:marker>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Summary!$G$98:$P$98</c:f>
              <c:numCache>
                <c:formatCode>#,##0_);\(#,##0\)</c:formatCode>
                <c:ptCount val="10"/>
                <c:pt idx="0">
                  <c:v>384202.99</c:v>
                </c:pt>
                <c:pt idx="1">
                  <c:v>1836447.99</c:v>
                </c:pt>
                <c:pt idx="2">
                  <c:v>142225.92715753405</c:v>
                </c:pt>
                <c:pt idx="3">
                  <c:v>-445579.90335616493</c:v>
                </c:pt>
                <c:pt idx="4">
                  <c:v>-438540.85221917904</c:v>
                </c:pt>
                <c:pt idx="5">
                  <c:v>-407856.56158013758</c:v>
                </c:pt>
                <c:pt idx="6">
                  <c:v>-400190.55640914431</c:v>
                </c:pt>
                <c:pt idx="7">
                  <c:v>12237.532070673304</c:v>
                </c:pt>
                <c:pt idx="8">
                  <c:v>275796.24110605079</c:v>
                </c:pt>
                <c:pt idx="9">
                  <c:v>600032.99932213582</c:v>
                </c:pt>
              </c:numCache>
            </c:numRef>
          </c:val>
          <c:smooth val="0"/>
          <c:extLst>
            <c:ext xmlns:c16="http://schemas.microsoft.com/office/drawing/2014/chart" uri="{C3380CC4-5D6E-409C-BE32-E72D297353CC}">
              <c16:uniqueId val="{00000003-A5A9-DE4A-9D62-499BA06B0766}"/>
            </c:ext>
          </c:extLst>
        </c:ser>
        <c:dLbls>
          <c:showLegendKey val="0"/>
          <c:showVal val="0"/>
          <c:showCatName val="0"/>
          <c:showSerName val="0"/>
          <c:showPercent val="0"/>
          <c:showBubbleSize val="0"/>
        </c:dLbls>
        <c:marker val="1"/>
        <c:smooth val="0"/>
        <c:axId val="528072920"/>
        <c:axId val="528092904"/>
      </c:lineChart>
      <c:lineChart>
        <c:grouping val="standard"/>
        <c:varyColors val="0"/>
        <c:ser>
          <c:idx val="3"/>
          <c:order val="3"/>
          <c:tx>
            <c:strRef>
              <c:f>Summary!$B$96</c:f>
              <c:strCache>
                <c:ptCount val="1"/>
                <c:pt idx="0">
                  <c:v>Financial Debt / EBITDA</c:v>
                </c:pt>
              </c:strCache>
            </c:strRef>
          </c:tx>
          <c:spPr>
            <a:ln>
              <a:solidFill>
                <a:schemeClr val="bg1">
                  <a:lumMod val="50000"/>
                </a:schemeClr>
              </a:solidFill>
            </a:ln>
          </c:spPr>
          <c:marker>
            <c:symbol val="circle"/>
            <c:size val="5"/>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Summary!$G$67:$P$67</c:f>
              <c:numCache>
                <c:formatCode>0000\ \F</c:formatCode>
                <c:ptCount val="10"/>
                <c:pt idx="0" formatCode="0000\ \A">
                  <c:v>2019</c:v>
                </c:pt>
                <c:pt idx="1">
                  <c:v>2020</c:v>
                </c:pt>
                <c:pt idx="2">
                  <c:v>2021</c:v>
                </c:pt>
                <c:pt idx="3">
                  <c:v>2022</c:v>
                </c:pt>
                <c:pt idx="4">
                  <c:v>2023</c:v>
                </c:pt>
                <c:pt idx="5">
                  <c:v>2024</c:v>
                </c:pt>
                <c:pt idx="6">
                  <c:v>2025</c:v>
                </c:pt>
                <c:pt idx="7">
                  <c:v>2026</c:v>
                </c:pt>
                <c:pt idx="8">
                  <c:v>2027</c:v>
                </c:pt>
                <c:pt idx="9">
                  <c:v>2028</c:v>
                </c:pt>
              </c:numCache>
            </c:numRef>
          </c:cat>
          <c:val>
            <c:numRef>
              <c:f>Summary!$G$96:$P$96</c:f>
              <c:numCache>
                <c:formatCode>0.00\x</c:formatCode>
                <c:ptCount val="10"/>
                <c:pt idx="0">
                  <c:v>2.9576917428300624</c:v>
                </c:pt>
                <c:pt idx="1">
                  <c:v>4.1654160209250897</c:v>
                </c:pt>
                <c:pt idx="2">
                  <c:v>2.7513873056906681</c:v>
                </c:pt>
                <c:pt idx="3">
                  <c:v>1.3523918872442584</c:v>
                </c:pt>
                <c:pt idx="4">
                  <c:v>0.85081294784483663</c:v>
                </c:pt>
                <c:pt idx="5">
                  <c:v>0.31165309444865813</c:v>
                </c:pt>
                <c:pt idx="6">
                  <c:v>3.4919114223939285E-2</c:v>
                </c:pt>
                <c:pt idx="7">
                  <c:v>0</c:v>
                </c:pt>
                <c:pt idx="8">
                  <c:v>0</c:v>
                </c:pt>
                <c:pt idx="9">
                  <c:v>0</c:v>
                </c:pt>
              </c:numCache>
            </c:numRef>
          </c:val>
          <c:smooth val="0"/>
          <c:extLst>
            <c:ext xmlns:c16="http://schemas.microsoft.com/office/drawing/2014/chart" uri="{C3380CC4-5D6E-409C-BE32-E72D297353CC}">
              <c16:uniqueId val="{00000004-A5A9-DE4A-9D62-499BA06B0766}"/>
            </c:ext>
          </c:extLst>
        </c:ser>
        <c:dLbls>
          <c:showLegendKey val="0"/>
          <c:showVal val="0"/>
          <c:showCatName val="0"/>
          <c:showSerName val="0"/>
          <c:showPercent val="0"/>
          <c:showBubbleSize val="0"/>
        </c:dLbls>
        <c:marker val="1"/>
        <c:smooth val="0"/>
        <c:axId val="527821512"/>
        <c:axId val="524501304"/>
      </c:lineChart>
      <c:catAx>
        <c:axId val="528072920"/>
        <c:scaling>
          <c:orientation val="minMax"/>
        </c:scaling>
        <c:delete val="0"/>
        <c:axPos val="b"/>
        <c:numFmt formatCode="0000\ \A" sourceLinked="1"/>
        <c:majorTickMark val="none"/>
        <c:minorTickMark val="none"/>
        <c:tickLblPos val="nextTo"/>
        <c:txPr>
          <a:bodyPr/>
          <a:lstStyle/>
          <a:p>
            <a:pPr>
              <a:defRPr lang="de-DE" sz="1000">
                <a:latin typeface="Arial"/>
                <a:cs typeface="Arial"/>
              </a:defRPr>
            </a:pPr>
            <a:endParaRPr lang="fr-FR"/>
          </a:p>
        </c:txPr>
        <c:crossAx val="528092904"/>
        <c:crosses val="autoZero"/>
        <c:auto val="1"/>
        <c:lblAlgn val="ctr"/>
        <c:lblOffset val="100"/>
        <c:noMultiLvlLbl val="0"/>
      </c:catAx>
      <c:valAx>
        <c:axId val="528092904"/>
        <c:scaling>
          <c:orientation val="minMax"/>
        </c:scaling>
        <c:delete val="0"/>
        <c:axPos val="l"/>
        <c:majorGridlines>
          <c:spPr>
            <a:ln>
              <a:noFill/>
            </a:ln>
          </c:spPr>
        </c:majorGridlines>
        <c:numFmt formatCode="#\,##0_);\(#\,##0\)" sourceLinked="0"/>
        <c:majorTickMark val="out"/>
        <c:minorTickMark val="none"/>
        <c:tickLblPos val="nextTo"/>
        <c:spPr>
          <a:noFill/>
          <a:ln>
            <a:noFill/>
          </a:ln>
        </c:spPr>
        <c:txPr>
          <a:bodyPr/>
          <a:lstStyle/>
          <a:p>
            <a:pPr>
              <a:defRPr lang="de-DE" sz="1000">
                <a:latin typeface="Arial"/>
                <a:cs typeface="Arial"/>
              </a:defRPr>
            </a:pPr>
            <a:endParaRPr lang="fr-FR"/>
          </a:p>
        </c:txPr>
        <c:crossAx val="528072920"/>
        <c:crosses val="autoZero"/>
        <c:crossBetween val="between"/>
      </c:valAx>
      <c:valAx>
        <c:axId val="524501304"/>
        <c:scaling>
          <c:orientation val="minMax"/>
        </c:scaling>
        <c:delete val="0"/>
        <c:axPos val="r"/>
        <c:numFmt formatCode="0.00\x" sourceLinked="1"/>
        <c:majorTickMark val="out"/>
        <c:minorTickMark val="none"/>
        <c:tickLblPos val="nextTo"/>
        <c:crossAx val="527821512"/>
        <c:crosses val="max"/>
        <c:crossBetween val="between"/>
      </c:valAx>
      <c:catAx>
        <c:axId val="527821512"/>
        <c:scaling>
          <c:orientation val="minMax"/>
        </c:scaling>
        <c:delete val="1"/>
        <c:axPos val="b"/>
        <c:numFmt formatCode="0000\ \A" sourceLinked="1"/>
        <c:majorTickMark val="out"/>
        <c:minorTickMark val="none"/>
        <c:tickLblPos val="nextTo"/>
        <c:crossAx val="524501304"/>
        <c:crosses val="autoZero"/>
        <c:auto val="1"/>
        <c:lblAlgn val="ctr"/>
        <c:lblOffset val="100"/>
        <c:noMultiLvlLbl val="0"/>
      </c:catAx>
      <c:spPr>
        <a:noFill/>
      </c:spPr>
    </c:plotArea>
    <c:legend>
      <c:legendPos val="r"/>
      <c:layout>
        <c:manualLayout>
          <c:xMode val="edge"/>
          <c:yMode val="edge"/>
          <c:x val="0.12805461094375706"/>
          <c:y val="2.1928540339492741E-3"/>
          <c:w val="0.76720969945416961"/>
          <c:h val="0.21943282464355507"/>
        </c:manualLayout>
      </c:layout>
      <c:overlay val="0"/>
      <c:txPr>
        <a:bodyPr/>
        <a:lstStyle/>
        <a:p>
          <a:pPr>
            <a:defRPr lang="de-DE" sz="800">
              <a:latin typeface="Arial"/>
              <a:cs typeface="Arial"/>
            </a:defRPr>
          </a:pPr>
          <a:endParaRPr lang="fr-FR"/>
        </a:p>
      </c:txPr>
    </c:legend>
    <c:plotVisOnly val="1"/>
    <c:dispBlanksAs val="gap"/>
    <c:showDLblsOverMax val="0"/>
  </c:chart>
  <c:spPr>
    <a:noFill/>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428719436386199"/>
          <c:y val="3.8869257950529999E-2"/>
          <c:w val="0.78915735917625696"/>
          <c:h val="0.81566462525517602"/>
        </c:manualLayout>
      </c:layout>
      <c:barChart>
        <c:barDir val="col"/>
        <c:grouping val="stacked"/>
        <c:varyColors val="0"/>
        <c:ser>
          <c:idx val="0"/>
          <c:order val="0"/>
          <c:spPr>
            <a:solidFill>
              <a:srgbClr val="98C51E"/>
            </a:solidFill>
            <a:ln>
              <a:noFill/>
            </a:ln>
            <a:effectLst/>
          </c:spPr>
          <c:invertIfNegative val="0"/>
          <c:dPt>
            <c:idx val="1"/>
            <c:invertIfNegative val="0"/>
            <c:bubble3D val="0"/>
            <c:spPr>
              <a:noFill/>
              <a:ln>
                <a:noFill/>
              </a:ln>
              <a:effectLst/>
            </c:spPr>
            <c:extLst>
              <c:ext xmlns:c16="http://schemas.microsoft.com/office/drawing/2014/chart" uri="{C3380CC4-5D6E-409C-BE32-E72D297353CC}">
                <c16:uniqueId val="{00000000-7182-F746-9215-94820FF00D96}"/>
              </c:ext>
            </c:extLst>
          </c:dPt>
          <c:dPt>
            <c:idx val="2"/>
            <c:invertIfNegative val="0"/>
            <c:bubble3D val="0"/>
            <c:spPr>
              <a:noFill/>
              <a:ln>
                <a:noFill/>
              </a:ln>
              <a:effectLst/>
            </c:spPr>
            <c:extLst>
              <c:ext xmlns:c16="http://schemas.microsoft.com/office/drawing/2014/chart" uri="{C3380CC4-5D6E-409C-BE32-E72D297353CC}">
                <c16:uniqueId val="{00000001-7182-F746-9215-94820FF00D96}"/>
              </c:ext>
            </c:extLst>
          </c:dPt>
          <c:dLbls>
            <c:dLbl>
              <c:idx val="1"/>
              <c:delete val="1"/>
              <c:extLst>
                <c:ext xmlns:c15="http://schemas.microsoft.com/office/drawing/2012/chart" uri="{CE6537A1-D6FC-4f65-9D91-7224C49458BB}"/>
                <c:ext xmlns:c16="http://schemas.microsoft.com/office/drawing/2014/chart" uri="{C3380CC4-5D6E-409C-BE32-E72D297353CC}">
                  <c16:uniqueId val="{00000000-7182-F746-9215-94820FF00D96}"/>
                </c:ext>
              </c:extLst>
            </c:dLbl>
            <c:dLbl>
              <c:idx val="2"/>
              <c:delete val="1"/>
              <c:extLst>
                <c:ext xmlns:c15="http://schemas.microsoft.com/office/drawing/2012/chart" uri="{CE6537A1-D6FC-4f65-9D91-7224C49458BB}"/>
                <c:ext xmlns:c16="http://schemas.microsoft.com/office/drawing/2014/chart" uri="{C3380CC4-5D6E-409C-BE32-E72D297353CC}">
                  <c16:uniqueId val="{00000001-7182-F746-9215-94820FF00D96}"/>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Summary!$B$187:$B$190</c:f>
              <c:strCache>
                <c:ptCount val="4"/>
                <c:pt idx="0">
                  <c:v>EBITDA 2020</c:v>
                </c:pt>
                <c:pt idx="1">
                  <c:v>Growth</c:v>
                </c:pt>
                <c:pt idx="2">
                  <c:v>Profit Margin</c:v>
                </c:pt>
                <c:pt idx="3">
                  <c:v>EBITDA 2022</c:v>
                </c:pt>
              </c:strCache>
            </c:strRef>
          </c:cat>
          <c:val>
            <c:numRef>
              <c:f>Summary!$F$187:$F$190</c:f>
              <c:numCache>
                <c:formatCode>#,##0_);\(#,##0\)</c:formatCode>
                <c:ptCount val="4"/>
                <c:pt idx="0">
                  <c:v>676202.99000000022</c:v>
                </c:pt>
                <c:pt idx="1">
                  <c:v>676202.99000000022</c:v>
                </c:pt>
                <c:pt idx="2">
                  <c:v>786513.19227731135</c:v>
                </c:pt>
                <c:pt idx="3">
                  <c:v>1245940.6299999999</c:v>
                </c:pt>
              </c:numCache>
            </c:numRef>
          </c:val>
          <c:extLst>
            <c:ext xmlns:c16="http://schemas.microsoft.com/office/drawing/2014/chart" uri="{C3380CC4-5D6E-409C-BE32-E72D297353CC}">
              <c16:uniqueId val="{00000002-7182-F746-9215-94820FF00D96}"/>
            </c:ext>
          </c:extLst>
        </c:ser>
        <c:ser>
          <c:idx val="1"/>
          <c:order val="1"/>
          <c:spPr>
            <a:solidFill>
              <a:srgbClr val="3AAE65"/>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Summary!$B$187:$B$190</c:f>
              <c:strCache>
                <c:ptCount val="4"/>
                <c:pt idx="0">
                  <c:v>EBITDA 2020</c:v>
                </c:pt>
                <c:pt idx="1">
                  <c:v>Growth</c:v>
                </c:pt>
                <c:pt idx="2">
                  <c:v>Profit Margin</c:v>
                </c:pt>
                <c:pt idx="3">
                  <c:v>EBITDA 2022</c:v>
                </c:pt>
              </c:strCache>
            </c:strRef>
          </c:cat>
          <c:val>
            <c:numRef>
              <c:f>Summary!$G$187:$G$190</c:f>
              <c:numCache>
                <c:formatCode>#,##0_);\(#,##0\)</c:formatCode>
                <c:ptCount val="4"/>
                <c:pt idx="1">
                  <c:v>110310.20227731112</c:v>
                </c:pt>
                <c:pt idx="2">
                  <c:v>459427.43772268854</c:v>
                </c:pt>
              </c:numCache>
            </c:numRef>
          </c:val>
          <c:extLst>
            <c:ext xmlns:c16="http://schemas.microsoft.com/office/drawing/2014/chart" uri="{C3380CC4-5D6E-409C-BE32-E72D297353CC}">
              <c16:uniqueId val="{00000003-7182-F746-9215-94820FF00D96}"/>
            </c:ext>
          </c:extLst>
        </c:ser>
        <c:dLbls>
          <c:showLegendKey val="0"/>
          <c:showVal val="0"/>
          <c:showCatName val="0"/>
          <c:showSerName val="0"/>
          <c:showPercent val="0"/>
          <c:showBubbleSize val="0"/>
        </c:dLbls>
        <c:gapWidth val="150"/>
        <c:overlap val="100"/>
        <c:axId val="552979736"/>
        <c:axId val="563538040"/>
      </c:barChart>
      <c:catAx>
        <c:axId val="552979736"/>
        <c:scaling>
          <c:orientation val="minMax"/>
        </c:scaling>
        <c:delete val="0"/>
        <c:axPos val="b"/>
        <c:numFmt formatCode="General" sourceLinked="0"/>
        <c:majorTickMark val="none"/>
        <c:minorTickMark val="none"/>
        <c:tickLblPos val="nextTo"/>
        <c:txPr>
          <a:bodyPr/>
          <a:lstStyle/>
          <a:p>
            <a:pPr>
              <a:defRPr>
                <a:solidFill>
                  <a:schemeClr val="tx1"/>
                </a:solidFill>
              </a:defRPr>
            </a:pPr>
            <a:endParaRPr lang="fr-FR"/>
          </a:p>
        </c:txPr>
        <c:crossAx val="563538040"/>
        <c:crosses val="autoZero"/>
        <c:auto val="1"/>
        <c:lblAlgn val="ctr"/>
        <c:lblOffset val="100"/>
        <c:noMultiLvlLbl val="0"/>
      </c:catAx>
      <c:valAx>
        <c:axId val="563538040"/>
        <c:scaling>
          <c:orientation val="minMax"/>
        </c:scaling>
        <c:delete val="0"/>
        <c:axPos val="l"/>
        <c:majorGridlines>
          <c:spPr>
            <a:ln>
              <a:noFill/>
            </a:ln>
          </c:spPr>
        </c:majorGridlines>
        <c:numFmt formatCode="#,##0_);\(#,##0\)" sourceLinked="1"/>
        <c:majorTickMark val="out"/>
        <c:minorTickMark val="none"/>
        <c:tickLblPos val="nextTo"/>
        <c:spPr>
          <a:noFill/>
          <a:ln>
            <a:noFill/>
          </a:ln>
        </c:spPr>
        <c:txPr>
          <a:bodyPr/>
          <a:lstStyle/>
          <a:p>
            <a:pPr>
              <a:defRPr>
                <a:latin typeface="Arial"/>
                <a:cs typeface="Arial"/>
              </a:defRPr>
            </a:pPr>
            <a:endParaRPr lang="fr-FR"/>
          </a:p>
        </c:txPr>
        <c:crossAx val="552979736"/>
        <c:crosses val="autoZero"/>
        <c:crossBetween val="between"/>
      </c:valAx>
    </c:plotArea>
    <c:plotVisOnly val="1"/>
    <c:dispBlanksAs val="gap"/>
    <c:showDLblsOverMax val="0"/>
  </c:chart>
  <c:spPr>
    <a:noFill/>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184073688902105E-2"/>
          <c:y val="3.3967114404816999E-2"/>
          <c:w val="0.89949517159411696"/>
          <c:h val="0.41370387525088798"/>
        </c:manualLayout>
      </c:layout>
      <c:barChart>
        <c:barDir val="bar"/>
        <c:grouping val="stacked"/>
        <c:varyColors val="0"/>
        <c:ser>
          <c:idx val="0"/>
          <c:order val="0"/>
          <c:tx>
            <c:strRef>
              <c:f>Summary!$L$188</c:f>
              <c:strCache>
                <c:ptCount val="1"/>
                <c:pt idx="0">
                  <c:v>Excess cash</c:v>
                </c:pt>
              </c:strCache>
            </c:strRef>
          </c:tx>
          <c:spPr>
            <a:solidFill>
              <a:schemeClr val="bg1">
                <a:lumMod val="95000"/>
              </a:schemeClr>
            </a:solidFill>
            <a:ln>
              <a:noFill/>
            </a:ln>
            <a:effectLst/>
          </c:spPr>
          <c:invertIfNegative val="0"/>
          <c:cat>
            <c:strRef>
              <c:f>Summary!$O$187:$P$187</c:f>
              <c:strCache>
                <c:ptCount val="2"/>
                <c:pt idx="0">
                  <c:v>Sources</c:v>
                </c:pt>
                <c:pt idx="1">
                  <c:v>Uses</c:v>
                </c:pt>
              </c:strCache>
            </c:strRef>
          </c:cat>
          <c:val>
            <c:numRef>
              <c:f>Summary!$O$188:$P$188</c:f>
              <c:numCache>
                <c:formatCode>#,##0_);\(#,##0\)</c:formatCode>
                <c:ptCount val="2"/>
                <c:pt idx="0">
                  <c:v>136447.99</c:v>
                </c:pt>
              </c:numCache>
            </c:numRef>
          </c:val>
          <c:extLst>
            <c:ext xmlns:c16="http://schemas.microsoft.com/office/drawing/2014/chart" uri="{C3380CC4-5D6E-409C-BE32-E72D297353CC}">
              <c16:uniqueId val="{00000000-F2B4-EE4F-A4A1-F0DC2ED817E7}"/>
            </c:ext>
          </c:extLst>
        </c:ser>
        <c:ser>
          <c:idx val="1"/>
          <c:order val="1"/>
          <c:tx>
            <c:strRef>
              <c:f>Summary!$L$189</c:f>
              <c:strCache>
                <c:ptCount val="1"/>
                <c:pt idx="0">
                  <c:v>Term Loan A</c:v>
                </c:pt>
              </c:strCache>
            </c:strRef>
          </c:tx>
          <c:spPr>
            <a:solidFill>
              <a:schemeClr val="bg1">
                <a:lumMod val="85000"/>
              </a:schemeClr>
            </a:solidFill>
            <a:ln>
              <a:noFill/>
            </a:ln>
            <a:effectLst/>
          </c:spPr>
          <c:invertIfNegative val="0"/>
          <c:cat>
            <c:strRef>
              <c:f>Summary!$O$187:$P$187</c:f>
              <c:strCache>
                <c:ptCount val="2"/>
                <c:pt idx="0">
                  <c:v>Sources</c:v>
                </c:pt>
                <c:pt idx="1">
                  <c:v>Uses</c:v>
                </c:pt>
              </c:strCache>
            </c:strRef>
          </c:cat>
          <c:val>
            <c:numRef>
              <c:f>Summary!$O$189:$P$189</c:f>
              <c:numCache>
                <c:formatCode>#,##0_);\(#,##0\)</c:formatCode>
                <c:ptCount val="2"/>
                <c:pt idx="0">
                  <c:v>1000000</c:v>
                </c:pt>
              </c:numCache>
            </c:numRef>
          </c:val>
          <c:extLst>
            <c:ext xmlns:c16="http://schemas.microsoft.com/office/drawing/2014/chart" uri="{C3380CC4-5D6E-409C-BE32-E72D297353CC}">
              <c16:uniqueId val="{00000001-F2B4-EE4F-A4A1-F0DC2ED817E7}"/>
            </c:ext>
          </c:extLst>
        </c:ser>
        <c:ser>
          <c:idx val="2"/>
          <c:order val="2"/>
          <c:tx>
            <c:strRef>
              <c:f>Summary!$L$190</c:f>
              <c:strCache>
                <c:ptCount val="1"/>
                <c:pt idx="0">
                  <c:v>Term Loan B</c:v>
                </c:pt>
              </c:strCache>
            </c:strRef>
          </c:tx>
          <c:spPr>
            <a:solidFill>
              <a:schemeClr val="bg1">
                <a:lumMod val="75000"/>
              </a:schemeClr>
            </a:solidFill>
            <a:ln>
              <a:noFill/>
            </a:ln>
            <a:effectLst/>
          </c:spPr>
          <c:invertIfNegative val="0"/>
          <c:cat>
            <c:strRef>
              <c:f>Summary!$O$187:$P$187</c:f>
              <c:strCache>
                <c:ptCount val="2"/>
                <c:pt idx="0">
                  <c:v>Sources</c:v>
                </c:pt>
                <c:pt idx="1">
                  <c:v>Uses</c:v>
                </c:pt>
              </c:strCache>
            </c:strRef>
          </c:cat>
          <c:val>
            <c:numRef>
              <c:f>Summary!$O$190:$P$190</c:f>
              <c:numCache>
                <c:formatCode>#,##0_);\(#,##0\)</c:formatCode>
                <c:ptCount val="2"/>
                <c:pt idx="0">
                  <c:v>1000000</c:v>
                </c:pt>
              </c:numCache>
            </c:numRef>
          </c:val>
          <c:extLst>
            <c:ext xmlns:c16="http://schemas.microsoft.com/office/drawing/2014/chart" uri="{C3380CC4-5D6E-409C-BE32-E72D297353CC}">
              <c16:uniqueId val="{00000002-F2B4-EE4F-A4A1-F0DC2ED817E7}"/>
            </c:ext>
          </c:extLst>
        </c:ser>
        <c:ser>
          <c:idx val="3"/>
          <c:order val="3"/>
          <c:tx>
            <c:strRef>
              <c:f>Summary!$L$191</c:f>
              <c:strCache>
                <c:ptCount val="1"/>
                <c:pt idx="0">
                  <c:v>Credit Facility</c:v>
                </c:pt>
              </c:strCache>
            </c:strRef>
          </c:tx>
          <c:spPr>
            <a:solidFill>
              <a:schemeClr val="bg1">
                <a:lumMod val="65000"/>
              </a:schemeClr>
            </a:solidFill>
            <a:ln>
              <a:noFill/>
            </a:ln>
            <a:effectLst/>
          </c:spPr>
          <c:invertIfNegative val="0"/>
          <c:cat>
            <c:strRef>
              <c:f>Summary!$O$187:$P$187</c:f>
              <c:strCache>
                <c:ptCount val="2"/>
                <c:pt idx="0">
                  <c:v>Sources</c:v>
                </c:pt>
                <c:pt idx="1">
                  <c:v>Uses</c:v>
                </c:pt>
              </c:strCache>
            </c:strRef>
          </c:cat>
          <c:val>
            <c:numRef>
              <c:f>Summary!$O$191:$P$191</c:f>
              <c:numCache>
                <c:formatCode>#,##0_);\(#,##0\)</c:formatCode>
                <c:ptCount val="2"/>
                <c:pt idx="0">
                  <c:v>500000</c:v>
                </c:pt>
              </c:numCache>
            </c:numRef>
          </c:val>
          <c:extLst>
            <c:ext xmlns:c16="http://schemas.microsoft.com/office/drawing/2014/chart" uri="{C3380CC4-5D6E-409C-BE32-E72D297353CC}">
              <c16:uniqueId val="{00000003-F2B4-EE4F-A4A1-F0DC2ED817E7}"/>
            </c:ext>
          </c:extLst>
        </c:ser>
        <c:ser>
          <c:idx val="4"/>
          <c:order val="4"/>
          <c:tx>
            <c:strRef>
              <c:f>Summary!$L$192</c:f>
              <c:strCache>
                <c:ptCount val="1"/>
                <c:pt idx="0">
                  <c:v>Mezzanine</c:v>
                </c:pt>
              </c:strCache>
            </c:strRef>
          </c:tx>
          <c:spPr>
            <a:solidFill>
              <a:schemeClr val="bg1">
                <a:lumMod val="50000"/>
              </a:schemeClr>
            </a:solidFill>
            <a:ln>
              <a:noFill/>
            </a:ln>
            <a:effectLst/>
          </c:spPr>
          <c:invertIfNegative val="0"/>
          <c:cat>
            <c:strRef>
              <c:f>Summary!$O$187:$P$187</c:f>
              <c:strCache>
                <c:ptCount val="2"/>
                <c:pt idx="0">
                  <c:v>Sources</c:v>
                </c:pt>
                <c:pt idx="1">
                  <c:v>Uses</c:v>
                </c:pt>
              </c:strCache>
            </c:strRef>
          </c:cat>
          <c:val>
            <c:numRef>
              <c:f>Summary!$O$192:$P$192</c:f>
              <c:numCache>
                <c:formatCode>#,##0_);\(#,##0\)</c:formatCode>
                <c:ptCount val="2"/>
                <c:pt idx="0">
                  <c:v>500000</c:v>
                </c:pt>
              </c:numCache>
            </c:numRef>
          </c:val>
          <c:extLst>
            <c:ext xmlns:c16="http://schemas.microsoft.com/office/drawing/2014/chart" uri="{C3380CC4-5D6E-409C-BE32-E72D297353CC}">
              <c16:uniqueId val="{00000004-F2B4-EE4F-A4A1-F0DC2ED817E7}"/>
            </c:ext>
          </c:extLst>
        </c:ser>
        <c:ser>
          <c:idx val="5"/>
          <c:order val="5"/>
          <c:tx>
            <c:strRef>
              <c:f>Summary!$L$193</c:f>
              <c:strCache>
                <c:ptCount val="1"/>
                <c:pt idx="0">
                  <c:v>Seller</c:v>
                </c:pt>
              </c:strCache>
            </c:strRef>
          </c:tx>
          <c:spPr>
            <a:solidFill>
              <a:srgbClr val="094A51"/>
            </a:solidFill>
            <a:ln>
              <a:noFill/>
            </a:ln>
            <a:effectLst/>
          </c:spPr>
          <c:invertIfNegative val="0"/>
          <c:cat>
            <c:strRef>
              <c:f>Summary!$O$187:$P$187</c:f>
              <c:strCache>
                <c:ptCount val="2"/>
                <c:pt idx="0">
                  <c:v>Sources</c:v>
                </c:pt>
                <c:pt idx="1">
                  <c:v>Uses</c:v>
                </c:pt>
              </c:strCache>
            </c:strRef>
          </c:cat>
          <c:val>
            <c:numRef>
              <c:f>Summary!$O$193:$P$193</c:f>
              <c:numCache>
                <c:formatCode>#,##0_);\(#,##0\)</c:formatCode>
                <c:ptCount val="2"/>
                <c:pt idx="0">
                  <c:v>400000</c:v>
                </c:pt>
              </c:numCache>
            </c:numRef>
          </c:val>
          <c:extLst>
            <c:ext xmlns:c16="http://schemas.microsoft.com/office/drawing/2014/chart" uri="{C3380CC4-5D6E-409C-BE32-E72D297353CC}">
              <c16:uniqueId val="{00000005-F2B4-EE4F-A4A1-F0DC2ED817E7}"/>
            </c:ext>
          </c:extLst>
        </c:ser>
        <c:ser>
          <c:idx val="6"/>
          <c:order val="6"/>
          <c:tx>
            <c:strRef>
              <c:f>Summary!$L$194</c:f>
              <c:strCache>
                <c:ptCount val="1"/>
                <c:pt idx="0">
                  <c:v>Equity (PE)</c:v>
                </c:pt>
              </c:strCache>
            </c:strRef>
          </c:tx>
          <c:spPr>
            <a:solidFill>
              <a:srgbClr val="0000FF"/>
            </a:solidFill>
            <a:ln>
              <a:noFill/>
            </a:ln>
            <a:effectLst/>
          </c:spPr>
          <c:invertIfNegative val="0"/>
          <c:cat>
            <c:strRef>
              <c:f>Summary!$O$187:$P$187</c:f>
              <c:strCache>
                <c:ptCount val="2"/>
                <c:pt idx="0">
                  <c:v>Sources</c:v>
                </c:pt>
                <c:pt idx="1">
                  <c:v>Uses</c:v>
                </c:pt>
              </c:strCache>
            </c:strRef>
          </c:cat>
          <c:val>
            <c:numRef>
              <c:f>Summary!$O$194:$P$194</c:f>
              <c:numCache>
                <c:formatCode>#,##0_);\(#,##0\)</c:formatCode>
                <c:ptCount val="2"/>
                <c:pt idx="0">
                  <c:v>1315085.4067500019</c:v>
                </c:pt>
              </c:numCache>
            </c:numRef>
          </c:val>
          <c:extLst>
            <c:ext xmlns:c16="http://schemas.microsoft.com/office/drawing/2014/chart" uri="{C3380CC4-5D6E-409C-BE32-E72D297353CC}">
              <c16:uniqueId val="{00000006-F2B4-EE4F-A4A1-F0DC2ED817E7}"/>
            </c:ext>
          </c:extLst>
        </c:ser>
        <c:ser>
          <c:idx val="7"/>
          <c:order val="7"/>
          <c:tx>
            <c:strRef>
              <c:f>Summary!$L$195</c:f>
              <c:strCache>
                <c:ptCount val="1"/>
                <c:pt idx="0">
                  <c:v>Equity (Management)</c:v>
                </c:pt>
              </c:strCache>
            </c:strRef>
          </c:tx>
          <c:spPr>
            <a:solidFill>
              <a:schemeClr val="tx1"/>
            </a:solidFill>
            <a:ln>
              <a:noFill/>
            </a:ln>
            <a:effectLst/>
          </c:spPr>
          <c:invertIfNegative val="0"/>
          <c:cat>
            <c:strRef>
              <c:f>Summary!$O$187:$P$187</c:f>
              <c:strCache>
                <c:ptCount val="2"/>
                <c:pt idx="0">
                  <c:v>Sources</c:v>
                </c:pt>
                <c:pt idx="1">
                  <c:v>Uses</c:v>
                </c:pt>
              </c:strCache>
            </c:strRef>
          </c:cat>
          <c:val>
            <c:numRef>
              <c:f>Summary!$O$195:$P$195</c:f>
              <c:numCache>
                <c:formatCode>#,##0_);\(#,##0\)</c:formatCode>
                <c:ptCount val="2"/>
                <c:pt idx="0">
                  <c:v>200000</c:v>
                </c:pt>
              </c:numCache>
            </c:numRef>
          </c:val>
          <c:extLst>
            <c:ext xmlns:c16="http://schemas.microsoft.com/office/drawing/2014/chart" uri="{C3380CC4-5D6E-409C-BE32-E72D297353CC}">
              <c16:uniqueId val="{00000007-F2B4-EE4F-A4A1-F0DC2ED817E7}"/>
            </c:ext>
          </c:extLst>
        </c:ser>
        <c:ser>
          <c:idx val="8"/>
          <c:order val="8"/>
          <c:tx>
            <c:strRef>
              <c:f>Summary!$L$196</c:f>
              <c:strCache>
                <c:ptCount val="1"/>
                <c:pt idx="0">
                  <c:v>Equity purchase price</c:v>
                </c:pt>
              </c:strCache>
            </c:strRef>
          </c:tx>
          <c:spPr>
            <a:solidFill>
              <a:srgbClr val="98C51E"/>
            </a:solidFill>
            <a:ln>
              <a:noFill/>
            </a:ln>
            <a:effectLst/>
          </c:spPr>
          <c:invertIfNegative val="0"/>
          <c:cat>
            <c:strRef>
              <c:f>Summary!$O$187:$P$187</c:f>
              <c:strCache>
                <c:ptCount val="2"/>
                <c:pt idx="0">
                  <c:v>Sources</c:v>
                </c:pt>
                <c:pt idx="1">
                  <c:v>Uses</c:v>
                </c:pt>
              </c:strCache>
            </c:strRef>
          </c:cat>
          <c:val>
            <c:numRef>
              <c:f>Summary!$O$196:$P$196</c:f>
              <c:numCache>
                <c:formatCode>#,##0_);\(#,##0\)</c:formatCode>
                <c:ptCount val="2"/>
                <c:pt idx="1">
                  <c:v>2631767.4250000017</c:v>
                </c:pt>
              </c:numCache>
            </c:numRef>
          </c:val>
          <c:extLst>
            <c:ext xmlns:c16="http://schemas.microsoft.com/office/drawing/2014/chart" uri="{C3380CC4-5D6E-409C-BE32-E72D297353CC}">
              <c16:uniqueId val="{00000008-F2B4-EE4F-A4A1-F0DC2ED817E7}"/>
            </c:ext>
          </c:extLst>
        </c:ser>
        <c:ser>
          <c:idx val="9"/>
          <c:order val="9"/>
          <c:tx>
            <c:strRef>
              <c:f>Summary!$L$197</c:f>
              <c:strCache>
                <c:ptCount val="1"/>
                <c:pt idx="0">
                  <c:v>Financial Debt</c:v>
                </c:pt>
              </c:strCache>
            </c:strRef>
          </c:tx>
          <c:spPr>
            <a:solidFill>
              <a:srgbClr val="3AAE65"/>
            </a:solidFill>
            <a:ln>
              <a:noFill/>
            </a:ln>
            <a:effectLst/>
          </c:spPr>
          <c:invertIfNegative val="0"/>
          <c:cat>
            <c:strRef>
              <c:f>Summary!$O$187:$P$187</c:f>
              <c:strCache>
                <c:ptCount val="2"/>
                <c:pt idx="0">
                  <c:v>Sources</c:v>
                </c:pt>
                <c:pt idx="1">
                  <c:v>Uses</c:v>
                </c:pt>
              </c:strCache>
            </c:strRef>
          </c:cat>
          <c:val>
            <c:numRef>
              <c:f>Summary!$O$197:$P$197</c:f>
              <c:numCache>
                <c:formatCode>#,##0_);\(#,##0\)</c:formatCode>
                <c:ptCount val="2"/>
                <c:pt idx="1">
                  <c:v>2000000</c:v>
                </c:pt>
              </c:numCache>
            </c:numRef>
          </c:val>
          <c:extLst>
            <c:ext xmlns:c16="http://schemas.microsoft.com/office/drawing/2014/chart" uri="{C3380CC4-5D6E-409C-BE32-E72D297353CC}">
              <c16:uniqueId val="{00000009-F2B4-EE4F-A4A1-F0DC2ED817E7}"/>
            </c:ext>
          </c:extLst>
        </c:ser>
        <c:ser>
          <c:idx val="10"/>
          <c:order val="10"/>
          <c:tx>
            <c:strRef>
              <c:f>Summary!$L$199</c:f>
              <c:strCache>
                <c:ptCount val="1"/>
                <c:pt idx="0">
                  <c:v>Transaction costs</c:v>
                </c:pt>
              </c:strCache>
            </c:strRef>
          </c:tx>
          <c:spPr>
            <a:solidFill>
              <a:srgbClr val="217B5D"/>
            </a:solidFill>
            <a:ln>
              <a:noFill/>
            </a:ln>
            <a:effectLst/>
          </c:spPr>
          <c:invertIfNegative val="0"/>
          <c:cat>
            <c:strRef>
              <c:f>Summary!$O$187:$P$187</c:f>
              <c:strCache>
                <c:ptCount val="2"/>
                <c:pt idx="0">
                  <c:v>Sources</c:v>
                </c:pt>
                <c:pt idx="1">
                  <c:v>Uses</c:v>
                </c:pt>
              </c:strCache>
            </c:strRef>
          </c:cat>
          <c:val>
            <c:numRef>
              <c:f>Summary!$O$199:$P$199</c:f>
              <c:numCache>
                <c:formatCode>#,##0_);\(#,##0\)</c:formatCode>
                <c:ptCount val="2"/>
                <c:pt idx="1">
                  <c:v>219765.97175000008</c:v>
                </c:pt>
              </c:numCache>
            </c:numRef>
          </c:val>
          <c:extLst>
            <c:ext xmlns:c16="http://schemas.microsoft.com/office/drawing/2014/chart" uri="{C3380CC4-5D6E-409C-BE32-E72D297353CC}">
              <c16:uniqueId val="{0000000A-F2B4-EE4F-A4A1-F0DC2ED817E7}"/>
            </c:ext>
          </c:extLst>
        </c:ser>
        <c:ser>
          <c:idx val="12"/>
          <c:order val="11"/>
          <c:tx>
            <c:strRef>
              <c:f>Summary!$L$198</c:f>
              <c:strCache>
                <c:ptCount val="1"/>
                <c:pt idx="0">
                  <c:v>Equity injection</c:v>
                </c:pt>
              </c:strCache>
            </c:strRef>
          </c:tx>
          <c:spPr>
            <a:solidFill>
              <a:schemeClr val="tx1"/>
            </a:solidFill>
            <a:ln>
              <a:noFill/>
            </a:ln>
            <a:effectLst/>
          </c:spPr>
          <c:invertIfNegative val="0"/>
          <c:cat>
            <c:strRef>
              <c:f>Summary!$O$187:$P$187</c:f>
              <c:strCache>
                <c:ptCount val="2"/>
                <c:pt idx="0">
                  <c:v>Sources</c:v>
                </c:pt>
                <c:pt idx="1">
                  <c:v>Uses</c:v>
                </c:pt>
              </c:strCache>
            </c:strRef>
          </c:cat>
          <c:val>
            <c:numRef>
              <c:f>Summary!$O$198:$P$198</c:f>
              <c:numCache>
                <c:formatCode>#,##0_);\(#,##0\)</c:formatCode>
                <c:ptCount val="2"/>
                <c:pt idx="1">
                  <c:v>200000</c:v>
                </c:pt>
              </c:numCache>
            </c:numRef>
          </c:val>
          <c:extLst>
            <c:ext xmlns:c16="http://schemas.microsoft.com/office/drawing/2014/chart" uri="{C3380CC4-5D6E-409C-BE32-E72D297353CC}">
              <c16:uniqueId val="{0000000B-F2B4-EE4F-A4A1-F0DC2ED817E7}"/>
            </c:ext>
          </c:extLst>
        </c:ser>
        <c:dLbls>
          <c:showLegendKey val="0"/>
          <c:showVal val="0"/>
          <c:showCatName val="0"/>
          <c:showSerName val="0"/>
          <c:showPercent val="0"/>
          <c:showBubbleSize val="0"/>
        </c:dLbls>
        <c:gapWidth val="150"/>
        <c:overlap val="100"/>
        <c:axId val="553225064"/>
        <c:axId val="122662040"/>
      </c:barChart>
      <c:catAx>
        <c:axId val="553225064"/>
        <c:scaling>
          <c:orientation val="minMax"/>
        </c:scaling>
        <c:delete val="0"/>
        <c:axPos val="l"/>
        <c:numFmt formatCode="General" sourceLinked="0"/>
        <c:majorTickMark val="none"/>
        <c:minorTickMark val="none"/>
        <c:tickLblPos val="nextTo"/>
        <c:txPr>
          <a:bodyPr/>
          <a:lstStyle/>
          <a:p>
            <a:pPr>
              <a:defRPr>
                <a:solidFill>
                  <a:schemeClr val="tx1"/>
                </a:solidFill>
              </a:defRPr>
            </a:pPr>
            <a:endParaRPr lang="fr-FR"/>
          </a:p>
        </c:txPr>
        <c:crossAx val="122662040"/>
        <c:crosses val="autoZero"/>
        <c:auto val="1"/>
        <c:lblAlgn val="ctr"/>
        <c:lblOffset val="100"/>
        <c:noMultiLvlLbl val="0"/>
      </c:catAx>
      <c:valAx>
        <c:axId val="122662040"/>
        <c:scaling>
          <c:orientation val="minMax"/>
        </c:scaling>
        <c:delete val="0"/>
        <c:axPos val="b"/>
        <c:majorGridlines>
          <c:spPr>
            <a:ln>
              <a:noFill/>
            </a:ln>
          </c:spPr>
        </c:majorGridlines>
        <c:numFmt formatCode="#\,##0_);\(#\,##0\)" sourceLinked="0"/>
        <c:majorTickMark val="out"/>
        <c:minorTickMark val="none"/>
        <c:tickLblPos val="nextTo"/>
        <c:spPr>
          <a:noFill/>
          <a:ln>
            <a:noFill/>
          </a:ln>
        </c:spPr>
        <c:txPr>
          <a:bodyPr rot="-5400000" vert="horz"/>
          <a:lstStyle/>
          <a:p>
            <a:pPr>
              <a:defRPr>
                <a:latin typeface="Arial"/>
                <a:cs typeface="Arial"/>
              </a:defRPr>
            </a:pPr>
            <a:endParaRPr lang="fr-FR"/>
          </a:p>
        </c:txPr>
        <c:crossAx val="553225064"/>
        <c:crosses val="autoZero"/>
        <c:crossBetween val="between"/>
      </c:valAx>
    </c:plotArea>
    <c:legend>
      <c:legendPos val="t"/>
      <c:layout>
        <c:manualLayout>
          <c:xMode val="edge"/>
          <c:yMode val="edge"/>
          <c:x val="5.9132372604367902E-3"/>
          <c:y val="0.75"/>
          <c:w val="0.98515584608527695"/>
          <c:h val="0.249987648602748"/>
        </c:manualLayout>
      </c:layout>
      <c:overlay val="0"/>
    </c:legend>
    <c:plotVisOnly val="1"/>
    <c:dispBlanksAs val="gap"/>
    <c:showDLblsOverMax val="0"/>
  </c:chart>
  <c:spPr>
    <a:noFill/>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428719436386199"/>
          <c:y val="3.8869257950529999E-2"/>
          <c:w val="0.78915735917625696"/>
          <c:h val="0.81566462525517602"/>
        </c:manualLayout>
      </c:layout>
      <c:barChart>
        <c:barDir val="col"/>
        <c:grouping val="clustered"/>
        <c:varyColors val="0"/>
        <c:ser>
          <c:idx val="0"/>
          <c:order val="0"/>
          <c:tx>
            <c:strRef>
              <c:f>Summary!$B$194</c:f>
              <c:strCache>
                <c:ptCount val="1"/>
                <c:pt idx="0">
                  <c:v>Entry</c:v>
                </c:pt>
              </c:strCache>
            </c:strRef>
          </c:tx>
          <c:spPr>
            <a:solidFill>
              <a:srgbClr val="3AAE65"/>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Summary!$F$193:$G$193</c:f>
              <c:strCache>
                <c:ptCount val="2"/>
                <c:pt idx="0">
                  <c:v>Enterprise Value</c:v>
                </c:pt>
                <c:pt idx="1">
                  <c:v>Equity Value</c:v>
                </c:pt>
              </c:strCache>
            </c:strRef>
          </c:cat>
          <c:val>
            <c:numRef>
              <c:f>Summary!$F$194:$G$194</c:f>
              <c:numCache>
                <c:formatCode>#,##0_);\(#,##0\)</c:formatCode>
                <c:ptCount val="2"/>
                <c:pt idx="0">
                  <c:v>4395319.4350000015</c:v>
                </c:pt>
                <c:pt idx="1">
                  <c:v>2631767.4250000017</c:v>
                </c:pt>
              </c:numCache>
            </c:numRef>
          </c:val>
          <c:extLst>
            <c:ext xmlns:c16="http://schemas.microsoft.com/office/drawing/2014/chart" uri="{C3380CC4-5D6E-409C-BE32-E72D297353CC}">
              <c16:uniqueId val="{00000000-EC13-8248-B3E8-7815F5972C68}"/>
            </c:ext>
          </c:extLst>
        </c:ser>
        <c:ser>
          <c:idx val="1"/>
          <c:order val="1"/>
          <c:tx>
            <c:strRef>
              <c:f>Summary!$B$195</c:f>
              <c:strCache>
                <c:ptCount val="1"/>
                <c:pt idx="0">
                  <c:v>Exit</c:v>
                </c:pt>
              </c:strCache>
            </c:strRef>
          </c:tx>
          <c:spPr>
            <a:solidFill>
              <a:srgbClr val="217B5D"/>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Summary!$F$193:$G$193</c:f>
              <c:strCache>
                <c:ptCount val="2"/>
                <c:pt idx="0">
                  <c:v>Enterprise Value</c:v>
                </c:pt>
                <c:pt idx="1">
                  <c:v>Equity Value</c:v>
                </c:pt>
              </c:strCache>
            </c:strRef>
          </c:cat>
          <c:val>
            <c:numRef>
              <c:f>Summary!$F$195:$G$195</c:f>
              <c:numCache>
                <c:formatCode>#,##0_);\(#,##0\)</c:formatCode>
                <c:ptCount val="2"/>
                <c:pt idx="0">
                  <c:v>8098614.0949999988</c:v>
                </c:pt>
                <c:pt idx="1">
                  <c:v>5968034.1916438341</c:v>
                </c:pt>
              </c:numCache>
            </c:numRef>
          </c:val>
          <c:extLst>
            <c:ext xmlns:c16="http://schemas.microsoft.com/office/drawing/2014/chart" uri="{C3380CC4-5D6E-409C-BE32-E72D297353CC}">
              <c16:uniqueId val="{00000001-EC13-8248-B3E8-7815F5972C68}"/>
            </c:ext>
          </c:extLst>
        </c:ser>
        <c:dLbls>
          <c:showLegendKey val="0"/>
          <c:showVal val="0"/>
          <c:showCatName val="0"/>
          <c:showSerName val="0"/>
          <c:showPercent val="0"/>
          <c:showBubbleSize val="0"/>
        </c:dLbls>
        <c:gapWidth val="150"/>
        <c:axId val="122454040"/>
        <c:axId val="563536184"/>
      </c:barChart>
      <c:catAx>
        <c:axId val="122454040"/>
        <c:scaling>
          <c:orientation val="minMax"/>
        </c:scaling>
        <c:delete val="0"/>
        <c:axPos val="b"/>
        <c:numFmt formatCode="General" sourceLinked="0"/>
        <c:majorTickMark val="none"/>
        <c:minorTickMark val="none"/>
        <c:tickLblPos val="nextTo"/>
        <c:txPr>
          <a:bodyPr/>
          <a:lstStyle/>
          <a:p>
            <a:pPr>
              <a:defRPr>
                <a:solidFill>
                  <a:schemeClr val="tx1"/>
                </a:solidFill>
              </a:defRPr>
            </a:pPr>
            <a:endParaRPr lang="fr-FR"/>
          </a:p>
        </c:txPr>
        <c:crossAx val="563536184"/>
        <c:crosses val="autoZero"/>
        <c:auto val="1"/>
        <c:lblAlgn val="ctr"/>
        <c:lblOffset val="100"/>
        <c:noMultiLvlLbl val="0"/>
      </c:catAx>
      <c:valAx>
        <c:axId val="563536184"/>
        <c:scaling>
          <c:orientation val="minMax"/>
        </c:scaling>
        <c:delete val="0"/>
        <c:axPos val="l"/>
        <c:majorGridlines>
          <c:spPr>
            <a:ln>
              <a:noFill/>
            </a:ln>
          </c:spPr>
        </c:majorGridlines>
        <c:numFmt formatCode="#,##0_);\(#,##0\)" sourceLinked="1"/>
        <c:majorTickMark val="out"/>
        <c:minorTickMark val="none"/>
        <c:tickLblPos val="nextTo"/>
        <c:spPr>
          <a:noFill/>
          <a:ln>
            <a:noFill/>
          </a:ln>
        </c:spPr>
        <c:txPr>
          <a:bodyPr/>
          <a:lstStyle/>
          <a:p>
            <a:pPr>
              <a:defRPr>
                <a:latin typeface="Arial"/>
                <a:cs typeface="Arial"/>
              </a:defRPr>
            </a:pPr>
            <a:endParaRPr lang="fr-FR"/>
          </a:p>
        </c:txPr>
        <c:crossAx val="122454040"/>
        <c:crosses val="autoZero"/>
        <c:crossBetween val="between"/>
      </c:valAx>
    </c:plotArea>
    <c:plotVisOnly val="1"/>
    <c:dispBlanksAs val="gap"/>
    <c:showDLblsOverMax val="0"/>
  </c:chart>
  <c:spPr>
    <a:noFill/>
    <a:ln>
      <a:no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6428719436386199"/>
          <c:y val="3.8869257950529999E-2"/>
          <c:w val="0.78915735917625696"/>
          <c:h val="0.81566462525517602"/>
        </c:manualLayout>
      </c:layout>
      <c:barChart>
        <c:barDir val="col"/>
        <c:grouping val="clustered"/>
        <c:varyColors val="0"/>
        <c:ser>
          <c:idx val="0"/>
          <c:order val="0"/>
          <c:tx>
            <c:strRef>
              <c:f>Summary!$O$124</c:f>
              <c:strCache>
                <c:ptCount val="1"/>
                <c:pt idx="0">
                  <c:v>IRR</c:v>
                </c:pt>
              </c:strCache>
            </c:strRef>
          </c:tx>
          <c:spPr>
            <a:solidFill>
              <a:srgbClr val="3AAE65"/>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Summary!$M$125:$M$126</c:f>
              <c:strCache>
                <c:ptCount val="2"/>
                <c:pt idx="0">
                  <c:v>PE</c:v>
                </c:pt>
                <c:pt idx="1">
                  <c:v>Management</c:v>
                </c:pt>
              </c:strCache>
            </c:strRef>
          </c:cat>
          <c:val>
            <c:numRef>
              <c:f>Summary!$O$125:$O$126</c:f>
              <c:numCache>
                <c:formatCode>0.0%</c:formatCode>
                <c:ptCount val="2"/>
                <c:pt idx="0">
                  <c:v>0.4592950403690339</c:v>
                </c:pt>
                <c:pt idx="1">
                  <c:v>0.69887140989303598</c:v>
                </c:pt>
              </c:numCache>
            </c:numRef>
          </c:val>
          <c:extLst>
            <c:ext xmlns:c16="http://schemas.microsoft.com/office/drawing/2014/chart" uri="{C3380CC4-5D6E-409C-BE32-E72D297353CC}">
              <c16:uniqueId val="{00000000-D273-3B42-B6E7-1E05CCDD8927}"/>
            </c:ext>
          </c:extLst>
        </c:ser>
        <c:dLbls>
          <c:showLegendKey val="0"/>
          <c:showVal val="0"/>
          <c:showCatName val="0"/>
          <c:showSerName val="0"/>
          <c:showPercent val="0"/>
          <c:showBubbleSize val="0"/>
        </c:dLbls>
        <c:gapWidth val="150"/>
        <c:axId val="527056376"/>
        <c:axId val="552846408"/>
      </c:barChart>
      <c:catAx>
        <c:axId val="527056376"/>
        <c:scaling>
          <c:orientation val="minMax"/>
        </c:scaling>
        <c:delete val="0"/>
        <c:axPos val="b"/>
        <c:numFmt formatCode="General" sourceLinked="0"/>
        <c:majorTickMark val="none"/>
        <c:minorTickMark val="none"/>
        <c:tickLblPos val="nextTo"/>
        <c:txPr>
          <a:bodyPr/>
          <a:lstStyle/>
          <a:p>
            <a:pPr>
              <a:defRPr>
                <a:solidFill>
                  <a:schemeClr val="tx1"/>
                </a:solidFill>
              </a:defRPr>
            </a:pPr>
            <a:endParaRPr lang="fr-FR"/>
          </a:p>
        </c:txPr>
        <c:crossAx val="552846408"/>
        <c:crosses val="autoZero"/>
        <c:auto val="1"/>
        <c:lblAlgn val="ctr"/>
        <c:lblOffset val="100"/>
        <c:noMultiLvlLbl val="0"/>
      </c:catAx>
      <c:valAx>
        <c:axId val="552846408"/>
        <c:scaling>
          <c:orientation val="minMax"/>
        </c:scaling>
        <c:delete val="0"/>
        <c:axPos val="l"/>
        <c:majorGridlines>
          <c:spPr>
            <a:ln>
              <a:noFill/>
            </a:ln>
          </c:spPr>
        </c:majorGridlines>
        <c:numFmt formatCode="0.0%" sourceLinked="1"/>
        <c:majorTickMark val="out"/>
        <c:minorTickMark val="none"/>
        <c:tickLblPos val="nextTo"/>
        <c:spPr>
          <a:noFill/>
          <a:ln>
            <a:noFill/>
          </a:ln>
        </c:spPr>
        <c:txPr>
          <a:bodyPr/>
          <a:lstStyle/>
          <a:p>
            <a:pPr>
              <a:defRPr>
                <a:latin typeface="Arial"/>
                <a:cs typeface="Arial"/>
              </a:defRPr>
            </a:pPr>
            <a:endParaRPr lang="fr-FR"/>
          </a:p>
        </c:txPr>
        <c:crossAx val="527056376"/>
        <c:crosses val="autoZero"/>
        <c:crossBetween val="between"/>
      </c:valAx>
    </c:plotArea>
    <c:plotVisOnly val="1"/>
    <c:dispBlanksAs val="gap"/>
    <c:showDLblsOverMax val="0"/>
  </c:chart>
  <c:spPr>
    <a:noFill/>
    <a:ln>
      <a:no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financialmodel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financialmodels.com"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http://www.efinancialmodels.com" TargetMode="Externa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financialmodels.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financialmodel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21</xdr:row>
      <xdr:rowOff>127000</xdr:rowOff>
    </xdr:from>
    <xdr:to>
      <xdr:col>3</xdr:col>
      <xdr:colOff>870802</xdr:colOff>
      <xdr:row>28</xdr:row>
      <xdr:rowOff>12700</xdr:rowOff>
    </xdr:to>
    <xdr:pic>
      <xdr:nvPicPr>
        <xdr:cNvPr id="3" name="Picture 2" descr="eFinancialModels.pn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7200" y="5308600"/>
          <a:ext cx="6738202" cy="104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32</xdr:row>
      <xdr:rowOff>101600</xdr:rowOff>
    </xdr:from>
    <xdr:to>
      <xdr:col>3</xdr:col>
      <xdr:colOff>251178</xdr:colOff>
      <xdr:row>35</xdr:row>
      <xdr:rowOff>79811</xdr:rowOff>
    </xdr:to>
    <xdr:pic>
      <xdr:nvPicPr>
        <xdr:cNvPr id="3" name="Picture 2" descr="eFinancialModels.png">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457200" y="5080000"/>
          <a:ext cx="2130778" cy="4735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202</xdr:row>
      <xdr:rowOff>0</xdr:rowOff>
    </xdr:from>
    <xdr:to>
      <xdr:col>4</xdr:col>
      <xdr:colOff>565856</xdr:colOff>
      <xdr:row>205</xdr:row>
      <xdr:rowOff>24778</xdr:rowOff>
    </xdr:to>
    <xdr:pic>
      <xdr:nvPicPr>
        <xdr:cNvPr id="3" name="Picture 2" descr="eFinancialModels.png">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431800" y="10223500"/>
          <a:ext cx="3118556" cy="481978"/>
        </a:xfrm>
        <a:prstGeom prst="rect">
          <a:avLst/>
        </a:prstGeom>
      </xdr:spPr>
    </xdr:pic>
    <xdr:clientData/>
  </xdr:twoCellAnchor>
  <xdr:twoCellAnchor>
    <xdr:from>
      <xdr:col>1</xdr:col>
      <xdr:colOff>25400</xdr:colOff>
      <xdr:row>7</xdr:row>
      <xdr:rowOff>12700</xdr:rowOff>
    </xdr:from>
    <xdr:to>
      <xdr:col>8</xdr:col>
      <xdr:colOff>838200</xdr:colOff>
      <xdr:row>23</xdr:row>
      <xdr:rowOff>25400</xdr:rowOff>
    </xdr:to>
    <xdr:graphicFrame macro="">
      <xdr:nvGraphicFramePr>
        <xdr:cNvPr id="4" name="Diagramm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25400</xdr:colOff>
      <xdr:row>6</xdr:row>
      <xdr:rowOff>139700</xdr:rowOff>
    </xdr:from>
    <xdr:to>
      <xdr:col>15</xdr:col>
      <xdr:colOff>914400</xdr:colOff>
      <xdr:row>23</xdr:row>
      <xdr:rowOff>0</xdr:rowOff>
    </xdr:to>
    <xdr:graphicFrame macro="">
      <xdr:nvGraphicFramePr>
        <xdr:cNvPr id="5" name="Diagramm 3">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xdr:colOff>
      <xdr:row>46</xdr:row>
      <xdr:rowOff>38100</xdr:rowOff>
    </xdr:from>
    <xdr:to>
      <xdr:col>15</xdr:col>
      <xdr:colOff>939800</xdr:colOff>
      <xdr:row>63</xdr:row>
      <xdr:rowOff>38100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12700</xdr:colOff>
      <xdr:row>46</xdr:row>
      <xdr:rowOff>50800</xdr:rowOff>
    </xdr:from>
    <xdr:to>
      <xdr:col>8</xdr:col>
      <xdr:colOff>787400</xdr:colOff>
      <xdr:row>63</xdr:row>
      <xdr:rowOff>50800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419100</xdr:colOff>
      <xdr:row>27</xdr:row>
      <xdr:rowOff>12700</xdr:rowOff>
    </xdr:from>
    <xdr:to>
      <xdr:col>8</xdr:col>
      <xdr:colOff>774700</xdr:colOff>
      <xdr:row>44</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12700</xdr:colOff>
      <xdr:row>27</xdr:row>
      <xdr:rowOff>0</xdr:rowOff>
    </xdr:from>
    <xdr:to>
      <xdr:col>15</xdr:col>
      <xdr:colOff>914400</xdr:colOff>
      <xdr:row>44</xdr:row>
      <xdr:rowOff>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416</xdr:row>
      <xdr:rowOff>88900</xdr:rowOff>
    </xdr:from>
    <xdr:to>
      <xdr:col>3</xdr:col>
      <xdr:colOff>413456</xdr:colOff>
      <xdr:row>419</xdr:row>
      <xdr:rowOff>113678</xdr:rowOff>
    </xdr:to>
    <xdr:pic>
      <xdr:nvPicPr>
        <xdr:cNvPr id="3" name="Picture 2" descr="eFinancialModels.png">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44500" y="23723600"/>
          <a:ext cx="3118556" cy="481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12700</xdr:colOff>
      <xdr:row>97</xdr:row>
      <xdr:rowOff>88900</xdr:rowOff>
    </xdr:from>
    <xdr:to>
      <xdr:col>3</xdr:col>
      <xdr:colOff>413456</xdr:colOff>
      <xdr:row>100</xdr:row>
      <xdr:rowOff>113678</xdr:rowOff>
    </xdr:to>
    <xdr:pic>
      <xdr:nvPicPr>
        <xdr:cNvPr id="2" name="Picture 1" descr="eFinancialModels.pn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444500" y="66890900"/>
          <a:ext cx="3118556" cy="4819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financialmodels.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efinancialmodel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efinancialmodels.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efinancialmodels.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efinancialmode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5"/>
  <sheetViews>
    <sheetView showGridLines="0" topLeftCell="A5" workbookViewId="0">
      <selection activeCell="C20" sqref="C20"/>
    </sheetView>
  </sheetViews>
  <sheetFormatPr defaultColWidth="11.07421875" defaultRowHeight="13.5" x14ac:dyDescent="0.3"/>
  <cols>
    <col min="1" max="1" width="4.84375" customWidth="1"/>
    <col min="3" max="3" width="54.4609375" customWidth="1"/>
    <col min="4" max="4" width="11.4609375" customWidth="1"/>
    <col min="5" max="5" width="4.84375" customWidth="1"/>
  </cols>
  <sheetData>
    <row r="1" spans="2:5" x14ac:dyDescent="0.3">
      <c r="B1" s="1"/>
      <c r="C1" s="1"/>
      <c r="D1" s="1"/>
      <c r="E1" s="1"/>
    </row>
    <row r="2" spans="2:5" x14ac:dyDescent="0.3">
      <c r="B2" s="1"/>
      <c r="C2" s="1"/>
      <c r="D2" s="1"/>
      <c r="E2" s="1"/>
    </row>
    <row r="3" spans="2:5" ht="93" customHeight="1" x14ac:dyDescent="0.3">
      <c r="B3" s="1"/>
      <c r="C3" s="1"/>
      <c r="D3" s="1"/>
      <c r="E3" s="1"/>
    </row>
    <row r="4" spans="2:5" ht="67" customHeight="1" x14ac:dyDescent="0.9">
      <c r="B4" s="2" t="s">
        <v>322</v>
      </c>
      <c r="C4" s="3"/>
      <c r="D4" s="3"/>
      <c r="E4" s="1"/>
    </row>
    <row r="5" spans="2:5" ht="65" customHeight="1" x14ac:dyDescent="0.9">
      <c r="B5" s="2" t="s">
        <v>215</v>
      </c>
      <c r="C5" s="3"/>
      <c r="D5" s="3"/>
      <c r="E5" s="1"/>
    </row>
    <row r="6" spans="2:5" ht="50" customHeight="1" x14ac:dyDescent="0.3">
      <c r="B6" s="1"/>
      <c r="C6" s="1"/>
      <c r="D6" s="1"/>
      <c r="E6" s="1"/>
    </row>
    <row r="7" spans="2:5" x14ac:dyDescent="0.3">
      <c r="B7" s="1"/>
      <c r="C7" s="4" t="s">
        <v>374</v>
      </c>
      <c r="D7" s="1"/>
      <c r="E7" s="1"/>
    </row>
    <row r="8" spans="2:5" ht="44.5" x14ac:dyDescent="0.85">
      <c r="B8" s="1"/>
      <c r="C8" s="5" t="s">
        <v>323</v>
      </c>
      <c r="D8" s="1"/>
      <c r="E8" s="1"/>
    </row>
    <row r="9" spans="2:5" x14ac:dyDescent="0.3">
      <c r="B9" s="1"/>
      <c r="C9" s="6"/>
      <c r="D9" s="1"/>
      <c r="E9" s="1"/>
    </row>
    <row r="10" spans="2:5" x14ac:dyDescent="0.3">
      <c r="B10" s="1"/>
      <c r="C10" s="6"/>
      <c r="D10" s="1"/>
      <c r="E10" s="1"/>
    </row>
    <row r="11" spans="2:5" x14ac:dyDescent="0.3">
      <c r="B11" s="1"/>
      <c r="C11" s="6"/>
      <c r="D11" s="1"/>
      <c r="E11" s="1"/>
    </row>
    <row r="12" spans="2:5" x14ac:dyDescent="0.3">
      <c r="B12" s="1"/>
      <c r="C12" s="6"/>
      <c r="D12" s="1"/>
      <c r="E12" s="1"/>
    </row>
    <row r="13" spans="2:5" x14ac:dyDescent="0.3">
      <c r="B13" s="1"/>
      <c r="C13" s="4" t="s">
        <v>375</v>
      </c>
      <c r="D13" s="1"/>
      <c r="E13" s="1"/>
    </row>
    <row r="14" spans="2:5" x14ac:dyDescent="0.3">
      <c r="B14" s="1"/>
      <c r="C14" s="7" t="s">
        <v>461</v>
      </c>
      <c r="D14" s="1"/>
      <c r="E14" s="1"/>
    </row>
    <row r="15" spans="2:5" x14ac:dyDescent="0.3">
      <c r="B15" s="1"/>
      <c r="C15" s="1"/>
      <c r="D15" s="1"/>
      <c r="E15" s="1"/>
    </row>
    <row r="16" spans="2:5" x14ac:dyDescent="0.3">
      <c r="B16" s="1"/>
      <c r="C16" s="1"/>
      <c r="D16" s="1"/>
      <c r="E16" s="1"/>
    </row>
    <row r="17" spans="1:5" x14ac:dyDescent="0.3">
      <c r="B17" s="8"/>
      <c r="C17" s="8"/>
      <c r="D17" s="8"/>
      <c r="E17" s="1"/>
    </row>
    <row r="18" spans="1:5" x14ac:dyDescent="0.3">
      <c r="A18" s="11"/>
      <c r="B18" s="1"/>
      <c r="C18" s="1"/>
      <c r="D18" s="1"/>
      <c r="E18" s="12"/>
    </row>
    <row r="19" spans="1:5" x14ac:dyDescent="0.3">
      <c r="A19" s="11"/>
      <c r="B19" s="1"/>
      <c r="C19" s="1"/>
      <c r="D19" s="1"/>
      <c r="E19" s="12"/>
    </row>
    <row r="20" spans="1:5" x14ac:dyDescent="0.3">
      <c r="A20" s="11"/>
      <c r="B20" s="1"/>
      <c r="C20" s="1"/>
      <c r="D20" s="1"/>
      <c r="E20" s="12"/>
    </row>
    <row r="21" spans="1:5" x14ac:dyDescent="0.3">
      <c r="A21" s="11"/>
      <c r="B21" s="1"/>
      <c r="C21" s="4" t="s">
        <v>379</v>
      </c>
      <c r="D21" s="1"/>
      <c r="E21" s="12"/>
    </row>
    <row r="22" spans="1:5" x14ac:dyDescent="0.3">
      <c r="A22" s="11"/>
      <c r="B22" s="1"/>
      <c r="D22" s="1"/>
      <c r="E22" s="12"/>
    </row>
    <row r="23" spans="1:5" x14ac:dyDescent="0.3">
      <c r="A23" s="11"/>
      <c r="B23" s="1"/>
      <c r="C23" s="1"/>
      <c r="D23" s="1"/>
      <c r="E23" s="12"/>
    </row>
    <row r="24" spans="1:5" x14ac:dyDescent="0.3">
      <c r="A24" s="11"/>
      <c r="B24" s="1"/>
      <c r="C24" s="1"/>
      <c r="D24" s="1"/>
      <c r="E24" s="12"/>
    </row>
    <row r="25" spans="1:5" x14ac:dyDescent="0.3">
      <c r="A25" s="11"/>
      <c r="B25" s="1"/>
      <c r="C25" s="1"/>
      <c r="D25" s="1"/>
      <c r="E25" s="12"/>
    </row>
    <row r="26" spans="1:5" x14ac:dyDescent="0.3">
      <c r="A26" s="11"/>
      <c r="B26" s="1"/>
      <c r="C26" s="1"/>
      <c r="D26" s="1"/>
      <c r="E26" s="12"/>
    </row>
    <row r="27" spans="1:5" x14ac:dyDescent="0.3">
      <c r="A27" s="11"/>
      <c r="B27" s="1"/>
      <c r="C27" s="1"/>
      <c r="D27" s="1"/>
      <c r="E27" s="12"/>
    </row>
    <row r="28" spans="1:5" x14ac:dyDescent="0.3">
      <c r="A28" s="11"/>
      <c r="B28" s="1"/>
      <c r="C28" s="1"/>
      <c r="D28" s="1"/>
      <c r="E28" s="12"/>
    </row>
    <row r="29" spans="1:5" x14ac:dyDescent="0.3">
      <c r="A29" s="11"/>
      <c r="B29" s="1"/>
      <c r="C29" s="9" t="s">
        <v>380</v>
      </c>
      <c r="D29" s="1"/>
      <c r="E29" s="12"/>
    </row>
    <row r="30" spans="1:5" x14ac:dyDescent="0.3">
      <c r="A30" s="11"/>
      <c r="B30" s="1"/>
      <c r="C30" s="1"/>
      <c r="D30" s="1"/>
      <c r="E30" s="12"/>
    </row>
    <row r="31" spans="1:5" ht="63" x14ac:dyDescent="0.3">
      <c r="A31" s="11"/>
      <c r="B31" s="10" t="s">
        <v>271</v>
      </c>
      <c r="C31" s="10"/>
      <c r="D31" s="10"/>
      <c r="E31" s="12"/>
    </row>
    <row r="32" spans="1:5" x14ac:dyDescent="0.3">
      <c r="B32" s="1"/>
      <c r="C32" s="1"/>
      <c r="D32" s="1"/>
      <c r="E32" s="1"/>
    </row>
    <row r="33" spans="2:5" x14ac:dyDescent="0.3">
      <c r="B33" s="1"/>
      <c r="C33" s="4" t="s">
        <v>273</v>
      </c>
      <c r="D33" s="1"/>
      <c r="E33" s="1"/>
    </row>
    <row r="34" spans="2:5" x14ac:dyDescent="0.3">
      <c r="B34" s="1"/>
      <c r="C34" s="1"/>
      <c r="D34" s="1"/>
      <c r="E34" s="1"/>
    </row>
    <row r="35" spans="2:5" x14ac:dyDescent="0.3">
      <c r="B35" s="1"/>
      <c r="C35" s="1"/>
      <c r="D35" s="1"/>
      <c r="E35" s="1"/>
    </row>
  </sheetData>
  <phoneticPr fontId="2" type="noConversion"/>
  <hyperlinks>
    <hyperlink ref="C29" r:id="rId1" xr:uid="{00000000-0004-0000-0000-000000000000}"/>
  </hyperlinks>
  <printOptions horizontalCentered="1"/>
  <pageMargins left="0.74803149606299213" right="0.74803149606299213" top="0.98425196850393704" bottom="0.98425196850393704" header="0.51181102362204722" footer="0.51181102362204722"/>
  <pageSetup paperSize="9" scale="93" fitToHeight="0" orientation="portrait" horizontalDpi="0" verticalDpi="0"/>
  <headerFooter>
    <oddFooter>&amp;LConfidential&amp;C&amp;P / &amp;N&amp;R&amp;D</oddFooter>
  </headerFooter>
  <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37"/>
  <sheetViews>
    <sheetView showGridLines="0" workbookViewId="0">
      <selection activeCell="C20" sqref="C20"/>
    </sheetView>
  </sheetViews>
  <sheetFormatPr defaultColWidth="11.07421875" defaultRowHeight="13.5" x14ac:dyDescent="0.3"/>
  <cols>
    <col min="1" max="1" width="4.84375" customWidth="1"/>
    <col min="10" max="10" width="4.84375" customWidth="1"/>
  </cols>
  <sheetData>
    <row r="1" spans="2:9" x14ac:dyDescent="0.3">
      <c r="B1" s="13"/>
      <c r="C1" s="13"/>
      <c r="D1" s="13"/>
      <c r="E1" s="13"/>
      <c r="F1" s="13"/>
      <c r="G1" s="13"/>
      <c r="H1" s="13"/>
      <c r="I1" s="13"/>
    </row>
    <row r="2" spans="2:9" x14ac:dyDescent="0.3">
      <c r="B2" s="14" t="str">
        <f>Title!C8</f>
        <v>PE Model</v>
      </c>
      <c r="C2" s="13"/>
      <c r="D2" s="13"/>
      <c r="E2" s="13"/>
      <c r="F2" s="13"/>
      <c r="G2" s="13"/>
      <c r="H2" s="13"/>
      <c r="I2" s="15" t="str">
        <f>Title!C14</f>
        <v>March 29th, 2020</v>
      </c>
    </row>
    <row r="3" spans="2:9" x14ac:dyDescent="0.3">
      <c r="B3" s="16"/>
      <c r="C3" s="17"/>
      <c r="D3" s="18"/>
      <c r="E3" s="18"/>
      <c r="F3" s="18"/>
      <c r="G3" s="18"/>
      <c r="H3" s="18"/>
      <c r="I3" s="19" t="s">
        <v>345</v>
      </c>
    </row>
    <row r="6" spans="2:9" ht="15.5" x14ac:dyDescent="0.35">
      <c r="B6" s="20" t="s">
        <v>274</v>
      </c>
      <c r="C6" s="20"/>
      <c r="D6" s="20"/>
      <c r="E6" s="20"/>
      <c r="F6" s="20"/>
      <c r="G6" s="20"/>
      <c r="H6" s="20"/>
      <c r="I6" s="20"/>
    </row>
    <row r="7" spans="2:9" x14ac:dyDescent="0.3">
      <c r="B7" s="21"/>
      <c r="C7" s="22"/>
      <c r="D7" s="22"/>
      <c r="E7" s="22"/>
      <c r="F7" s="22"/>
      <c r="G7" s="22"/>
      <c r="H7" s="22"/>
      <c r="I7" s="23"/>
    </row>
    <row r="8" spans="2:9" x14ac:dyDescent="0.3">
      <c r="B8" s="24" t="s">
        <v>275</v>
      </c>
      <c r="C8" s="25" t="s">
        <v>288</v>
      </c>
      <c r="D8" s="25"/>
      <c r="E8" s="25"/>
      <c r="F8" s="25"/>
      <c r="G8" s="25"/>
      <c r="H8" s="25"/>
      <c r="I8" s="26"/>
    </row>
    <row r="9" spans="2:9" x14ac:dyDescent="0.3">
      <c r="B9" s="24" t="s">
        <v>289</v>
      </c>
      <c r="C9" s="25" t="s">
        <v>290</v>
      </c>
      <c r="D9" s="25"/>
      <c r="E9" s="25"/>
      <c r="F9" s="25"/>
      <c r="G9" s="25"/>
      <c r="H9" s="25"/>
      <c r="I9" s="26"/>
    </row>
    <row r="10" spans="2:9" x14ac:dyDescent="0.3">
      <c r="B10" s="24" t="s">
        <v>190</v>
      </c>
      <c r="C10" s="25" t="s">
        <v>191</v>
      </c>
      <c r="D10" s="25"/>
      <c r="E10" s="25"/>
      <c r="F10" s="25"/>
      <c r="G10" s="25"/>
      <c r="H10" s="25"/>
      <c r="I10" s="26"/>
    </row>
    <row r="11" spans="2:9" x14ac:dyDescent="0.3">
      <c r="B11" s="24" t="s">
        <v>192</v>
      </c>
      <c r="C11" s="25" t="s">
        <v>193</v>
      </c>
      <c r="D11" s="25"/>
      <c r="E11" s="25"/>
      <c r="F11" s="25"/>
      <c r="G11" s="25"/>
      <c r="H11" s="25"/>
      <c r="I11" s="26"/>
    </row>
    <row r="12" spans="2:9" x14ac:dyDescent="0.3">
      <c r="B12" s="24" t="s">
        <v>267</v>
      </c>
      <c r="C12" s="25" t="s">
        <v>268</v>
      </c>
      <c r="D12" s="25"/>
      <c r="E12" s="25"/>
      <c r="F12" s="25"/>
      <c r="G12" s="25"/>
      <c r="H12" s="25"/>
      <c r="I12" s="26"/>
    </row>
    <row r="13" spans="2:9" x14ac:dyDescent="0.3">
      <c r="B13" s="24" t="s">
        <v>194</v>
      </c>
      <c r="C13" s="25" t="s">
        <v>47</v>
      </c>
      <c r="D13" s="25"/>
      <c r="E13" s="25"/>
      <c r="F13" s="25"/>
      <c r="G13" s="25"/>
      <c r="H13" s="25"/>
      <c r="I13" s="26"/>
    </row>
    <row r="14" spans="2:9" x14ac:dyDescent="0.3">
      <c r="B14" s="24" t="s">
        <v>48</v>
      </c>
      <c r="C14" s="25" t="s">
        <v>195</v>
      </c>
      <c r="D14" s="25"/>
      <c r="E14" s="25"/>
      <c r="F14" s="25"/>
      <c r="G14" s="25"/>
      <c r="H14" s="25"/>
      <c r="I14" s="26"/>
    </row>
    <row r="15" spans="2:9" x14ac:dyDescent="0.3">
      <c r="B15" s="24" t="s">
        <v>227</v>
      </c>
      <c r="C15" s="25" t="s">
        <v>228</v>
      </c>
      <c r="D15" s="25"/>
      <c r="E15" s="25"/>
      <c r="F15" s="25"/>
      <c r="G15" s="25"/>
      <c r="H15" s="25"/>
      <c r="I15" s="26"/>
    </row>
    <row r="16" spans="2:9" x14ac:dyDescent="0.3">
      <c r="B16" s="24" t="s">
        <v>196</v>
      </c>
      <c r="C16" s="25" t="s">
        <v>197</v>
      </c>
      <c r="D16" s="25"/>
      <c r="E16" s="25"/>
      <c r="F16" s="25"/>
      <c r="G16" s="25"/>
      <c r="H16" s="25"/>
      <c r="I16" s="26"/>
    </row>
    <row r="17" spans="2:9" x14ac:dyDescent="0.3">
      <c r="B17" s="24" t="s">
        <v>198</v>
      </c>
      <c r="C17" s="25" t="s">
        <v>230</v>
      </c>
      <c r="D17" s="25"/>
      <c r="E17" s="25"/>
      <c r="F17" s="25"/>
      <c r="G17" s="25"/>
      <c r="H17" s="25"/>
      <c r="I17" s="26"/>
    </row>
    <row r="18" spans="2:9" x14ac:dyDescent="0.3">
      <c r="B18" s="24" t="s">
        <v>231</v>
      </c>
      <c r="C18" s="25" t="s">
        <v>232</v>
      </c>
      <c r="D18" s="25"/>
      <c r="E18" s="25"/>
      <c r="F18" s="25"/>
      <c r="G18" s="25"/>
      <c r="H18" s="25"/>
      <c r="I18" s="26"/>
    </row>
    <row r="19" spans="2:9" x14ac:dyDescent="0.3">
      <c r="B19" s="24" t="s">
        <v>279</v>
      </c>
      <c r="C19" s="25" t="s">
        <v>280</v>
      </c>
      <c r="D19" s="25"/>
      <c r="E19" s="25"/>
      <c r="F19" s="25"/>
      <c r="G19" s="25"/>
      <c r="H19" s="25"/>
      <c r="I19" s="26"/>
    </row>
    <row r="20" spans="2:9" x14ac:dyDescent="0.3">
      <c r="B20" s="24" t="s">
        <v>217</v>
      </c>
      <c r="C20" s="25" t="s">
        <v>216</v>
      </c>
      <c r="D20" s="25"/>
      <c r="E20" s="25"/>
      <c r="F20" s="25"/>
      <c r="G20" s="25"/>
      <c r="H20" s="25"/>
      <c r="I20" s="26"/>
    </row>
    <row r="21" spans="2:9" x14ac:dyDescent="0.3">
      <c r="B21" s="24" t="s">
        <v>298</v>
      </c>
      <c r="C21" s="25" t="s">
        <v>447</v>
      </c>
      <c r="D21" s="25"/>
      <c r="E21" s="25"/>
      <c r="F21" s="25"/>
      <c r="G21" s="25"/>
      <c r="H21" s="25"/>
      <c r="I21" s="26"/>
    </row>
    <row r="22" spans="2:9" x14ac:dyDescent="0.3">
      <c r="B22" s="24" t="s">
        <v>299</v>
      </c>
      <c r="C22" s="25" t="s">
        <v>448</v>
      </c>
      <c r="D22" s="25"/>
      <c r="E22" s="25"/>
      <c r="F22" s="25"/>
      <c r="G22" s="25"/>
      <c r="H22" s="25"/>
      <c r="I22" s="26"/>
    </row>
    <row r="23" spans="2:9" x14ac:dyDescent="0.3">
      <c r="B23" s="24" t="s">
        <v>363</v>
      </c>
      <c r="C23" s="25" t="s">
        <v>364</v>
      </c>
      <c r="D23" s="25"/>
      <c r="E23" s="25"/>
      <c r="F23" s="25"/>
      <c r="G23" s="25"/>
      <c r="H23" s="25"/>
      <c r="I23" s="26"/>
    </row>
    <row r="24" spans="2:9" x14ac:dyDescent="0.3">
      <c r="B24" s="24" t="s">
        <v>365</v>
      </c>
      <c r="C24" s="25" t="s">
        <v>211</v>
      </c>
      <c r="D24" s="25"/>
      <c r="E24" s="25"/>
      <c r="F24" s="25"/>
      <c r="G24" s="25"/>
      <c r="H24" s="25"/>
      <c r="I24" s="26"/>
    </row>
    <row r="25" spans="2:9" x14ac:dyDescent="0.3">
      <c r="B25" s="24" t="s">
        <v>212</v>
      </c>
      <c r="C25" s="25" t="s">
        <v>213</v>
      </c>
      <c r="D25" s="25"/>
      <c r="E25" s="25"/>
      <c r="F25" s="25"/>
      <c r="G25" s="25"/>
      <c r="H25" s="25"/>
      <c r="I25" s="26"/>
    </row>
    <row r="26" spans="2:9" x14ac:dyDescent="0.3">
      <c r="B26" s="24" t="s">
        <v>174</v>
      </c>
      <c r="C26" s="25" t="s">
        <v>314</v>
      </c>
      <c r="D26" s="25"/>
      <c r="E26" s="25"/>
      <c r="F26" s="25"/>
      <c r="G26" s="25"/>
      <c r="H26" s="25"/>
      <c r="I26" s="26"/>
    </row>
    <row r="27" spans="2:9" x14ac:dyDescent="0.3">
      <c r="B27" s="24" t="s">
        <v>313</v>
      </c>
      <c r="C27" s="25" t="s">
        <v>180</v>
      </c>
      <c r="D27" s="25"/>
      <c r="E27" s="25"/>
      <c r="F27" s="25"/>
      <c r="G27" s="25"/>
      <c r="H27" s="25"/>
      <c r="I27" s="26"/>
    </row>
    <row r="28" spans="2:9" x14ac:dyDescent="0.3">
      <c r="B28" s="24" t="s">
        <v>91</v>
      </c>
      <c r="C28" s="25" t="s">
        <v>92</v>
      </c>
      <c r="D28" s="25"/>
      <c r="E28" s="25"/>
      <c r="F28" s="25"/>
      <c r="G28" s="25"/>
      <c r="H28" s="25"/>
      <c r="I28" s="26"/>
    </row>
    <row r="29" spans="2:9" x14ac:dyDescent="0.3">
      <c r="B29" s="27"/>
      <c r="C29" s="28"/>
      <c r="D29" s="28"/>
      <c r="E29" s="28"/>
      <c r="F29" s="28"/>
      <c r="G29" s="28"/>
      <c r="H29" s="28"/>
      <c r="I29" s="29"/>
    </row>
    <row r="30" spans="2:9" x14ac:dyDescent="0.3">
      <c r="B30" s="28"/>
      <c r="C30" s="28"/>
      <c r="D30" s="28"/>
      <c r="E30" s="28"/>
      <c r="F30" s="28"/>
      <c r="G30" s="28"/>
      <c r="H30" s="28"/>
      <c r="I30" s="28"/>
    </row>
    <row r="31" spans="2:9" x14ac:dyDescent="0.3">
      <c r="B31" s="13"/>
      <c r="C31" s="13"/>
      <c r="D31" s="13"/>
      <c r="E31" s="13"/>
      <c r="F31" s="13"/>
      <c r="G31" s="13"/>
      <c r="H31" s="13"/>
      <c r="I31" s="13"/>
    </row>
    <row r="32" spans="2:9" x14ac:dyDescent="0.3">
      <c r="B32" s="13" t="s">
        <v>65</v>
      </c>
      <c r="C32" s="13"/>
      <c r="D32" s="13"/>
      <c r="E32" s="13"/>
      <c r="F32" s="13"/>
      <c r="G32" s="13"/>
      <c r="H32" s="13"/>
      <c r="I32" s="13"/>
    </row>
    <row r="33" spans="2:9" x14ac:dyDescent="0.3">
      <c r="B33" s="13"/>
      <c r="C33" s="13"/>
      <c r="D33" s="13"/>
      <c r="E33" s="13"/>
      <c r="F33" s="13"/>
      <c r="G33" s="13"/>
      <c r="H33" s="13"/>
      <c r="I33" s="13"/>
    </row>
    <row r="34" spans="2:9" x14ac:dyDescent="0.3">
      <c r="B34" s="13"/>
      <c r="C34" s="13"/>
      <c r="D34" s="13"/>
      <c r="E34" s="13"/>
      <c r="F34" s="13"/>
      <c r="G34" s="13"/>
      <c r="H34" s="13"/>
      <c r="I34" s="13"/>
    </row>
    <row r="35" spans="2:9" x14ac:dyDescent="0.3">
      <c r="B35" s="13"/>
      <c r="C35" s="13"/>
      <c r="D35" s="13"/>
      <c r="E35" s="13"/>
      <c r="F35" s="13"/>
      <c r="G35" s="13"/>
      <c r="H35" s="13"/>
      <c r="I35" s="13"/>
    </row>
    <row r="36" spans="2:9" x14ac:dyDescent="0.3">
      <c r="B36" s="13"/>
      <c r="C36" s="13"/>
      <c r="D36" s="13"/>
      <c r="E36" s="13"/>
      <c r="F36" s="13"/>
      <c r="G36" s="13"/>
      <c r="H36" s="13"/>
      <c r="I36" s="13"/>
    </row>
    <row r="37" spans="2:9" x14ac:dyDescent="0.3">
      <c r="B37" s="30" t="s">
        <v>380</v>
      </c>
    </row>
  </sheetData>
  <sortState xmlns:xlrd2="http://schemas.microsoft.com/office/spreadsheetml/2017/richdata2" ref="A8:XFD23">
    <sortCondition ref="A8:A23"/>
  </sortState>
  <phoneticPr fontId="2" type="noConversion"/>
  <hyperlinks>
    <hyperlink ref="B37" r:id="rId1" xr:uid="{00000000-0004-0000-0100-000000000000}"/>
  </hyperlinks>
  <printOptions horizontalCentered="1"/>
  <pageMargins left="0.74803149606299213" right="0.74803149606299213" top="0.98425196850393704" bottom="0.98425196850393704" header="0.51181102362204722" footer="0.51181102362204722"/>
  <pageSetup paperSize="9" scale="88" fitToHeight="0" orientation="portrait" horizontalDpi="0" verticalDpi="0"/>
  <headerFooter>
    <oddFooter>&amp;LConfidential&amp;C&amp;P / &amp;N&amp;R&amp;D</oddFooter>
  </headerFooter>
  <drawing r:id="rId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207"/>
  <sheetViews>
    <sheetView showGridLines="0" tabSelected="1" zoomScale="85" zoomScaleNormal="85" workbookViewId="0">
      <pane ySplit="3" topLeftCell="A189" activePane="bottomLeft" state="frozenSplit"/>
      <selection activeCell="C20" sqref="C20"/>
      <selection pane="bottomLeft" activeCell="P176" sqref="P176"/>
    </sheetView>
  </sheetViews>
  <sheetFormatPr defaultColWidth="10.69140625" defaultRowHeight="12.5" x14ac:dyDescent="0.25"/>
  <cols>
    <col min="1" max="1" width="4.84375" style="13" customWidth="1"/>
    <col min="2" max="15" width="9.4609375" style="13" customWidth="1"/>
    <col min="16" max="16384" width="10.69140625" style="13"/>
  </cols>
  <sheetData>
    <row r="2" spans="2:16" ht="13" x14ac:dyDescent="0.3">
      <c r="B2" s="14" t="str">
        <f>Title!C8</f>
        <v>PE Model</v>
      </c>
      <c r="C2" s="14"/>
      <c r="P2" s="15" t="str">
        <f>Title!C14</f>
        <v>March 29th, 2020</v>
      </c>
    </row>
    <row r="3" spans="2:16" x14ac:dyDescent="0.25">
      <c r="B3" s="16"/>
      <c r="C3" s="16"/>
      <c r="D3" s="17"/>
      <c r="E3" s="17"/>
      <c r="F3" s="18"/>
      <c r="G3" s="18"/>
      <c r="H3" s="18"/>
      <c r="I3" s="18"/>
      <c r="J3" s="18"/>
      <c r="K3" s="18"/>
      <c r="L3" s="18"/>
      <c r="M3" s="18"/>
      <c r="N3" s="18"/>
      <c r="O3" s="18"/>
      <c r="P3" s="19" t="str">
        <f>Title!C33</f>
        <v>Confidential</v>
      </c>
    </row>
    <row r="4" spans="2:16" ht="15.5" x14ac:dyDescent="0.35">
      <c r="B4" s="31" t="str">
        <f>"All amounts in "&amp;$E$172</f>
        <v>All amounts in USD</v>
      </c>
      <c r="C4" s="31"/>
      <c r="D4" s="32"/>
      <c r="E4" s="32"/>
    </row>
    <row r="5" spans="2:16" ht="15.5" x14ac:dyDescent="0.35">
      <c r="B5" s="33" t="s">
        <v>325</v>
      </c>
      <c r="C5" s="33"/>
      <c r="D5" s="33"/>
      <c r="E5" s="33"/>
      <c r="F5" s="33"/>
      <c r="G5" s="33"/>
      <c r="H5" s="33"/>
      <c r="I5" s="33"/>
      <c r="J5" s="33"/>
      <c r="K5" s="52"/>
      <c r="L5" s="52"/>
      <c r="M5" s="52"/>
      <c r="N5" s="52"/>
      <c r="O5" s="52"/>
      <c r="P5" s="33"/>
    </row>
    <row r="6" spans="2:16" x14ac:dyDescent="0.25">
      <c r="B6" s="35"/>
      <c r="C6" s="35"/>
      <c r="D6" s="35"/>
      <c r="E6" s="35"/>
      <c r="F6" s="35"/>
      <c r="G6" s="35"/>
      <c r="H6" s="35"/>
      <c r="I6" s="35"/>
      <c r="J6" s="35"/>
      <c r="K6" s="35"/>
      <c r="L6" s="35"/>
      <c r="M6" s="35"/>
      <c r="N6" s="35"/>
      <c r="O6" s="35"/>
      <c r="P6" s="35"/>
    </row>
    <row r="7" spans="2:16" x14ac:dyDescent="0.25">
      <c r="B7" s="115" t="s">
        <v>99</v>
      </c>
      <c r="C7" s="67"/>
      <c r="D7" s="67"/>
      <c r="E7" s="67"/>
      <c r="F7" s="67"/>
      <c r="G7" s="67"/>
      <c r="H7" s="67"/>
      <c r="I7" s="67"/>
      <c r="J7" s="115" t="s">
        <v>413</v>
      </c>
      <c r="K7" s="67"/>
      <c r="L7" s="67"/>
      <c r="M7" s="67"/>
      <c r="N7" s="67"/>
      <c r="O7" s="67"/>
      <c r="P7" s="67"/>
    </row>
    <row r="8" spans="2:16" x14ac:dyDescent="0.25">
      <c r="B8" s="315" t="str">
        <f>Summary!E172</f>
        <v>USD</v>
      </c>
      <c r="C8" s="315"/>
      <c r="D8" s="315"/>
      <c r="E8" s="315"/>
      <c r="F8" s="35"/>
      <c r="G8" s="35"/>
      <c r="I8" s="35"/>
      <c r="J8" s="116" t="str">
        <f>$E$172</f>
        <v>USD</v>
      </c>
      <c r="L8" s="35"/>
      <c r="M8" s="35"/>
      <c r="N8" s="35"/>
      <c r="O8" s="35"/>
      <c r="P8" s="35"/>
    </row>
    <row r="9" spans="2:16" x14ac:dyDescent="0.25">
      <c r="B9" s="35"/>
      <c r="C9" s="35"/>
      <c r="D9" s="35"/>
      <c r="E9" s="35"/>
      <c r="F9" s="35"/>
      <c r="G9" s="35"/>
      <c r="H9" s="35"/>
      <c r="I9" s="35"/>
      <c r="J9" s="35"/>
      <c r="K9" s="35"/>
      <c r="L9" s="35"/>
      <c r="M9" s="35"/>
      <c r="N9" s="35"/>
      <c r="O9" s="35"/>
      <c r="P9" s="35"/>
    </row>
    <row r="10" spans="2:16" x14ac:dyDescent="0.25">
      <c r="B10" s="35"/>
      <c r="C10" s="35"/>
      <c r="D10" s="35"/>
      <c r="E10" s="35"/>
      <c r="F10" s="35"/>
      <c r="G10" s="35"/>
      <c r="H10" s="35"/>
      <c r="I10" s="35"/>
      <c r="J10" s="35"/>
      <c r="K10" s="35"/>
      <c r="L10" s="35"/>
      <c r="M10" s="35"/>
      <c r="N10" s="35"/>
      <c r="O10" s="35"/>
      <c r="P10" s="35"/>
    </row>
    <row r="11" spans="2:16" x14ac:dyDescent="0.25">
      <c r="B11" s="35"/>
      <c r="C11" s="35"/>
      <c r="D11" s="35"/>
      <c r="E11" s="35"/>
      <c r="F11" s="35"/>
      <c r="G11" s="35"/>
      <c r="H11" s="35"/>
      <c r="I11" s="35"/>
      <c r="J11" s="35"/>
      <c r="K11" s="35"/>
      <c r="L11" s="35"/>
      <c r="M11" s="35"/>
      <c r="N11" s="35"/>
      <c r="O11" s="35"/>
      <c r="P11" s="35"/>
    </row>
    <row r="12" spans="2:16" x14ac:dyDescent="0.25">
      <c r="B12" s="35"/>
      <c r="C12" s="35"/>
      <c r="D12" s="35"/>
      <c r="E12" s="35"/>
      <c r="F12" s="35"/>
      <c r="G12" s="35"/>
      <c r="H12" s="35"/>
      <c r="I12" s="35"/>
      <c r="J12" s="35"/>
      <c r="K12" s="35"/>
      <c r="L12" s="35"/>
      <c r="M12" s="35"/>
      <c r="N12" s="35"/>
      <c r="O12" s="35"/>
      <c r="P12" s="35"/>
    </row>
    <row r="13" spans="2:16" x14ac:dyDescent="0.25">
      <c r="B13" s="35"/>
      <c r="C13" s="35"/>
      <c r="D13" s="35"/>
      <c r="E13" s="35"/>
      <c r="F13" s="35"/>
      <c r="G13" s="35"/>
      <c r="H13" s="35"/>
      <c r="I13" s="35"/>
      <c r="J13" s="35"/>
      <c r="K13" s="35"/>
      <c r="L13" s="35"/>
      <c r="M13" s="35"/>
      <c r="N13" s="35"/>
      <c r="O13" s="35"/>
      <c r="P13" s="35"/>
    </row>
    <row r="14" spans="2:16" x14ac:dyDescent="0.25">
      <c r="B14" s="35"/>
      <c r="C14" s="35"/>
      <c r="D14" s="35"/>
      <c r="E14" s="35"/>
      <c r="F14" s="35"/>
      <c r="G14" s="35"/>
      <c r="H14" s="35"/>
      <c r="I14" s="35"/>
      <c r="J14" s="35"/>
      <c r="K14" s="35"/>
      <c r="L14" s="35"/>
      <c r="M14" s="35"/>
      <c r="N14" s="35"/>
      <c r="O14" s="35"/>
      <c r="P14" s="35"/>
    </row>
    <row r="15" spans="2:16" x14ac:dyDescent="0.25">
      <c r="B15" s="35"/>
      <c r="C15" s="35"/>
      <c r="D15" s="35"/>
      <c r="E15" s="35"/>
      <c r="F15" s="35"/>
      <c r="G15" s="35"/>
      <c r="H15" s="35"/>
      <c r="I15" s="35"/>
      <c r="J15" s="35"/>
      <c r="K15" s="35"/>
      <c r="L15" s="35"/>
      <c r="M15" s="35"/>
      <c r="N15" s="35"/>
      <c r="O15" s="35"/>
      <c r="P15" s="35"/>
    </row>
    <row r="16" spans="2:16" x14ac:dyDescent="0.25">
      <c r="B16" s="35"/>
      <c r="C16" s="35"/>
      <c r="D16" s="35"/>
      <c r="E16" s="35"/>
      <c r="F16" s="35"/>
      <c r="G16" s="35"/>
      <c r="H16" s="35"/>
      <c r="I16" s="35"/>
      <c r="J16" s="35"/>
      <c r="K16" s="35"/>
      <c r="L16" s="35"/>
      <c r="M16" s="35"/>
      <c r="N16" s="35"/>
      <c r="O16" s="35"/>
      <c r="P16" s="35"/>
    </row>
    <row r="17" spans="2:16" x14ac:dyDescent="0.25">
      <c r="B17" s="35"/>
      <c r="C17" s="35"/>
      <c r="D17" s="35"/>
      <c r="E17" s="35"/>
      <c r="F17" s="35"/>
      <c r="G17" s="35"/>
      <c r="H17" s="35"/>
      <c r="I17" s="35"/>
      <c r="J17" s="35"/>
      <c r="K17" s="35"/>
      <c r="L17" s="35"/>
      <c r="M17" s="35"/>
      <c r="N17" s="35"/>
      <c r="O17" s="35"/>
      <c r="P17" s="35"/>
    </row>
    <row r="18" spans="2:16" x14ac:dyDescent="0.25">
      <c r="B18" s="35"/>
      <c r="C18" s="35"/>
      <c r="D18" s="35"/>
      <c r="E18" s="35"/>
      <c r="F18" s="35"/>
      <c r="G18" s="35"/>
      <c r="H18" s="35"/>
      <c r="I18" s="35"/>
      <c r="J18" s="35"/>
      <c r="K18" s="35"/>
      <c r="L18" s="35"/>
      <c r="M18" s="35"/>
      <c r="N18" s="35"/>
      <c r="O18" s="35"/>
      <c r="P18" s="35"/>
    </row>
    <row r="19" spans="2:16" x14ac:dyDescent="0.25">
      <c r="B19" s="35"/>
      <c r="C19" s="35"/>
      <c r="D19" s="35"/>
      <c r="E19" s="35"/>
      <c r="F19" s="35"/>
      <c r="G19" s="35"/>
      <c r="H19" s="35"/>
      <c r="I19" s="35"/>
      <c r="J19" s="35"/>
      <c r="K19" s="35"/>
      <c r="L19" s="35"/>
      <c r="M19" s="35"/>
      <c r="N19" s="35"/>
      <c r="O19" s="35"/>
      <c r="P19" s="35"/>
    </row>
    <row r="20" spans="2:16" x14ac:dyDescent="0.25">
      <c r="B20" s="35"/>
      <c r="C20" s="35"/>
      <c r="D20" s="35"/>
      <c r="E20" s="35"/>
      <c r="F20" s="35"/>
      <c r="G20" s="35"/>
      <c r="H20" s="35"/>
      <c r="I20" s="35"/>
      <c r="J20" s="35"/>
      <c r="K20" s="35"/>
      <c r="L20" s="35"/>
      <c r="M20" s="35"/>
      <c r="N20" s="35"/>
      <c r="O20" s="35"/>
      <c r="P20" s="35"/>
    </row>
    <row r="21" spans="2:16" x14ac:dyDescent="0.25">
      <c r="B21" s="35"/>
      <c r="C21" s="35"/>
      <c r="D21" s="35"/>
      <c r="E21" s="35"/>
      <c r="F21" s="35"/>
      <c r="G21" s="35"/>
      <c r="H21" s="35"/>
      <c r="I21" s="35"/>
      <c r="J21" s="35"/>
      <c r="K21" s="35"/>
      <c r="L21" s="35"/>
      <c r="M21" s="35"/>
      <c r="N21" s="35"/>
      <c r="O21" s="35"/>
      <c r="P21" s="35"/>
    </row>
    <row r="22" spans="2:16" x14ac:dyDescent="0.25">
      <c r="B22" s="35"/>
      <c r="C22" s="35"/>
      <c r="D22" s="35"/>
      <c r="E22" s="35"/>
      <c r="F22" s="35"/>
      <c r="G22" s="35"/>
      <c r="H22" s="35"/>
      <c r="I22" s="35"/>
      <c r="J22" s="35"/>
      <c r="K22" s="35"/>
      <c r="L22" s="35"/>
      <c r="M22" s="35"/>
      <c r="N22" s="35"/>
      <c r="O22" s="35"/>
      <c r="P22" s="35"/>
    </row>
    <row r="23" spans="2:16" x14ac:dyDescent="0.25">
      <c r="B23" s="35"/>
      <c r="C23" s="35"/>
      <c r="D23" s="35"/>
      <c r="E23" s="35"/>
      <c r="F23" s="35"/>
      <c r="G23" s="35"/>
      <c r="H23" s="35"/>
      <c r="I23" s="35"/>
      <c r="J23" s="35"/>
      <c r="K23" s="35"/>
      <c r="L23" s="35"/>
      <c r="M23" s="35"/>
      <c r="N23" s="35"/>
      <c r="O23" s="35"/>
      <c r="P23" s="35"/>
    </row>
    <row r="24" spans="2:16" x14ac:dyDescent="0.25">
      <c r="B24" s="35"/>
      <c r="C24" s="35"/>
      <c r="D24" s="35"/>
      <c r="E24" s="35"/>
      <c r="F24" s="35"/>
      <c r="G24" s="35"/>
      <c r="H24" s="35"/>
      <c r="I24" s="35"/>
      <c r="J24" s="35"/>
      <c r="K24" s="35"/>
      <c r="L24" s="35"/>
      <c r="M24" s="35"/>
      <c r="N24" s="35"/>
      <c r="O24" s="35"/>
      <c r="P24" s="35"/>
    </row>
    <row r="25" spans="2:16" x14ac:dyDescent="0.25">
      <c r="B25" s="35"/>
      <c r="C25" s="35"/>
      <c r="D25" s="35"/>
      <c r="E25" s="35"/>
      <c r="F25" s="35"/>
      <c r="G25" s="35"/>
      <c r="H25" s="35"/>
      <c r="I25" s="35"/>
      <c r="J25" s="35"/>
      <c r="K25" s="35"/>
      <c r="L25" s="35"/>
      <c r="M25" s="35"/>
      <c r="N25" s="35"/>
      <c r="O25" s="35"/>
      <c r="P25" s="35"/>
    </row>
    <row r="26" spans="2:16" x14ac:dyDescent="0.25">
      <c r="B26" s="115" t="s">
        <v>281</v>
      </c>
      <c r="C26" s="67"/>
      <c r="D26" s="67"/>
      <c r="E26" s="67"/>
      <c r="F26" s="67"/>
      <c r="G26" s="67"/>
      <c r="H26" s="67"/>
      <c r="I26" s="67"/>
      <c r="J26" s="115" t="s">
        <v>397</v>
      </c>
      <c r="K26" s="67"/>
      <c r="L26" s="67"/>
      <c r="M26" s="67"/>
      <c r="N26" s="67"/>
      <c r="O26" s="67"/>
      <c r="P26" s="67"/>
    </row>
    <row r="27" spans="2:16" x14ac:dyDescent="0.25">
      <c r="B27" s="116" t="str">
        <f>$E$172</f>
        <v>USD</v>
      </c>
      <c r="C27" s="315"/>
      <c r="D27" s="315"/>
      <c r="E27" s="315"/>
      <c r="F27" s="35"/>
      <c r="G27" s="315"/>
      <c r="H27" s="68"/>
      <c r="I27" s="68"/>
      <c r="J27" s="116" t="s">
        <v>411</v>
      </c>
      <c r="K27" s="68"/>
      <c r="L27" s="315"/>
      <c r="M27" s="35"/>
      <c r="N27" s="35"/>
      <c r="O27" s="35"/>
      <c r="P27" s="35"/>
    </row>
    <row r="28" spans="2:16" x14ac:dyDescent="0.25">
      <c r="B28" s="35"/>
      <c r="C28" s="35"/>
      <c r="D28" s="35"/>
      <c r="E28" s="35"/>
      <c r="F28" s="35"/>
      <c r="G28" s="35"/>
      <c r="H28" s="35"/>
      <c r="I28" s="35"/>
      <c r="J28" s="35"/>
      <c r="K28" s="35"/>
      <c r="L28" s="35"/>
      <c r="M28" s="35"/>
      <c r="N28" s="35"/>
      <c r="O28" s="35"/>
      <c r="P28" s="35"/>
    </row>
    <row r="29" spans="2:16" x14ac:dyDescent="0.25">
      <c r="B29" s="35"/>
      <c r="C29" s="35"/>
      <c r="D29" s="35"/>
      <c r="E29" s="35"/>
      <c r="F29" s="35"/>
      <c r="G29" s="35"/>
      <c r="H29" s="35"/>
      <c r="I29" s="35"/>
      <c r="J29" s="35"/>
      <c r="K29" s="35"/>
      <c r="L29" s="35"/>
      <c r="M29" s="35"/>
      <c r="N29" s="35"/>
      <c r="O29" s="35"/>
      <c r="P29" s="35"/>
    </row>
    <row r="30" spans="2:16" x14ac:dyDescent="0.25">
      <c r="B30" s="35"/>
      <c r="C30" s="35"/>
      <c r="D30" s="35"/>
      <c r="E30" s="35"/>
      <c r="F30" s="35"/>
      <c r="G30" s="35"/>
      <c r="H30" s="35"/>
      <c r="I30" s="35"/>
      <c r="J30" s="35"/>
      <c r="K30" s="35"/>
      <c r="L30" s="35"/>
      <c r="M30" s="35"/>
      <c r="N30" s="35"/>
      <c r="O30" s="35"/>
      <c r="P30" s="35"/>
    </row>
    <row r="31" spans="2:16" x14ac:dyDescent="0.25">
      <c r="B31" s="35"/>
      <c r="C31" s="35"/>
      <c r="D31" s="35"/>
      <c r="E31" s="35"/>
      <c r="F31" s="35"/>
      <c r="G31" s="35"/>
      <c r="H31" s="35"/>
      <c r="I31" s="35"/>
      <c r="J31" s="35"/>
      <c r="K31" s="35"/>
      <c r="L31" s="35"/>
      <c r="M31" s="35"/>
      <c r="N31" s="35"/>
      <c r="O31" s="35"/>
      <c r="P31" s="35"/>
    </row>
    <row r="32" spans="2:16" x14ac:dyDescent="0.25">
      <c r="B32" s="35"/>
      <c r="C32" s="35"/>
      <c r="D32" s="35"/>
      <c r="E32" s="35"/>
      <c r="F32" s="35"/>
      <c r="G32" s="35"/>
      <c r="H32" s="35"/>
      <c r="I32" s="35"/>
      <c r="J32" s="35"/>
      <c r="K32" s="35"/>
      <c r="L32" s="35"/>
      <c r="M32" s="35"/>
      <c r="N32" s="35"/>
      <c r="O32" s="35"/>
      <c r="P32" s="35"/>
    </row>
    <row r="33" spans="2:16" x14ac:dyDescent="0.25">
      <c r="B33" s="35"/>
      <c r="C33" s="35"/>
      <c r="D33" s="35"/>
      <c r="E33" s="35"/>
      <c r="F33" s="35"/>
      <c r="G33" s="35"/>
      <c r="H33" s="35"/>
      <c r="I33" s="35"/>
      <c r="J33" s="35"/>
      <c r="K33" s="35"/>
      <c r="L33" s="35"/>
      <c r="M33" s="35"/>
      <c r="N33" s="35"/>
      <c r="O33" s="35"/>
      <c r="P33" s="35"/>
    </row>
    <row r="34" spans="2:16" x14ac:dyDescent="0.25">
      <c r="B34" s="35"/>
      <c r="C34" s="35"/>
      <c r="D34" s="35"/>
      <c r="E34" s="35"/>
      <c r="F34" s="35"/>
      <c r="G34" s="35"/>
      <c r="H34" s="35"/>
      <c r="I34" s="35"/>
      <c r="J34" s="35"/>
      <c r="K34" s="35"/>
      <c r="L34" s="35"/>
      <c r="M34" s="35"/>
      <c r="N34" s="35"/>
      <c r="O34" s="35"/>
      <c r="P34" s="35"/>
    </row>
    <row r="35" spans="2:16" x14ac:dyDescent="0.25">
      <c r="B35" s="35"/>
      <c r="C35" s="35"/>
      <c r="D35" s="35"/>
      <c r="E35" s="35"/>
      <c r="F35" s="35"/>
      <c r="G35" s="35"/>
      <c r="H35" s="35"/>
      <c r="I35" s="35"/>
      <c r="J35" s="35"/>
      <c r="K35" s="35"/>
      <c r="L35" s="35"/>
      <c r="M35" s="35"/>
      <c r="N35" s="35"/>
      <c r="O35" s="35"/>
      <c r="P35" s="35"/>
    </row>
    <row r="36" spans="2:16" x14ac:dyDescent="0.25">
      <c r="B36" s="35"/>
      <c r="C36" s="35"/>
      <c r="D36" s="35"/>
      <c r="E36" s="35"/>
      <c r="F36" s="35"/>
      <c r="G36" s="35"/>
      <c r="H36" s="35"/>
      <c r="I36" s="35"/>
      <c r="J36" s="35"/>
      <c r="K36" s="35"/>
      <c r="L36" s="35"/>
      <c r="M36" s="35"/>
      <c r="N36" s="35"/>
      <c r="O36" s="35"/>
      <c r="P36" s="35"/>
    </row>
    <row r="37" spans="2:16" x14ac:dyDescent="0.25">
      <c r="B37" s="35"/>
      <c r="C37" s="35"/>
      <c r="D37" s="35"/>
      <c r="E37" s="35"/>
      <c r="F37" s="35"/>
      <c r="G37" s="35"/>
      <c r="H37" s="35"/>
      <c r="I37" s="35"/>
      <c r="J37" s="35"/>
      <c r="K37" s="35"/>
      <c r="L37" s="35"/>
      <c r="M37" s="35"/>
      <c r="N37" s="35"/>
      <c r="O37" s="35"/>
      <c r="P37" s="35"/>
    </row>
    <row r="38" spans="2:16" x14ac:dyDescent="0.25">
      <c r="B38" s="35"/>
      <c r="C38" s="35"/>
      <c r="D38" s="35"/>
      <c r="E38" s="35"/>
      <c r="F38" s="35"/>
      <c r="G38" s="35"/>
      <c r="H38" s="35"/>
      <c r="I38" s="35"/>
      <c r="J38" s="35"/>
      <c r="K38" s="35"/>
      <c r="L38" s="35"/>
      <c r="M38" s="35"/>
      <c r="N38" s="35"/>
      <c r="O38" s="35"/>
      <c r="P38" s="35"/>
    </row>
    <row r="39" spans="2:16" x14ac:dyDescent="0.25">
      <c r="B39" s="35"/>
      <c r="C39" s="35"/>
      <c r="D39" s="35"/>
      <c r="E39" s="35"/>
      <c r="F39" s="35"/>
      <c r="G39" s="35"/>
      <c r="H39" s="35"/>
      <c r="I39" s="35"/>
      <c r="J39" s="35"/>
      <c r="K39" s="35"/>
      <c r="L39" s="35"/>
      <c r="M39" s="35"/>
      <c r="N39" s="35"/>
      <c r="O39" s="35"/>
      <c r="P39" s="35"/>
    </row>
    <row r="40" spans="2:16" x14ac:dyDescent="0.25">
      <c r="B40" s="35"/>
      <c r="C40" s="35"/>
      <c r="D40" s="35"/>
      <c r="E40" s="35"/>
      <c r="F40" s="35"/>
      <c r="G40" s="35"/>
      <c r="H40" s="35"/>
      <c r="I40" s="35"/>
      <c r="J40" s="35"/>
      <c r="K40" s="35"/>
      <c r="L40" s="35"/>
      <c r="M40" s="35"/>
      <c r="N40" s="35"/>
      <c r="O40" s="35"/>
      <c r="P40" s="35"/>
    </row>
    <row r="41" spans="2:16" x14ac:dyDescent="0.25">
      <c r="B41" s="35"/>
      <c r="C41" s="35"/>
      <c r="D41" s="35"/>
      <c r="E41" s="35"/>
      <c r="F41" s="35"/>
      <c r="G41" s="35"/>
      <c r="H41" s="35"/>
      <c r="I41" s="35"/>
      <c r="J41" s="35"/>
      <c r="K41" s="35"/>
      <c r="L41" s="35"/>
      <c r="M41" s="35"/>
      <c r="N41" s="35"/>
      <c r="O41" s="35"/>
      <c r="P41" s="35"/>
    </row>
    <row r="42" spans="2:16" x14ac:dyDescent="0.25">
      <c r="B42" s="35"/>
      <c r="C42" s="35"/>
      <c r="D42" s="35"/>
      <c r="E42" s="35"/>
      <c r="F42" s="35"/>
      <c r="G42" s="35"/>
      <c r="H42" s="35"/>
      <c r="I42" s="35"/>
      <c r="J42" s="35"/>
      <c r="K42" s="35"/>
      <c r="L42" s="35"/>
      <c r="M42" s="35"/>
      <c r="N42" s="35"/>
      <c r="O42" s="35"/>
      <c r="P42" s="35"/>
    </row>
    <row r="43" spans="2:16" x14ac:dyDescent="0.25">
      <c r="B43" s="35"/>
      <c r="C43" s="35"/>
      <c r="D43" s="35"/>
      <c r="E43" s="35"/>
      <c r="F43" s="35"/>
      <c r="G43" s="35"/>
      <c r="H43" s="35"/>
      <c r="I43" s="35"/>
      <c r="J43" s="35"/>
      <c r="K43" s="35"/>
      <c r="L43" s="35"/>
      <c r="M43" s="35"/>
      <c r="N43" s="35"/>
      <c r="O43" s="35"/>
      <c r="P43" s="35"/>
    </row>
    <row r="44" spans="2:16" x14ac:dyDescent="0.25">
      <c r="B44" s="35"/>
      <c r="C44" s="35"/>
      <c r="D44" s="35"/>
      <c r="E44" s="35"/>
      <c r="F44" s="35"/>
      <c r="G44" s="35"/>
      <c r="H44" s="35"/>
      <c r="I44" s="35"/>
      <c r="J44" s="35"/>
      <c r="K44" s="35"/>
      <c r="L44" s="35"/>
      <c r="M44" s="35"/>
      <c r="N44" s="35"/>
      <c r="O44" s="35"/>
      <c r="P44" s="35"/>
    </row>
    <row r="45" spans="2:16" x14ac:dyDescent="0.25">
      <c r="B45" s="115" t="s">
        <v>366</v>
      </c>
      <c r="C45" s="67"/>
      <c r="D45" s="67"/>
      <c r="E45" s="67"/>
      <c r="F45" s="67"/>
      <c r="G45" s="67"/>
      <c r="H45" s="67"/>
      <c r="J45" s="115" t="s">
        <v>367</v>
      </c>
      <c r="N45" s="67"/>
      <c r="O45" s="67"/>
      <c r="P45" s="67"/>
    </row>
    <row r="46" spans="2:16" x14ac:dyDescent="0.25">
      <c r="B46" s="116" t="str">
        <f>$E$172</f>
        <v>USD</v>
      </c>
      <c r="C46" s="315"/>
      <c r="D46" s="315"/>
      <c r="E46" s="315"/>
      <c r="F46" s="35"/>
      <c r="G46" s="35"/>
      <c r="H46" s="35"/>
      <c r="I46" s="116"/>
      <c r="J46" s="116" t="str">
        <f>$E$172</f>
        <v>USD</v>
      </c>
      <c r="K46" s="116"/>
      <c r="L46" s="116"/>
      <c r="M46" s="116"/>
      <c r="N46" s="315"/>
      <c r="O46" s="315"/>
      <c r="P46" s="35"/>
    </row>
    <row r="47" spans="2:16" x14ac:dyDescent="0.25">
      <c r="B47" s="35"/>
      <c r="C47" s="35"/>
      <c r="D47" s="35"/>
      <c r="E47" s="35"/>
      <c r="F47" s="35"/>
      <c r="G47" s="35"/>
      <c r="H47" s="35"/>
      <c r="I47" s="35"/>
      <c r="J47" s="35"/>
      <c r="K47" s="35"/>
      <c r="L47" s="35"/>
      <c r="M47" s="35"/>
      <c r="N47" s="35"/>
      <c r="O47" s="35"/>
      <c r="P47" s="35"/>
    </row>
    <row r="48" spans="2:16" x14ac:dyDescent="0.25">
      <c r="B48" s="35"/>
      <c r="C48" s="35"/>
      <c r="D48" s="35"/>
      <c r="E48" s="35"/>
      <c r="F48" s="35"/>
      <c r="G48" s="35"/>
      <c r="H48" s="35"/>
      <c r="I48" s="35"/>
      <c r="J48" s="35"/>
      <c r="K48" s="35"/>
      <c r="L48" s="35"/>
      <c r="M48" s="35"/>
      <c r="N48" s="35"/>
      <c r="O48" s="35"/>
      <c r="P48" s="35"/>
    </row>
    <row r="49" spans="2:16" x14ac:dyDescent="0.25">
      <c r="B49" s="35"/>
      <c r="C49" s="35"/>
      <c r="D49" s="35"/>
      <c r="E49" s="35"/>
      <c r="F49" s="35"/>
      <c r="G49" s="35"/>
      <c r="H49" s="35"/>
      <c r="I49" s="35"/>
      <c r="J49" s="35"/>
      <c r="K49" s="35"/>
      <c r="L49" s="35"/>
      <c r="M49" s="35"/>
      <c r="N49" s="35"/>
      <c r="O49" s="35"/>
      <c r="P49" s="35"/>
    </row>
    <row r="50" spans="2:16" x14ac:dyDescent="0.25">
      <c r="B50" s="35"/>
      <c r="C50" s="35"/>
      <c r="D50" s="35"/>
      <c r="E50" s="35"/>
      <c r="F50" s="35"/>
      <c r="G50" s="35"/>
      <c r="H50" s="35"/>
      <c r="I50" s="35"/>
      <c r="J50" s="35"/>
      <c r="K50" s="35"/>
      <c r="L50" s="35"/>
      <c r="M50" s="35"/>
      <c r="N50" s="35"/>
      <c r="O50" s="35"/>
      <c r="P50" s="35"/>
    </row>
    <row r="51" spans="2:16" x14ac:dyDescent="0.25">
      <c r="B51" s="35"/>
      <c r="C51" s="35"/>
      <c r="D51" s="35"/>
      <c r="E51" s="35"/>
      <c r="F51" s="35"/>
      <c r="G51" s="35"/>
      <c r="H51" s="35"/>
      <c r="I51" s="35"/>
      <c r="J51" s="35"/>
      <c r="K51" s="35"/>
      <c r="L51" s="35"/>
      <c r="M51" s="35"/>
      <c r="N51" s="35"/>
      <c r="O51" s="35"/>
      <c r="P51" s="35"/>
    </row>
    <row r="52" spans="2:16" x14ac:dyDescent="0.25">
      <c r="B52" s="35"/>
      <c r="C52" s="35"/>
      <c r="D52" s="35"/>
      <c r="E52" s="35"/>
      <c r="F52" s="35"/>
      <c r="G52" s="35"/>
      <c r="H52" s="35"/>
      <c r="I52" s="35"/>
      <c r="J52" s="35"/>
      <c r="K52" s="35"/>
      <c r="L52" s="35"/>
      <c r="M52" s="35"/>
      <c r="N52" s="35"/>
      <c r="O52" s="35"/>
      <c r="P52" s="35"/>
    </row>
    <row r="53" spans="2:16" x14ac:dyDescent="0.25">
      <c r="B53" s="35"/>
      <c r="C53" s="35"/>
      <c r="D53" s="35"/>
      <c r="E53" s="35"/>
      <c r="F53" s="35"/>
      <c r="G53" s="35"/>
      <c r="H53" s="35"/>
      <c r="I53" s="35"/>
      <c r="J53" s="35"/>
      <c r="K53" s="35"/>
      <c r="L53" s="35"/>
      <c r="M53" s="35"/>
      <c r="N53" s="35"/>
      <c r="O53" s="35"/>
      <c r="P53" s="35"/>
    </row>
    <row r="54" spans="2:16" x14ac:dyDescent="0.25">
      <c r="B54" s="35"/>
      <c r="C54" s="35"/>
      <c r="D54" s="35"/>
      <c r="E54" s="35"/>
      <c r="F54" s="35"/>
      <c r="G54" s="35"/>
      <c r="H54" s="35"/>
      <c r="I54" s="35"/>
      <c r="J54" s="35"/>
      <c r="K54" s="35"/>
      <c r="L54" s="35"/>
      <c r="M54" s="35"/>
      <c r="N54" s="35"/>
      <c r="O54" s="35"/>
      <c r="P54" s="35"/>
    </row>
    <row r="55" spans="2:16" x14ac:dyDescent="0.25">
      <c r="B55" s="35"/>
      <c r="C55" s="35"/>
      <c r="D55" s="35"/>
      <c r="E55" s="35"/>
      <c r="F55" s="35"/>
      <c r="G55" s="35"/>
      <c r="H55" s="35"/>
      <c r="I55" s="35"/>
      <c r="J55" s="35"/>
      <c r="K55" s="35"/>
      <c r="L55" s="35"/>
      <c r="M55" s="35"/>
      <c r="N55" s="35"/>
      <c r="O55" s="35"/>
      <c r="P55" s="35"/>
    </row>
    <row r="56" spans="2:16" x14ac:dyDescent="0.25">
      <c r="B56" s="35"/>
      <c r="C56" s="35"/>
      <c r="D56" s="35"/>
      <c r="E56" s="35"/>
      <c r="F56" s="35"/>
      <c r="G56" s="35"/>
      <c r="H56" s="35"/>
      <c r="I56" s="35"/>
      <c r="J56" s="35"/>
      <c r="K56" s="35"/>
      <c r="L56" s="35"/>
      <c r="M56" s="35"/>
      <c r="N56" s="35"/>
      <c r="O56" s="35"/>
      <c r="P56" s="35"/>
    </row>
    <row r="57" spans="2:16" x14ac:dyDescent="0.25">
      <c r="B57" s="35"/>
      <c r="C57" s="35"/>
      <c r="D57" s="35"/>
      <c r="E57" s="35"/>
      <c r="F57" s="35"/>
      <c r="G57" s="35"/>
      <c r="H57" s="35"/>
      <c r="I57" s="35"/>
      <c r="J57" s="35"/>
      <c r="K57" s="35"/>
      <c r="L57" s="35"/>
      <c r="M57" s="35"/>
      <c r="N57" s="35"/>
      <c r="O57" s="35"/>
      <c r="P57" s="35"/>
    </row>
    <row r="58" spans="2:16" x14ac:dyDescent="0.25">
      <c r="B58" s="35"/>
      <c r="C58" s="35"/>
      <c r="D58" s="35"/>
      <c r="E58" s="35"/>
      <c r="F58" s="35"/>
      <c r="G58" s="35"/>
      <c r="H58" s="35"/>
      <c r="I58" s="35"/>
      <c r="J58" s="35"/>
      <c r="K58" s="35"/>
      <c r="L58" s="35"/>
      <c r="M58" s="35"/>
      <c r="N58" s="35"/>
      <c r="O58" s="35"/>
      <c r="P58" s="35"/>
    </row>
    <row r="59" spans="2:16" x14ac:dyDescent="0.25">
      <c r="B59" s="35"/>
      <c r="C59" s="35"/>
      <c r="D59" s="35"/>
      <c r="E59" s="35"/>
      <c r="F59" s="35"/>
      <c r="G59" s="35"/>
      <c r="H59" s="35"/>
      <c r="I59" s="35"/>
      <c r="J59" s="35"/>
      <c r="K59" s="35"/>
      <c r="L59" s="35"/>
      <c r="M59" s="35"/>
      <c r="N59" s="35"/>
      <c r="O59" s="35"/>
      <c r="P59" s="35"/>
    </row>
    <row r="60" spans="2:16" ht="13" x14ac:dyDescent="0.3">
      <c r="B60" s="48"/>
      <c r="C60" s="231"/>
      <c r="D60" s="35"/>
      <c r="E60" s="35"/>
      <c r="F60" s="313"/>
      <c r="G60" s="53"/>
      <c r="H60" s="35"/>
      <c r="I60" s="35"/>
      <c r="J60" s="35"/>
      <c r="K60" s="35"/>
      <c r="L60" s="35"/>
      <c r="M60" s="35"/>
      <c r="N60" s="35"/>
      <c r="O60" s="35"/>
      <c r="P60" s="35"/>
    </row>
    <row r="61" spans="2:16" ht="13" x14ac:dyDescent="0.3">
      <c r="B61" s="48"/>
      <c r="C61" s="231"/>
      <c r="D61" s="35"/>
      <c r="E61" s="35"/>
      <c r="F61" s="313"/>
      <c r="G61" s="53"/>
      <c r="H61" s="35"/>
      <c r="I61" s="35"/>
      <c r="J61" s="35"/>
      <c r="K61" s="35"/>
      <c r="L61" s="35"/>
      <c r="M61" s="35"/>
      <c r="N61" s="35"/>
      <c r="O61" s="35"/>
      <c r="P61" s="35"/>
    </row>
    <row r="62" spans="2:16" ht="13" x14ac:dyDescent="0.3">
      <c r="B62" s="48"/>
      <c r="C62" s="231"/>
      <c r="D62" s="35"/>
      <c r="E62" s="35"/>
      <c r="F62" s="313"/>
      <c r="G62" s="53"/>
      <c r="H62" s="35"/>
      <c r="I62" s="35"/>
      <c r="J62" s="35"/>
      <c r="K62" s="35"/>
      <c r="L62" s="35"/>
      <c r="M62" s="35"/>
      <c r="N62" s="35"/>
      <c r="O62" s="35"/>
      <c r="P62" s="35"/>
    </row>
    <row r="63" spans="2:16" ht="13" x14ac:dyDescent="0.3">
      <c r="B63" s="48"/>
      <c r="C63" s="231"/>
      <c r="D63" s="35"/>
      <c r="E63" s="35"/>
      <c r="F63" s="313"/>
      <c r="G63" s="53"/>
      <c r="H63" s="35"/>
      <c r="I63" s="35"/>
      <c r="J63" s="35"/>
      <c r="K63" s="35"/>
      <c r="L63" s="35"/>
      <c r="M63" s="35"/>
      <c r="N63" s="35"/>
      <c r="O63" s="35"/>
      <c r="P63" s="35"/>
    </row>
    <row r="64" spans="2:16" x14ac:dyDescent="0.25">
      <c r="D64" s="35"/>
      <c r="E64" s="35"/>
      <c r="F64" s="50"/>
      <c r="G64" s="51"/>
    </row>
    <row r="65" spans="2:16" x14ac:dyDescent="0.25">
      <c r="G65" s="51"/>
      <c r="H65" s="35"/>
      <c r="I65" s="35"/>
      <c r="J65" s="35"/>
      <c r="K65" s="35"/>
      <c r="L65" s="35"/>
    </row>
    <row r="66" spans="2:16" ht="15.5" x14ac:dyDescent="0.35">
      <c r="B66" s="31" t="str">
        <f>"All amounts in "&amp;$E$172</f>
        <v>All amounts in USD</v>
      </c>
      <c r="C66" s="31"/>
      <c r="G66" s="51"/>
      <c r="H66" s="35"/>
      <c r="I66" s="35"/>
      <c r="J66" s="35"/>
      <c r="K66" s="35"/>
    </row>
    <row r="67" spans="2:16" ht="15.5" x14ac:dyDescent="0.35">
      <c r="B67" s="52" t="s">
        <v>98</v>
      </c>
      <c r="C67" s="52"/>
      <c r="D67" s="52"/>
      <c r="E67" s="111">
        <f ca="1">'Financials Yearly'!D20</f>
        <v>2017</v>
      </c>
      <c r="F67" s="111">
        <f ca="1">'Financials Yearly'!E20</f>
        <v>2018</v>
      </c>
      <c r="G67" s="111">
        <f ca="1">'Financials Yearly'!F20</f>
        <v>2019</v>
      </c>
      <c r="H67" s="312">
        <f ca="1">'Financials Yearly'!G20</f>
        <v>2020</v>
      </c>
      <c r="I67" s="312">
        <f ca="1">'Financials Yearly'!H20</f>
        <v>2021</v>
      </c>
      <c r="J67" s="312">
        <f ca="1">'Financials Yearly'!I20</f>
        <v>2022</v>
      </c>
      <c r="K67" s="312">
        <f ca="1">'Financials Yearly'!J20</f>
        <v>2023</v>
      </c>
      <c r="L67" s="312">
        <f ca="1">'Financials Yearly'!K20</f>
        <v>2024</v>
      </c>
      <c r="M67" s="312">
        <f ca="1">'Financials Yearly'!L20</f>
        <v>2025</v>
      </c>
      <c r="N67" s="312">
        <f ca="1">'Financials Yearly'!M20</f>
        <v>2026</v>
      </c>
      <c r="O67" s="312">
        <f ca="1">'Financials Yearly'!N20</f>
        <v>2027</v>
      </c>
      <c r="P67" s="312">
        <f ca="1">'Financials Yearly'!O20</f>
        <v>2028</v>
      </c>
    </row>
    <row r="68" spans="2:16" s="119" customFormat="1" ht="15.5" x14ac:dyDescent="0.35">
      <c r="B68" s="118"/>
      <c r="C68" s="118"/>
      <c r="D68" s="118"/>
      <c r="E68" s="118"/>
      <c r="F68" s="118"/>
      <c r="G68" s="363"/>
      <c r="H68" s="118"/>
      <c r="I68" s="118"/>
      <c r="J68" s="118"/>
      <c r="K68" s="118"/>
      <c r="L68" s="118"/>
      <c r="M68" s="25"/>
      <c r="N68" s="25"/>
      <c r="O68" s="25"/>
      <c r="P68" s="25"/>
    </row>
    <row r="69" spans="2:16" s="119" customFormat="1" x14ac:dyDescent="0.25">
      <c r="B69" s="351" t="s">
        <v>214</v>
      </c>
      <c r="C69" s="351"/>
      <c r="D69" s="351" t="str">
        <f>$E$172</f>
        <v>USD</v>
      </c>
      <c r="E69" s="352">
        <f>'Financials Yearly'!D22</f>
        <v>4850000</v>
      </c>
      <c r="F69" s="352">
        <f>'Financials Yearly'!E22</f>
        <v>4920000</v>
      </c>
      <c r="G69" s="364">
        <f>'Financials Yearly'!F22</f>
        <v>5228648</v>
      </c>
      <c r="H69" s="352">
        <f>'Financials Yearly'!G22</f>
        <v>5392700</v>
      </c>
      <c r="I69" s="352">
        <f>'Financials Yearly'!H22</f>
        <v>5931970.0000000009</v>
      </c>
      <c r="J69" s="352">
        <f>'Financials Yearly'!I22</f>
        <v>6525167.0000000019</v>
      </c>
      <c r="K69" s="352">
        <f>'Financials Yearly'!J22</f>
        <v>7177683.700000003</v>
      </c>
      <c r="L69" s="352">
        <f>'Financials Yearly'!K22</f>
        <v>7536567.8850000035</v>
      </c>
      <c r="M69" s="352">
        <f>'Financials Yearly'!L22</f>
        <v>7913396.2792500043</v>
      </c>
      <c r="N69" s="352">
        <f>'Financials Yearly'!M22</f>
        <v>8071664.2048350042</v>
      </c>
      <c r="O69" s="352">
        <f>'Financials Yearly'!N22</f>
        <v>8233097.4889317043</v>
      </c>
      <c r="P69" s="352">
        <f>'Financials Yearly'!O22</f>
        <v>8397759.4387103394</v>
      </c>
    </row>
    <row r="70" spans="2:16" s="348" customFormat="1" ht="13" x14ac:dyDescent="0.3">
      <c r="B70" s="346" t="s">
        <v>399</v>
      </c>
      <c r="C70" s="346"/>
      <c r="D70" s="346" t="s">
        <v>170</v>
      </c>
      <c r="E70" s="347" t="str">
        <f>'Financials Yearly'!D188</f>
        <v>NA</v>
      </c>
      <c r="F70" s="347">
        <f>'Financials Yearly'!E188</f>
        <v>1.4432989690721598E-2</v>
      </c>
      <c r="G70" s="365">
        <f>'Financials Yearly'!F188</f>
        <v>6.2733333333333308E-2</v>
      </c>
      <c r="H70" s="347">
        <f>'Financials Yearly'!G188</f>
        <v>3.1375606084020236E-2</v>
      </c>
      <c r="I70" s="347">
        <f>'Financials Yearly'!H188</f>
        <v>0.10000000000000009</v>
      </c>
      <c r="J70" s="347">
        <f>'Financials Yearly'!I188</f>
        <v>0.10000000000000009</v>
      </c>
      <c r="K70" s="347">
        <f>'Financials Yearly'!J188</f>
        <v>0.10000000000000009</v>
      </c>
      <c r="L70" s="347">
        <f>'Financials Yearly'!K188</f>
        <v>5.0000000000000044E-2</v>
      </c>
      <c r="M70" s="347">
        <f>'Financials Yearly'!L188</f>
        <v>5.0000000000000044E-2</v>
      </c>
      <c r="N70" s="347">
        <f>'Financials Yearly'!M188</f>
        <v>2.0000000000000018E-2</v>
      </c>
      <c r="O70" s="347">
        <f>'Financials Yearly'!N188</f>
        <v>2.0000000000000018E-2</v>
      </c>
      <c r="P70" s="347">
        <f>'Financials Yearly'!O188</f>
        <v>2.0000000000000018E-2</v>
      </c>
    </row>
    <row r="71" spans="2:16" s="348" customFormat="1" ht="13" x14ac:dyDescent="0.3">
      <c r="B71" s="346"/>
      <c r="C71" s="346"/>
      <c r="D71" s="346"/>
      <c r="E71" s="347"/>
      <c r="F71" s="347"/>
      <c r="G71" s="365"/>
      <c r="H71" s="347"/>
      <c r="I71" s="347"/>
      <c r="J71" s="347"/>
      <c r="K71" s="347"/>
      <c r="L71" s="347"/>
      <c r="M71" s="347"/>
      <c r="N71" s="347"/>
      <c r="O71" s="347"/>
      <c r="P71" s="347"/>
    </row>
    <row r="72" spans="2:16" s="119" customFormat="1" x14ac:dyDescent="0.25">
      <c r="B72" s="273" t="s">
        <v>101</v>
      </c>
      <c r="C72" s="273"/>
      <c r="D72" s="273" t="str">
        <f>$E$172</f>
        <v>USD</v>
      </c>
      <c r="E72" s="320">
        <f>'Financials Yearly'!D25</f>
        <v>-2600000</v>
      </c>
      <c r="F72" s="320">
        <f>'Financials Yearly'!E25</f>
        <v>-2600000</v>
      </c>
      <c r="G72" s="366">
        <f>'Financials Yearly'!F25</f>
        <v>-2616063.0099999998</v>
      </c>
      <c r="H72" s="320">
        <f>'Financials Yearly'!G25</f>
        <v>-2694100</v>
      </c>
      <c r="I72" s="320">
        <f>'Financials Yearly'!H25</f>
        <v>-3025304.7000000007</v>
      </c>
      <c r="J72" s="320">
        <f>'Financials Yearly'!I25</f>
        <v>-3393086.8400000012</v>
      </c>
      <c r="K72" s="320">
        <f>'Financials Yearly'!J25</f>
        <v>-3804172.3610000019</v>
      </c>
      <c r="L72" s="320">
        <f>'Financials Yearly'!K25</f>
        <v>-3994380.9790500021</v>
      </c>
      <c r="M72" s="320">
        <f>'Financials Yearly'!L25</f>
        <v>-4194100.0280025024</v>
      </c>
      <c r="N72" s="320">
        <f>'Financials Yearly'!M25</f>
        <v>-4277982.0285625523</v>
      </c>
      <c r="O72" s="320">
        <f>'Financials Yearly'!N25</f>
        <v>-4363541.6691338038</v>
      </c>
      <c r="P72" s="320">
        <f>'Financials Yearly'!O25</f>
        <v>-4450812.5025164802</v>
      </c>
    </row>
    <row r="73" spans="2:16" s="119" customFormat="1" x14ac:dyDescent="0.25">
      <c r="B73" s="273" t="s">
        <v>253</v>
      </c>
      <c r="C73" s="273"/>
      <c r="D73" s="273" t="str">
        <f>$E$172</f>
        <v>USD</v>
      </c>
      <c r="E73" s="320">
        <f t="shared" ref="E73:P73" si="0">SUM(E72+E69)</f>
        <v>2250000</v>
      </c>
      <c r="F73" s="320">
        <f t="shared" si="0"/>
        <v>2320000</v>
      </c>
      <c r="G73" s="366">
        <f t="shared" si="0"/>
        <v>2612584.9900000002</v>
      </c>
      <c r="H73" s="320">
        <f t="shared" si="0"/>
        <v>2698600</v>
      </c>
      <c r="I73" s="320">
        <f t="shared" si="0"/>
        <v>2906665.3000000003</v>
      </c>
      <c r="J73" s="320">
        <f t="shared" si="0"/>
        <v>3132080.1600000006</v>
      </c>
      <c r="K73" s="320">
        <f t="shared" si="0"/>
        <v>3373511.3390000011</v>
      </c>
      <c r="L73" s="320">
        <f t="shared" si="0"/>
        <v>3542186.9059500014</v>
      </c>
      <c r="M73" s="320">
        <f t="shared" si="0"/>
        <v>3719296.2512475019</v>
      </c>
      <c r="N73" s="320">
        <f t="shared" si="0"/>
        <v>3793682.1762724519</v>
      </c>
      <c r="O73" s="320">
        <f t="shared" si="0"/>
        <v>3869555.8197979005</v>
      </c>
      <c r="P73" s="320">
        <f t="shared" si="0"/>
        <v>3946946.9361938592</v>
      </c>
    </row>
    <row r="74" spans="2:16" s="348" customFormat="1" ht="13" x14ac:dyDescent="0.3">
      <c r="B74" s="346" t="s">
        <v>170</v>
      </c>
      <c r="C74" s="346"/>
      <c r="D74" s="346" t="s">
        <v>170</v>
      </c>
      <c r="E74" s="347">
        <f>IF(ISERR(E73/E$69),"NA",E73/E$69)</f>
        <v>0.46391752577319589</v>
      </c>
      <c r="F74" s="347">
        <f>IF(ISERR(F73/F$69),"NA",F73/F$69)</f>
        <v>0.47154471544715448</v>
      </c>
      <c r="G74" s="365">
        <f t="shared" ref="G74:P74" si="1">IF(ISERR(G73/G$69),"NA",G73/G$69)</f>
        <v>0.49966740732977249</v>
      </c>
      <c r="H74" s="347">
        <f t="shared" si="1"/>
        <v>0.50041723070076216</v>
      </c>
      <c r="I74" s="347">
        <f t="shared" si="1"/>
        <v>0.49</v>
      </c>
      <c r="J74" s="347">
        <f t="shared" si="1"/>
        <v>0.48</v>
      </c>
      <c r="K74" s="347">
        <f t="shared" si="1"/>
        <v>0.47</v>
      </c>
      <c r="L74" s="347">
        <f t="shared" si="1"/>
        <v>0.47</v>
      </c>
      <c r="M74" s="347">
        <f t="shared" si="1"/>
        <v>0.47</v>
      </c>
      <c r="N74" s="347">
        <f t="shared" si="1"/>
        <v>0.47</v>
      </c>
      <c r="O74" s="347">
        <f t="shared" si="1"/>
        <v>0.46999999999999992</v>
      </c>
      <c r="P74" s="347">
        <f t="shared" si="1"/>
        <v>0.47</v>
      </c>
    </row>
    <row r="75" spans="2:16" s="348" customFormat="1" ht="13" x14ac:dyDescent="0.3">
      <c r="B75" s="346"/>
      <c r="C75" s="346"/>
      <c r="D75" s="346"/>
      <c r="E75" s="347"/>
      <c r="F75" s="347"/>
      <c r="G75" s="365"/>
      <c r="H75" s="347"/>
      <c r="I75" s="347"/>
      <c r="J75" s="347"/>
      <c r="K75" s="347"/>
      <c r="L75" s="347"/>
      <c r="M75" s="347"/>
      <c r="N75" s="347"/>
      <c r="O75" s="347"/>
      <c r="P75" s="347"/>
    </row>
    <row r="76" spans="2:16" s="119" customFormat="1" x14ac:dyDescent="0.25">
      <c r="B76" s="349" t="str">
        <f>'Financials Yearly'!B29</f>
        <v>Sales &amp; Marketing</v>
      </c>
      <c r="C76" s="273"/>
      <c r="D76" s="273" t="str">
        <f>$E$172</f>
        <v>USD</v>
      </c>
      <c r="E76" s="90">
        <f>'Financials Yearly'!D29</f>
        <v>-500000</v>
      </c>
      <c r="F76" s="90">
        <f>'Financials Yearly'!E29</f>
        <v>-500000</v>
      </c>
      <c r="G76" s="367">
        <f>'Financials Yearly'!F29</f>
        <v>-589580</v>
      </c>
      <c r="H76" s="90">
        <f>'Financials Yearly'!G29</f>
        <v>-598870</v>
      </c>
      <c r="I76" s="90">
        <f>'Financials Yearly'!H29</f>
        <v>-599437.30000000016</v>
      </c>
      <c r="J76" s="90">
        <f>'Financials Yearly'!I29</f>
        <v>-594129.36000000022</v>
      </c>
      <c r="K76" s="90">
        <f>'Financials Yearly'!J29</f>
        <v>-653542.29600000032</v>
      </c>
      <c r="L76" s="90">
        <f>'Financials Yearly'!K29</f>
        <v>-686219.41080000042</v>
      </c>
      <c r="M76" s="90">
        <f>'Financials Yearly'!L29</f>
        <v>-720530.38134000043</v>
      </c>
      <c r="N76" s="90">
        <f>'Financials Yearly'!M29</f>
        <v>-734940.98896680039</v>
      </c>
      <c r="O76" s="90">
        <f>'Financials Yearly'!N29</f>
        <v>-749639.80874613649</v>
      </c>
      <c r="P76" s="90">
        <f>'Financials Yearly'!O29</f>
        <v>-764632.60492105922</v>
      </c>
    </row>
    <row r="77" spans="2:16" s="119" customFormat="1" x14ac:dyDescent="0.25">
      <c r="B77" s="349" t="str">
        <f>'Financials Yearly'!B30</f>
        <v>General &amp; Admin</v>
      </c>
      <c r="C77" s="273"/>
      <c r="D77" s="273" t="str">
        <f>$E$172</f>
        <v>USD</v>
      </c>
      <c r="E77" s="90">
        <f>'Financials Yearly'!D30</f>
        <v>-500000</v>
      </c>
      <c r="F77" s="90">
        <f>'Financials Yearly'!E30</f>
        <v>-500000</v>
      </c>
      <c r="G77" s="367">
        <f>'Financials Yearly'!F30</f>
        <v>-574429</v>
      </c>
      <c r="H77" s="90">
        <f>'Financials Yearly'!G30</f>
        <v>-529485</v>
      </c>
      <c r="I77" s="90">
        <f>'Financials Yearly'!H30</f>
        <v>-523113.80000000016</v>
      </c>
      <c r="J77" s="90">
        <f>'Financials Yearly'!I30</f>
        <v>-510173.51000000024</v>
      </c>
      <c r="K77" s="90">
        <f>'Financials Yearly'!J30</f>
        <v>-561190.86100000038</v>
      </c>
      <c r="L77" s="90">
        <f>'Financials Yearly'!K30</f>
        <v>-589250.40405000036</v>
      </c>
      <c r="M77" s="90">
        <f>'Financials Yearly'!L30</f>
        <v>-618712.92425250041</v>
      </c>
      <c r="N77" s="90">
        <f>'Financials Yearly'!M30</f>
        <v>-631087.18273755047</v>
      </c>
      <c r="O77" s="90">
        <f>'Financials Yearly'!N30</f>
        <v>-643708.92639230145</v>
      </c>
      <c r="P77" s="90">
        <f>'Financials Yearly'!O30</f>
        <v>-656583.10492014757</v>
      </c>
    </row>
    <row r="78" spans="2:16" s="119" customFormat="1" x14ac:dyDescent="0.25">
      <c r="B78" s="349" t="str">
        <f>'Financials Yearly'!B31</f>
        <v>Other operating expenses</v>
      </c>
      <c r="C78" s="273"/>
      <c r="D78" s="273" t="str">
        <f>$E$172</f>
        <v>USD</v>
      </c>
      <c r="E78" s="90">
        <f>'Financials Yearly'!D31</f>
        <v>-750000</v>
      </c>
      <c r="F78" s="90">
        <f>'Financials Yearly'!E31</f>
        <v>-750000</v>
      </c>
      <c r="G78" s="367">
        <f>'Financials Yearly'!F31</f>
        <v>-772373</v>
      </c>
      <c r="H78" s="90">
        <f>'Financials Yearly'!G31</f>
        <v>-754000</v>
      </c>
      <c r="I78" s="90">
        <f>'Financials Yearly'!H31</f>
        <v>-770080.30000000016</v>
      </c>
      <c r="J78" s="90">
        <f>'Financials Yearly'!I31</f>
        <v>-781836.66000000027</v>
      </c>
      <c r="K78" s="90">
        <f>'Financials Yearly'!J31</f>
        <v>-860020.32600000035</v>
      </c>
      <c r="L78" s="90">
        <f>'Financials Yearly'!K31</f>
        <v>-903021.34230000048</v>
      </c>
      <c r="M78" s="90">
        <f>'Financials Yearly'!L31</f>
        <v>-948172.40941500058</v>
      </c>
      <c r="N78" s="90">
        <f>'Financials Yearly'!M31</f>
        <v>-967135.85760330048</v>
      </c>
      <c r="O78" s="90">
        <f>'Financials Yearly'!N31</f>
        <v>-986478.57475536654</v>
      </c>
      <c r="P78" s="90">
        <f>'Financials Yearly'!O31</f>
        <v>-1006208.146250474</v>
      </c>
    </row>
    <row r="79" spans="2:16" s="119" customFormat="1" x14ac:dyDescent="0.25">
      <c r="B79" s="90" t="str">
        <f>'Financials Yearly'!B32</f>
        <v>OPEX</v>
      </c>
      <c r="C79" s="273"/>
      <c r="D79" s="273" t="str">
        <f>$E$172</f>
        <v>USD</v>
      </c>
      <c r="E79" s="90">
        <f>'Financials Yearly'!D32</f>
        <v>-1750000</v>
      </c>
      <c r="F79" s="90">
        <f>'Financials Yearly'!E32</f>
        <v>-1750000</v>
      </c>
      <c r="G79" s="367">
        <f>'Financials Yearly'!F32</f>
        <v>-1936382</v>
      </c>
      <c r="H79" s="90">
        <f>'Financials Yearly'!G32</f>
        <v>-1882355</v>
      </c>
      <c r="I79" s="90">
        <f>'Financials Yearly'!H32</f>
        <v>-1892631.4000000004</v>
      </c>
      <c r="J79" s="90">
        <f>'Financials Yearly'!I32</f>
        <v>-1886139.5300000007</v>
      </c>
      <c r="K79" s="90">
        <f>'Financials Yearly'!J32</f>
        <v>-2074753.4830000009</v>
      </c>
      <c r="L79" s="90">
        <f>'Financials Yearly'!K32</f>
        <v>-2178491.1571500013</v>
      </c>
      <c r="M79" s="90">
        <f>'Financials Yearly'!L32</f>
        <v>-2287415.7150075017</v>
      </c>
      <c r="N79" s="90">
        <f>'Financials Yearly'!M32</f>
        <v>-2333164.0293076513</v>
      </c>
      <c r="O79" s="90">
        <f>'Financials Yearly'!N32</f>
        <v>-2379827.3098938046</v>
      </c>
      <c r="P79" s="90">
        <f>'Financials Yearly'!O32</f>
        <v>-2427423.8560916809</v>
      </c>
    </row>
    <row r="80" spans="2:16" s="119" customFormat="1" x14ac:dyDescent="0.25">
      <c r="B80" s="350" t="s">
        <v>246</v>
      </c>
      <c r="C80" s="350"/>
      <c r="D80" s="350" t="str">
        <f>$E$172</f>
        <v>USD</v>
      </c>
      <c r="E80" s="188">
        <f>E73+E79</f>
        <v>500000</v>
      </c>
      <c r="F80" s="188">
        <f>F73+F79</f>
        <v>570000</v>
      </c>
      <c r="G80" s="368">
        <f t="shared" ref="G80:P80" si="2">G73+G79</f>
        <v>676202.99000000022</v>
      </c>
      <c r="H80" s="188">
        <f t="shared" si="2"/>
        <v>816245</v>
      </c>
      <c r="I80" s="188">
        <f t="shared" si="2"/>
        <v>1014033.8999999999</v>
      </c>
      <c r="J80" s="188">
        <f t="shared" si="2"/>
        <v>1245940.6299999999</v>
      </c>
      <c r="K80" s="188">
        <f t="shared" si="2"/>
        <v>1298757.8560000001</v>
      </c>
      <c r="L80" s="188">
        <f t="shared" si="2"/>
        <v>1363695.7488000002</v>
      </c>
      <c r="M80" s="188">
        <f t="shared" si="2"/>
        <v>1431880.5362400003</v>
      </c>
      <c r="N80" s="188">
        <f t="shared" si="2"/>
        <v>1460518.1469648005</v>
      </c>
      <c r="O80" s="188">
        <f t="shared" si="2"/>
        <v>1489728.5099040959</v>
      </c>
      <c r="P80" s="188">
        <f t="shared" si="2"/>
        <v>1519523.0801021783</v>
      </c>
    </row>
    <row r="81" spans="2:16" s="348" customFormat="1" ht="13" x14ac:dyDescent="0.3">
      <c r="B81" s="346" t="s">
        <v>245</v>
      </c>
      <c r="C81" s="346"/>
      <c r="D81" s="346" t="s">
        <v>245</v>
      </c>
      <c r="E81" s="347">
        <f>IF(ISERR(E80/E$69),"NA",E80/E$69)</f>
        <v>0.10309278350515463</v>
      </c>
      <c r="F81" s="347">
        <f>IF(ISERR(F80/F$69),"NA",F80/F$69)</f>
        <v>0.11585365853658537</v>
      </c>
      <c r="G81" s="365">
        <f t="shared" ref="G81:P81" si="3">IF(ISERR(G80/G$69),"NA",G80/G$69)</f>
        <v>0.12932654674784003</v>
      </c>
      <c r="H81" s="347">
        <f t="shared" si="3"/>
        <v>0.1513610992638196</v>
      </c>
      <c r="I81" s="347">
        <f t="shared" si="3"/>
        <v>0.17094386856305743</v>
      </c>
      <c r="J81" s="347">
        <f t="shared" si="3"/>
        <v>0.1909438685630574</v>
      </c>
      <c r="K81" s="347">
        <f t="shared" si="3"/>
        <v>0.18094386856305741</v>
      </c>
      <c r="L81" s="347">
        <f t="shared" si="3"/>
        <v>0.18094386856305741</v>
      </c>
      <c r="M81" s="347">
        <f t="shared" si="3"/>
        <v>0.18094386856305741</v>
      </c>
      <c r="N81" s="347">
        <f t="shared" si="3"/>
        <v>0.18094386856305744</v>
      </c>
      <c r="O81" s="347">
        <f t="shared" si="3"/>
        <v>0.18094386856305736</v>
      </c>
      <c r="P81" s="347">
        <f t="shared" si="3"/>
        <v>0.18094386856305739</v>
      </c>
    </row>
    <row r="82" spans="2:16" s="348" customFormat="1" ht="13" x14ac:dyDescent="0.3">
      <c r="B82" s="346"/>
      <c r="C82" s="346"/>
      <c r="D82" s="346"/>
      <c r="E82" s="347"/>
      <c r="F82" s="347"/>
      <c r="G82" s="365"/>
      <c r="H82" s="347"/>
      <c r="I82" s="347"/>
      <c r="J82" s="347"/>
      <c r="K82" s="347"/>
      <c r="L82" s="347"/>
      <c r="M82" s="347"/>
      <c r="N82" s="347"/>
      <c r="O82" s="347"/>
      <c r="P82" s="347"/>
    </row>
    <row r="83" spans="2:16" s="119" customFormat="1" x14ac:dyDescent="0.25">
      <c r="B83" s="206" t="str">
        <f>'Financials Yearly'!B36</f>
        <v>Depreciation &amp; Amortization</v>
      </c>
      <c r="C83" s="351"/>
      <c r="D83" s="351" t="str">
        <f>$E$172</f>
        <v>USD</v>
      </c>
      <c r="E83" s="206">
        <f>'Financials Yearly'!D36</f>
        <v>-250000</v>
      </c>
      <c r="F83" s="206">
        <f>'Financials Yearly'!E36</f>
        <v>-250000</v>
      </c>
      <c r="G83" s="269">
        <f>'Financials Yearly'!F36</f>
        <v>-250500</v>
      </c>
      <c r="H83" s="206">
        <f>'Financials Yearly'!G36</f>
        <v>-357450</v>
      </c>
      <c r="I83" s="206">
        <f>'Financials Yearly'!H36</f>
        <v>-417450</v>
      </c>
      <c r="J83" s="206">
        <f>'Financials Yearly'!I36</f>
        <v>-567450</v>
      </c>
      <c r="K83" s="206">
        <f>'Financials Yearly'!J36</f>
        <v>-607450</v>
      </c>
      <c r="L83" s="206">
        <f>'Financials Yearly'!K36</f>
        <v>-647450</v>
      </c>
      <c r="M83" s="206">
        <f>'Financials Yearly'!L36</f>
        <v>-687450</v>
      </c>
      <c r="N83" s="206">
        <f>'Financials Yearly'!M36</f>
        <v>-767450</v>
      </c>
      <c r="O83" s="206">
        <f>'Financials Yearly'!N36</f>
        <v>-847450</v>
      </c>
      <c r="P83" s="206">
        <f>'Financials Yearly'!O36</f>
        <v>-927450</v>
      </c>
    </row>
    <row r="84" spans="2:16" s="119" customFormat="1" x14ac:dyDescent="0.25">
      <c r="B84" s="273" t="str">
        <f>'Financials Yearly'!B37</f>
        <v>EBIT</v>
      </c>
      <c r="C84" s="273"/>
      <c r="D84" s="273" t="str">
        <f>$E$172</f>
        <v>USD</v>
      </c>
      <c r="E84" s="90">
        <f>'Financials Yearly'!D37</f>
        <v>250000</v>
      </c>
      <c r="F84" s="90">
        <f>'Financials Yearly'!E37</f>
        <v>320000</v>
      </c>
      <c r="G84" s="367">
        <f>'Financials Yearly'!F37</f>
        <v>425702.99000000022</v>
      </c>
      <c r="H84" s="90">
        <f>'Financials Yearly'!G37</f>
        <v>458795</v>
      </c>
      <c r="I84" s="90">
        <f>'Financials Yearly'!H37</f>
        <v>596583.89999999991</v>
      </c>
      <c r="J84" s="90">
        <f>'Financials Yearly'!I37</f>
        <v>678490.62999999989</v>
      </c>
      <c r="K84" s="90">
        <f>'Financials Yearly'!J37</f>
        <v>691307.85600000015</v>
      </c>
      <c r="L84" s="90">
        <f>'Financials Yearly'!K37</f>
        <v>716245.74880000018</v>
      </c>
      <c r="M84" s="90">
        <f>'Financials Yearly'!L37</f>
        <v>744430.53624000028</v>
      </c>
      <c r="N84" s="90">
        <f>'Financials Yearly'!M37</f>
        <v>693068.14696480054</v>
      </c>
      <c r="O84" s="90">
        <f>'Financials Yearly'!N37</f>
        <v>642278.5099040959</v>
      </c>
      <c r="P84" s="90">
        <f>'Financials Yearly'!O37</f>
        <v>592073.08010217827</v>
      </c>
    </row>
    <row r="85" spans="2:16" s="348" customFormat="1" ht="13" x14ac:dyDescent="0.3">
      <c r="B85" s="346" t="str">
        <f>'Financials Yearly'!B38</f>
        <v>%</v>
      </c>
      <c r="C85" s="346"/>
      <c r="D85" s="346" t="s">
        <v>356</v>
      </c>
      <c r="E85" s="347">
        <f>'Financials Yearly'!D38</f>
        <v>5.1546391752577317E-2</v>
      </c>
      <c r="F85" s="347">
        <f>'Financials Yearly'!E38</f>
        <v>6.5040650406504072E-2</v>
      </c>
      <c r="G85" s="365">
        <f>'Financials Yearly'!F38</f>
        <v>8.1417412302377257E-2</v>
      </c>
      <c r="H85" s="347">
        <f>'Financials Yearly'!G38</f>
        <v>8.5077048602740749E-2</v>
      </c>
      <c r="I85" s="347">
        <f>'Financials Yearly'!H38</f>
        <v>0.10057095703450958</v>
      </c>
      <c r="J85" s="347">
        <f>'Financials Yearly'!I38</f>
        <v>0.10398057704883257</v>
      </c>
      <c r="K85" s="347">
        <f>'Financials Yearly'!J38</f>
        <v>9.6313502362886216E-2</v>
      </c>
      <c r="L85" s="347">
        <f>'Financials Yearly'!K38</f>
        <v>9.5036064124830719E-2</v>
      </c>
      <c r="M85" s="347">
        <f>'Financials Yearly'!L38</f>
        <v>9.4072192263642579E-2</v>
      </c>
      <c r="N85" s="347">
        <f>'Financials Yearly'!M38</f>
        <v>8.5864343384062736E-2</v>
      </c>
      <c r="O85" s="347">
        <f>'Financials Yearly'!N38</f>
        <v>7.8011770268426095E-2</v>
      </c>
      <c r="P85" s="347">
        <f>'Financials Yearly'!O38</f>
        <v>7.0503696185074821E-2</v>
      </c>
    </row>
    <row r="86" spans="2:16" s="348" customFormat="1" ht="13" x14ac:dyDescent="0.3">
      <c r="B86" s="346"/>
      <c r="C86" s="346"/>
      <c r="D86" s="346"/>
      <c r="E86" s="347"/>
      <c r="F86" s="347"/>
      <c r="G86" s="365"/>
      <c r="H86" s="347"/>
      <c r="I86" s="347"/>
      <c r="J86" s="347"/>
      <c r="K86" s="347"/>
      <c r="L86" s="347"/>
      <c r="M86" s="347"/>
      <c r="N86" s="347"/>
      <c r="O86" s="347"/>
      <c r="P86" s="347"/>
    </row>
    <row r="87" spans="2:16" s="119" customFormat="1" x14ac:dyDescent="0.25">
      <c r="B87" s="90" t="str">
        <f>'Financials Yearly'!B40</f>
        <v>Interest payment</v>
      </c>
      <c r="C87" s="273"/>
      <c r="D87" s="273" t="str">
        <f>$E$172</f>
        <v>USD</v>
      </c>
      <c r="E87" s="90">
        <f>'Financials Yearly'!D40</f>
        <v>-60000</v>
      </c>
      <c r="F87" s="90">
        <f>'Financials Yearly'!E40</f>
        <v>-60000</v>
      </c>
      <c r="G87" s="367">
        <f>'Financials Yearly'!F40</f>
        <v>-27000</v>
      </c>
      <c r="H87" s="90">
        <f ca="1">'Financials Yearly'!G40</f>
        <v>-201125</v>
      </c>
      <c r="I87" s="90">
        <f ca="1">'Financials Yearly'!H40</f>
        <v>-119200</v>
      </c>
      <c r="J87" s="90">
        <f ca="1">'Financials Yearly'!I40</f>
        <v>-88000</v>
      </c>
      <c r="K87" s="90">
        <f ca="1">'Financials Yearly'!J40</f>
        <v>-48250</v>
      </c>
      <c r="L87" s="90">
        <f ca="1">'Financials Yearly'!K40</f>
        <v>-25250</v>
      </c>
      <c r="M87" s="90">
        <f ca="1">'Financials Yearly'!L40</f>
        <v>-7125</v>
      </c>
      <c r="N87" s="90">
        <f ca="1">'Financials Yearly'!M40</f>
        <v>-750</v>
      </c>
      <c r="O87" s="90">
        <f ca="1">'Financials Yearly'!N40</f>
        <v>0</v>
      </c>
      <c r="P87" s="90">
        <f ca="1">'Financials Yearly'!O40</f>
        <v>0</v>
      </c>
    </row>
    <row r="88" spans="2:16" s="119" customFormat="1" x14ac:dyDescent="0.25">
      <c r="B88" s="206" t="str">
        <f>'Financials Yearly'!B45</f>
        <v>Taxes</v>
      </c>
      <c r="C88" s="351"/>
      <c r="D88" s="351" t="str">
        <f>$E$172</f>
        <v>USD</v>
      </c>
      <c r="E88" s="206">
        <f>'Financials Yearly'!D45</f>
        <v>-20000</v>
      </c>
      <c r="F88" s="206">
        <f>'Financials Yearly'!E45</f>
        <v>-140000</v>
      </c>
      <c r="G88" s="269">
        <f>'Financials Yearly'!F45</f>
        <v>-60000</v>
      </c>
      <c r="H88" s="206">
        <f ca="1">'Financials Yearly'!G45</f>
        <v>-64417.5</v>
      </c>
      <c r="I88" s="206">
        <f ca="1">'Financials Yearly'!H45</f>
        <v>-119345.97499999998</v>
      </c>
      <c r="J88" s="206">
        <f ca="1">'Financials Yearly'!I45</f>
        <v>-147622.65749999997</v>
      </c>
      <c r="K88" s="206">
        <f ca="1">'Financials Yearly'!J45</f>
        <v>-160764.46400000004</v>
      </c>
      <c r="L88" s="206">
        <f ca="1">'Financials Yearly'!K45</f>
        <v>-172748.93720000004</v>
      </c>
      <c r="M88" s="206">
        <f ca="1">'Financials Yearly'!L45</f>
        <v>-184326.38406000007</v>
      </c>
      <c r="N88" s="206">
        <f ca="1">'Financials Yearly'!M45</f>
        <v>-173079.53674120014</v>
      </c>
      <c r="O88" s="206">
        <f ca="1">'Financials Yearly'!N45</f>
        <v>-160569.62747602398</v>
      </c>
      <c r="P88" s="206">
        <f ca="1">'Financials Yearly'!O45</f>
        <v>-148018.27002554457</v>
      </c>
    </row>
    <row r="89" spans="2:16" s="119" customFormat="1" x14ac:dyDescent="0.25">
      <c r="B89" s="273" t="str">
        <f>'Financials Yearly'!B46</f>
        <v>Net Income</v>
      </c>
      <c r="C89" s="273"/>
      <c r="D89" s="273" t="str">
        <f>'Financials Yearly'!C46</f>
        <v>USD</v>
      </c>
      <c r="E89" s="90">
        <f>'Financials Yearly'!D46</f>
        <v>170000</v>
      </c>
      <c r="F89" s="90">
        <f>'Financials Yearly'!E46</f>
        <v>120000</v>
      </c>
      <c r="G89" s="367">
        <f>'Financials Yearly'!F46</f>
        <v>338702.99000000022</v>
      </c>
      <c r="H89" s="90">
        <f ca="1">'Financials Yearly'!G46</f>
        <v>193252.5</v>
      </c>
      <c r="I89" s="90">
        <f ca="1">'Financials Yearly'!H46</f>
        <v>358037.92499999993</v>
      </c>
      <c r="J89" s="90">
        <f ca="1">'Financials Yearly'!I46</f>
        <v>442867.97249999992</v>
      </c>
      <c r="K89" s="90">
        <f ca="1">'Financials Yearly'!J46</f>
        <v>482293.39200000011</v>
      </c>
      <c r="L89" s="90">
        <f ca="1">'Financials Yearly'!K46</f>
        <v>518246.81160000013</v>
      </c>
      <c r="M89" s="90">
        <f ca="1">'Financials Yearly'!L46</f>
        <v>552979.15218000021</v>
      </c>
      <c r="N89" s="90">
        <f ca="1">'Financials Yearly'!M46</f>
        <v>519238.61022360041</v>
      </c>
      <c r="O89" s="90">
        <f ca="1">'Financials Yearly'!N46</f>
        <v>481708.88242807193</v>
      </c>
      <c r="P89" s="90">
        <f ca="1">'Financials Yearly'!O46</f>
        <v>444054.8100766337</v>
      </c>
    </row>
    <row r="90" spans="2:16" s="348" customFormat="1" ht="13" x14ac:dyDescent="0.3">
      <c r="B90" s="346" t="str">
        <f>'Financials Yearly'!B47</f>
        <v>%</v>
      </c>
      <c r="C90" s="346"/>
      <c r="D90" s="346" t="str">
        <f>'Financials Yearly'!C47</f>
        <v>%</v>
      </c>
      <c r="E90" s="347">
        <f>'Financials Yearly'!D47</f>
        <v>3.5051546391752578E-2</v>
      </c>
      <c r="F90" s="347">
        <f>'Financials Yearly'!E47</f>
        <v>2.4390243902439025E-2</v>
      </c>
      <c r="G90" s="365">
        <f>'Financials Yearly'!F47</f>
        <v>6.4778311716527912E-2</v>
      </c>
      <c r="H90" s="347">
        <f ca="1">'Financials Yearly'!G47</f>
        <v>3.5835944888460328E-2</v>
      </c>
      <c r="I90" s="347">
        <f ca="1">'Financials Yearly'!H47</f>
        <v>6.0357339130170898E-2</v>
      </c>
      <c r="J90" s="347">
        <f ca="1">'Financials Yearly'!I47</f>
        <v>6.7870749131784647E-2</v>
      </c>
      <c r="K90" s="347">
        <f ca="1">'Financials Yearly'!J47</f>
        <v>6.7193458524788419E-2</v>
      </c>
      <c r="L90" s="347">
        <f ca="1">'Financials Yearly'!K47</f>
        <v>6.8764299546941576E-2</v>
      </c>
      <c r="M90" s="347">
        <f ca="1">'Financials Yearly'!L47</f>
        <v>6.987886523893494E-2</v>
      </c>
      <c r="N90" s="347">
        <f ca="1">'Financials Yearly'!M47</f>
        <v>6.4328569307005048E-2</v>
      </c>
      <c r="O90" s="347">
        <f ca="1">'Financials Yearly'!N47</f>
        <v>5.8508827701319571E-2</v>
      </c>
      <c r="P90" s="347">
        <f ca="1">'Financials Yearly'!O47</f>
        <v>5.2877772138806123E-2</v>
      </c>
    </row>
    <row r="91" spans="2:16" x14ac:dyDescent="0.25">
      <c r="B91" s="35"/>
      <c r="C91" s="35"/>
      <c r="D91" s="35"/>
      <c r="E91" s="35"/>
      <c r="F91" s="35"/>
      <c r="G91" s="35"/>
      <c r="H91" s="47"/>
      <c r="I91" s="47"/>
      <c r="J91" s="35"/>
      <c r="K91" s="35"/>
      <c r="L91" s="35"/>
      <c r="M91" s="35"/>
      <c r="N91" s="35"/>
      <c r="O91" s="35"/>
      <c r="P91" s="35"/>
    </row>
    <row r="93" spans="2:16" x14ac:dyDescent="0.25">
      <c r="B93" s="13" t="str">
        <f>"# of shares ("&amp;F157&amp;")"</f>
        <v># of shares (Full Dilution)</v>
      </c>
      <c r="D93" s="13" t="s">
        <v>418</v>
      </c>
      <c r="E93" s="333" t="s">
        <v>361</v>
      </c>
      <c r="F93" s="333" t="s">
        <v>361</v>
      </c>
      <c r="G93" s="369" t="s">
        <v>361</v>
      </c>
      <c r="H93" s="228">
        <f>F165</f>
        <v>1275.0325867993838</v>
      </c>
      <c r="I93" s="228">
        <f>H93</f>
        <v>1275.0325867993838</v>
      </c>
      <c r="J93" s="228">
        <f t="shared" ref="J93:P93" si="4">I93</f>
        <v>1275.0325867993838</v>
      </c>
      <c r="K93" s="228">
        <f t="shared" si="4"/>
        <v>1275.0325867993838</v>
      </c>
      <c r="L93" s="228">
        <f t="shared" si="4"/>
        <v>1275.0325867993838</v>
      </c>
      <c r="M93" s="228">
        <f t="shared" si="4"/>
        <v>1275.0325867993838</v>
      </c>
      <c r="N93" s="228">
        <f t="shared" si="4"/>
        <v>1275.0325867993838</v>
      </c>
      <c r="O93" s="228">
        <f t="shared" si="4"/>
        <v>1275.0325867993838</v>
      </c>
      <c r="P93" s="228">
        <f t="shared" si="4"/>
        <v>1275.0325867993838</v>
      </c>
    </row>
    <row r="94" spans="2:16" x14ac:dyDescent="0.25">
      <c r="B94" s="13" t="s">
        <v>417</v>
      </c>
      <c r="D94" s="99" t="str">
        <f>Summary!$E$172&amp;" / share"</f>
        <v>USD / share</v>
      </c>
      <c r="E94" s="333" t="s">
        <v>361</v>
      </c>
      <c r="F94" s="333" t="s">
        <v>361</v>
      </c>
      <c r="G94" s="369" t="s">
        <v>361</v>
      </c>
      <c r="H94" s="357">
        <f ca="1">H89/H93</f>
        <v>151.56671445167285</v>
      </c>
      <c r="I94" s="357">
        <f t="shared" ref="I94:P94" ca="1" si="5">I89/I93</f>
        <v>280.8068818842936</v>
      </c>
      <c r="J94" s="357">
        <f t="shared" ca="1" si="5"/>
        <v>347.33855203787169</v>
      </c>
      <c r="K94" s="357">
        <f t="shared" ca="1" si="5"/>
        <v>378.25965939479562</v>
      </c>
      <c r="L94" s="357">
        <f t="shared" ca="1" si="5"/>
        <v>406.45769917215625</v>
      </c>
      <c r="M94" s="357">
        <f t="shared" ca="1" si="5"/>
        <v>433.69805439098718</v>
      </c>
      <c r="N94" s="357">
        <f t="shared" ca="1" si="5"/>
        <v>407.23556056477361</v>
      </c>
      <c r="O94" s="357">
        <f t="shared" ca="1" si="5"/>
        <v>377.80123223145904</v>
      </c>
      <c r="P94" s="357">
        <f t="shared" ca="1" si="5"/>
        <v>348.26938124876506</v>
      </c>
    </row>
    <row r="95" spans="2:16" x14ac:dyDescent="0.25">
      <c r="G95" s="370"/>
    </row>
    <row r="96" spans="2:16" x14ac:dyDescent="0.25">
      <c r="B96" s="35" t="str">
        <f>'Financials Yearly'!B175</f>
        <v>Financial Debt / EBITDA</v>
      </c>
      <c r="C96" s="35"/>
      <c r="D96" s="35" t="s">
        <v>400</v>
      </c>
      <c r="E96" s="314">
        <f>'Financials Yearly'!D175</f>
        <v>4</v>
      </c>
      <c r="F96" s="314">
        <f>'Financials Yearly'!E175</f>
        <v>3.5087719298245612</v>
      </c>
      <c r="G96" s="371">
        <f>'Financials Yearly'!F175</f>
        <v>2.9576917428300624</v>
      </c>
      <c r="H96" s="314">
        <f ca="1">'Financials Yearly'!G175</f>
        <v>4.1654160209250897</v>
      </c>
      <c r="I96" s="314">
        <f ca="1">'Financials Yearly'!H175</f>
        <v>2.7513873056906681</v>
      </c>
      <c r="J96" s="314">
        <f ca="1">'Financials Yearly'!I175</f>
        <v>1.3523918872442584</v>
      </c>
      <c r="K96" s="314">
        <f ca="1">'Financials Yearly'!J175</f>
        <v>0.85081294784483663</v>
      </c>
      <c r="L96" s="314">
        <f ca="1">'Financials Yearly'!K175</f>
        <v>0.31165309444865813</v>
      </c>
      <c r="M96" s="314">
        <f ca="1">'Financials Yearly'!L175</f>
        <v>3.4919114223939285E-2</v>
      </c>
      <c r="N96" s="314">
        <f ca="1">'Financials Yearly'!M175</f>
        <v>0</v>
      </c>
      <c r="O96" s="314">
        <f ca="1">'Financials Yearly'!N175</f>
        <v>0</v>
      </c>
      <c r="P96" s="314">
        <f ca="1">'Financials Yearly'!O175</f>
        <v>0</v>
      </c>
    </row>
    <row r="97" spans="2:16" x14ac:dyDescent="0.25">
      <c r="B97" s="35" t="s">
        <v>353</v>
      </c>
      <c r="C97" s="35"/>
      <c r="D97" s="34" t="str">
        <f>$E$172</f>
        <v>USD</v>
      </c>
      <c r="E97" s="105">
        <f>'Financials Yearly'!D174</f>
        <v>2000000</v>
      </c>
      <c r="F97" s="105">
        <f>'Financials Yearly'!E174</f>
        <v>2000000</v>
      </c>
      <c r="G97" s="374">
        <f>'Financials Yearly'!F174</f>
        <v>2000000</v>
      </c>
      <c r="H97" s="105">
        <f ca="1">'Financials Yearly'!G174</f>
        <v>3400000</v>
      </c>
      <c r="I97" s="105">
        <f ca="1">'Financials Yearly'!H174</f>
        <v>2790000</v>
      </c>
      <c r="J97" s="105">
        <f ca="1">'Financials Yearly'!I174</f>
        <v>1685000</v>
      </c>
      <c r="K97" s="105">
        <f ca="1">'Financials Yearly'!J174</f>
        <v>1105000</v>
      </c>
      <c r="L97" s="105">
        <f ca="1">'Financials Yearly'!K174</f>
        <v>425000</v>
      </c>
      <c r="M97" s="105">
        <f ca="1">'Financials Yearly'!L174</f>
        <v>50000</v>
      </c>
      <c r="N97" s="105">
        <f ca="1">'Financials Yearly'!M174</f>
        <v>0</v>
      </c>
      <c r="O97" s="105">
        <f ca="1">'Financials Yearly'!N174</f>
        <v>0</v>
      </c>
      <c r="P97" s="105">
        <f ca="1">'Financials Yearly'!O174</f>
        <v>0</v>
      </c>
    </row>
    <row r="98" spans="2:16" x14ac:dyDescent="0.25">
      <c r="B98" s="35" t="s">
        <v>354</v>
      </c>
      <c r="C98" s="35"/>
      <c r="D98" s="34" t="str">
        <f>$E$172</f>
        <v>USD</v>
      </c>
      <c r="E98" s="105">
        <f>'Financials Yearly'!D55</f>
        <v>200000</v>
      </c>
      <c r="F98" s="105">
        <f>'Financials Yearly'!E55</f>
        <v>495000</v>
      </c>
      <c r="G98" s="374">
        <f>'Financials Yearly'!F55</f>
        <v>384202.99</v>
      </c>
      <c r="H98" s="105">
        <f>'Financials Yearly'!G55</f>
        <v>1836447.99</v>
      </c>
      <c r="I98" s="105">
        <f ca="1">'Financials Yearly'!H55</f>
        <v>142225.92715753405</v>
      </c>
      <c r="J98" s="105">
        <f ca="1">'Financials Yearly'!I55</f>
        <v>-445579.90335616493</v>
      </c>
      <c r="K98" s="105">
        <f ca="1">'Financials Yearly'!J55</f>
        <v>-438540.85221917904</v>
      </c>
      <c r="L98" s="105">
        <f ca="1">'Financials Yearly'!K55</f>
        <v>-407856.56158013758</v>
      </c>
      <c r="M98" s="105">
        <f ca="1">'Financials Yearly'!L55</f>
        <v>-400190.55640914431</v>
      </c>
      <c r="N98" s="105">
        <f ca="1">'Financials Yearly'!M55</f>
        <v>12237.532070673304</v>
      </c>
      <c r="O98" s="105">
        <f ca="1">'Financials Yearly'!N55</f>
        <v>275796.24110605079</v>
      </c>
      <c r="P98" s="105">
        <f ca="1">'Financials Yearly'!O55</f>
        <v>600032.99932213582</v>
      </c>
    </row>
    <row r="99" spans="2:16" x14ac:dyDescent="0.25">
      <c r="B99" s="35" t="s">
        <v>244</v>
      </c>
      <c r="C99" s="35"/>
      <c r="D99" s="34" t="str">
        <f>$E$172</f>
        <v>USD</v>
      </c>
      <c r="E99" s="354" t="str">
        <f>IF(ISERR(-'Financials Yearly'!D87),"NA",-'Financials Yearly'!D87)</f>
        <v>NA</v>
      </c>
      <c r="F99" s="354">
        <f>IF(ISERR(-'Financials Yearly'!E87),"NA",-'Financials Yearly'!E87)</f>
        <v>75000</v>
      </c>
      <c r="G99" s="372">
        <f>IF(ISERR(-'Financials Yearly'!F87),"NA",-'Financials Yearly'!F87)</f>
        <v>700000</v>
      </c>
      <c r="H99" s="354">
        <f>IF(ISERR(-'Financials Yearly'!G87),"NA",-'Financials Yearly'!G87)</f>
        <v>600000</v>
      </c>
      <c r="I99" s="354">
        <f>IF(ISERR(-'Financials Yearly'!H87),"NA",-'Financials Yearly'!H87)</f>
        <v>1500000</v>
      </c>
      <c r="J99" s="354">
        <f>IF(ISERR(-'Financials Yearly'!I87),"NA",-'Financials Yearly'!I87)</f>
        <v>400000</v>
      </c>
      <c r="K99" s="354">
        <f>IF(ISERR(-'Financials Yearly'!J87),"NA",-'Financials Yearly'!J87)</f>
        <v>400000</v>
      </c>
      <c r="L99" s="354">
        <f>IF(ISERR(-'Financials Yearly'!K87),"NA",-'Financials Yearly'!K87)</f>
        <v>400000</v>
      </c>
      <c r="M99" s="354">
        <f>IF(ISERR(-'Financials Yearly'!L87),"NA",-'Financials Yearly'!L87)</f>
        <v>800000</v>
      </c>
      <c r="N99" s="354">
        <f>IF(ISERR(-'Financials Yearly'!M87),"NA",-'Financials Yearly'!M87)</f>
        <v>800000</v>
      </c>
      <c r="O99" s="354">
        <f>IF(ISERR(-'Financials Yearly'!N87),"NA",-'Financials Yearly'!N87)</f>
        <v>800000</v>
      </c>
      <c r="P99" s="354">
        <f>IF(ISERR(-'Financials Yearly'!O87),"NA",-'Financials Yearly'!O87)</f>
        <v>800000</v>
      </c>
    </row>
    <row r="100" spans="2:16" x14ac:dyDescent="0.25">
      <c r="B100" s="35" t="s">
        <v>402</v>
      </c>
      <c r="C100" s="35"/>
      <c r="D100" s="34" t="str">
        <f>$E$172</f>
        <v>USD</v>
      </c>
      <c r="E100" s="106">
        <f>-'Financials Yearly'!E204</f>
        <v>0</v>
      </c>
      <c r="F100" s="106">
        <f>-'Financials Yearly'!F204</f>
        <v>0</v>
      </c>
      <c r="G100" s="373">
        <f>-'Financials Yearly'!G204</f>
        <v>0</v>
      </c>
      <c r="H100" s="106">
        <f>-'Financials Yearly'!H204</f>
        <v>204422.27534246584</v>
      </c>
      <c r="I100" s="106">
        <f>-'Financials Yearly'!I204</f>
        <v>93123.803013698795</v>
      </c>
      <c r="J100" s="106">
        <f>-'Financials Yearly'!J204</f>
        <v>102704.34086301381</v>
      </c>
      <c r="K100" s="106">
        <f>-'Financials Yearly'!K204</f>
        <v>55012.520960958936</v>
      </c>
      <c r="L100" s="106">
        <f>-'Financials Yearly'!L204</f>
        <v>57763.147009007087</v>
      </c>
      <c r="M100" s="106">
        <f>-'Financials Yearly'!M204</f>
        <v>24260.521743782767</v>
      </c>
      <c r="N100" s="106">
        <f>-'Financials Yearly'!N204</f>
        <v>24745.732178658618</v>
      </c>
      <c r="O100" s="106">
        <f>-'Financials Yearly'!O204</f>
        <v>25240.646822231814</v>
      </c>
      <c r="P100" s="106">
        <f>-'Financials Yearly'!P204</f>
        <v>25745.459758676603</v>
      </c>
    </row>
    <row r="101" spans="2:16" x14ac:dyDescent="0.25">
      <c r="B101" s="35"/>
      <c r="C101" s="35"/>
      <c r="D101" s="34"/>
      <c r="E101" s="34"/>
      <c r="F101" s="34"/>
      <c r="G101" s="375"/>
      <c r="H101" s="106"/>
      <c r="I101" s="106"/>
      <c r="J101" s="106"/>
      <c r="K101" s="106"/>
      <c r="L101" s="194"/>
      <c r="M101" s="35"/>
      <c r="N101" s="35"/>
      <c r="O101" s="35"/>
      <c r="P101" s="35"/>
    </row>
    <row r="102" spans="2:16" x14ac:dyDescent="0.25">
      <c r="B102" s="35" t="s">
        <v>164</v>
      </c>
      <c r="C102" s="35"/>
      <c r="D102" s="34" t="str">
        <f>$E$172</f>
        <v>USD</v>
      </c>
      <c r="E102" s="354" t="str">
        <f>IF(ISERR(-'Financials Yearly'!D92),"NA",-'Financials Yearly'!D92)</f>
        <v>NA</v>
      </c>
      <c r="F102" s="354">
        <f>IF(ISERR(-'Financials Yearly'!E92),"NA",-'Financials Yearly'!E92)</f>
        <v>60000</v>
      </c>
      <c r="G102" s="372">
        <f>IF(ISERR(-'Financials Yearly'!F92),"NA",-'Financials Yearly'!F92)</f>
        <v>27000</v>
      </c>
      <c r="H102" s="354">
        <f ca="1">IF(ISERR(-'Financials Yearly'!G92),"NA",-'Financials Yearly'!G92)</f>
        <v>201125</v>
      </c>
      <c r="I102" s="354">
        <f ca="1">IF(ISERR(-'Financials Yearly'!H92),"NA",-'Financials Yearly'!H92)</f>
        <v>119200</v>
      </c>
      <c r="J102" s="354">
        <f ca="1">IF(ISERR(-'Financials Yearly'!I92),"NA",-'Financials Yearly'!I92)</f>
        <v>88000</v>
      </c>
      <c r="K102" s="354">
        <f ca="1">IF(ISERR(-'Financials Yearly'!J92),"NA",-'Financials Yearly'!J92)</f>
        <v>48250</v>
      </c>
      <c r="L102" s="354">
        <f ca="1">IF(ISERR(-'Financials Yearly'!K92),"NA",-'Financials Yearly'!K92)</f>
        <v>25250</v>
      </c>
      <c r="M102" s="354">
        <f ca="1">IF(ISERR(-'Financials Yearly'!L92),"NA",-'Financials Yearly'!L92)</f>
        <v>7125</v>
      </c>
      <c r="N102" s="354">
        <f ca="1">IF(ISERR(-'Financials Yearly'!M92),"NA",-'Financials Yearly'!M92)</f>
        <v>750</v>
      </c>
      <c r="O102" s="354">
        <f ca="1">IF(ISERR(-'Financials Yearly'!N92),"NA",-'Financials Yearly'!N92)</f>
        <v>0</v>
      </c>
      <c r="P102" s="354">
        <f ca="1">IF(ISERR(-'Financials Yearly'!O92),"NA",-'Financials Yearly'!O92)</f>
        <v>0</v>
      </c>
    </row>
    <row r="103" spans="2:16" x14ac:dyDescent="0.25">
      <c r="B103" s="35" t="s">
        <v>163</v>
      </c>
      <c r="C103" s="35"/>
      <c r="D103" s="34" t="str">
        <f>$E$172</f>
        <v>USD</v>
      </c>
      <c r="E103" s="354" t="str">
        <f>IF(ISERR(-'Financials Yearly'!D94),"NA",-'Financials Yearly'!D94)</f>
        <v>NA</v>
      </c>
      <c r="F103" s="354">
        <f>IF(ISERR(-'Financials Yearly'!E94),"NA",-'Financials Yearly'!E94)</f>
        <v>0</v>
      </c>
      <c r="G103" s="372">
        <f>IF(ISERR(-'Financials Yearly'!F94),"NA",-'Financials Yearly'!F94)</f>
        <v>0</v>
      </c>
      <c r="H103" s="354">
        <f ca="1">IF(ISERR(-'Financials Yearly'!G94),"NA",-'Financials Yearly'!G94)</f>
        <v>86963.625</v>
      </c>
      <c r="I103" s="354">
        <f ca="1">IF(ISERR(-'Financials Yearly'!H94),"NA",-'Financials Yearly'!H94)</f>
        <v>166781.58749999997</v>
      </c>
      <c r="J103" s="354">
        <f ca="1">IF(ISERR(-'Financials Yearly'!I94),"NA",-'Financials Yearly'!I94)</f>
        <v>0</v>
      </c>
      <c r="K103" s="354">
        <f ca="1">IF(ISERR(-'Financials Yearly'!J94),"NA",-'Financials Yearly'!J94)</f>
        <v>0</v>
      </c>
      <c r="L103" s="354">
        <f ca="1">IF(ISERR(-'Financials Yearly'!K94),"NA",-'Financials Yearly'!K94)</f>
        <v>0</v>
      </c>
      <c r="M103" s="354">
        <f ca="1">IF(ISERR(-'Financials Yearly'!L94),"NA",-'Financials Yearly'!L94)</f>
        <v>0</v>
      </c>
      <c r="N103" s="354">
        <f ca="1">IF(ISERR(-'Financials Yearly'!M94),"NA",-'Financials Yearly'!M94)</f>
        <v>0</v>
      </c>
      <c r="O103" s="354">
        <f ca="1">IF(ISERR(-'Financials Yearly'!N94),"NA",-'Financials Yearly'!N94)</f>
        <v>240854.44121403596</v>
      </c>
      <c r="P103" s="354">
        <f ca="1">IF(ISERR(-'Financials Yearly'!O94),"NA",-'Financials Yearly'!O94)</f>
        <v>222027.40503831685</v>
      </c>
    </row>
    <row r="104" spans="2:16" x14ac:dyDescent="0.25">
      <c r="B104" s="35"/>
      <c r="C104" s="35"/>
      <c r="D104" s="34"/>
      <c r="E104" s="354"/>
      <c r="F104" s="354"/>
      <c r="G104" s="354"/>
      <c r="H104" s="354"/>
      <c r="I104" s="354"/>
      <c r="J104" s="354"/>
      <c r="K104" s="354"/>
      <c r="L104" s="354"/>
      <c r="M104" s="354"/>
      <c r="N104" s="354"/>
      <c r="O104" s="354"/>
      <c r="P104" s="354"/>
    </row>
    <row r="105" spans="2:16" ht="15.5" x14ac:dyDescent="0.35">
      <c r="B105" s="31" t="str">
        <f>"All amounts in "&amp;$E$172</f>
        <v>All amounts in USD</v>
      </c>
      <c r="C105" s="31"/>
      <c r="G105" s="51"/>
      <c r="H105" s="35"/>
      <c r="I105" s="35"/>
      <c r="J105" s="35"/>
      <c r="K105" s="35"/>
    </row>
    <row r="106" spans="2:16" ht="15.5" x14ac:dyDescent="0.35">
      <c r="B106" s="52" t="s">
        <v>403</v>
      </c>
      <c r="C106" s="52"/>
      <c r="D106" s="52"/>
      <c r="E106" s="52"/>
      <c r="F106" s="52"/>
      <c r="G106" s="52"/>
      <c r="H106" s="52"/>
      <c r="I106" s="52"/>
      <c r="J106" s="52"/>
      <c r="K106" s="52"/>
      <c r="L106" s="52"/>
      <c r="M106" s="52"/>
      <c r="N106" s="52"/>
      <c r="O106" s="52"/>
      <c r="P106" s="52"/>
    </row>
    <row r="107" spans="2:16" ht="13" x14ac:dyDescent="0.3">
      <c r="B107" s="36"/>
      <c r="C107" s="35"/>
      <c r="D107" s="35"/>
      <c r="E107" s="35"/>
      <c r="F107" s="35"/>
      <c r="G107" s="34"/>
      <c r="H107" s="35"/>
      <c r="I107" s="35"/>
      <c r="J107" s="35"/>
      <c r="K107" s="35"/>
    </row>
    <row r="108" spans="2:16" ht="13" x14ac:dyDescent="0.3">
      <c r="B108" s="166" t="s">
        <v>23</v>
      </c>
      <c r="C108" s="166"/>
      <c r="D108" s="166"/>
      <c r="E108" s="166"/>
      <c r="F108" s="28" t="s">
        <v>45</v>
      </c>
      <c r="G108" s="34"/>
      <c r="H108" s="170" t="s">
        <v>405</v>
      </c>
      <c r="I108" s="28"/>
      <c r="J108" s="28"/>
      <c r="K108" s="28"/>
      <c r="M108" s="170" t="s">
        <v>309</v>
      </c>
      <c r="N108" s="28"/>
      <c r="O108" s="28"/>
      <c r="P108" s="28"/>
    </row>
    <row r="109" spans="2:16" x14ac:dyDescent="0.25">
      <c r="G109" s="34"/>
      <c r="H109" s="35"/>
      <c r="I109" s="35"/>
      <c r="J109" s="35"/>
      <c r="K109" s="35"/>
    </row>
    <row r="110" spans="2:16" ht="13" x14ac:dyDescent="0.3">
      <c r="B110" s="35" t="s">
        <v>19</v>
      </c>
      <c r="D110" s="34" t="str">
        <f t="shared" ref="D110:D118" si="6">$E$172</f>
        <v>USD</v>
      </c>
      <c r="E110" s="229">
        <f>IF(K117-K124&lt;0,0,K117-K124)</f>
        <v>136447.99</v>
      </c>
      <c r="F110" s="359">
        <f>E110/$K$112</f>
        <v>0.20178554667437945</v>
      </c>
      <c r="G110" s="34"/>
      <c r="H110" s="36" t="s">
        <v>406</v>
      </c>
      <c r="I110" s="35"/>
      <c r="J110" s="35"/>
      <c r="K110" s="35"/>
      <c r="M110" s="69" t="s">
        <v>384</v>
      </c>
      <c r="P110" s="328">
        <v>2022</v>
      </c>
    </row>
    <row r="111" spans="2:16" x14ac:dyDescent="0.25">
      <c r="B111" s="35" t="s">
        <v>117</v>
      </c>
      <c r="D111" s="34" t="str">
        <f t="shared" si="6"/>
        <v>USD</v>
      </c>
      <c r="E111" s="322">
        <v>1000000</v>
      </c>
      <c r="F111" s="359">
        <f t="shared" ref="F111:F124" si="7">E111/$K$112</f>
        <v>1.4788458714150312</v>
      </c>
      <c r="G111" s="53"/>
      <c r="H111" s="13" t="s">
        <v>307</v>
      </c>
      <c r="J111" s="34" t="str">
        <f>$E$172</f>
        <v>USD</v>
      </c>
      <c r="K111" s="228">
        <f>'Financials Quarterly'!N9</f>
        <v>5609998</v>
      </c>
      <c r="M111" s="13" t="s">
        <v>310</v>
      </c>
      <c r="O111" s="34" t="str">
        <f>$E$172</f>
        <v>USD</v>
      </c>
      <c r="P111" s="228">
        <f ca="1">SUM('Financials Yearly'!G296:P296)</f>
        <v>6525167.0000000019</v>
      </c>
    </row>
    <row r="112" spans="2:16" x14ac:dyDescent="0.25">
      <c r="B112" s="35" t="s">
        <v>122</v>
      </c>
      <c r="D112" s="34" t="str">
        <f t="shared" si="6"/>
        <v>USD</v>
      </c>
      <c r="E112" s="322">
        <v>1000000</v>
      </c>
      <c r="F112" s="359">
        <f t="shared" si="7"/>
        <v>1.4788458714150312</v>
      </c>
      <c r="G112" s="53"/>
      <c r="H112" s="35" t="s">
        <v>306</v>
      </c>
      <c r="I112" s="35"/>
      <c r="J112" s="34" t="str">
        <f>$E$172</f>
        <v>USD</v>
      </c>
      <c r="K112" s="105">
        <f>'Financials Quarterly'!I20</f>
        <v>676202.99000000022</v>
      </c>
      <c r="M112" s="13" t="s">
        <v>311</v>
      </c>
      <c r="O112" s="34" t="str">
        <f>$E$172</f>
        <v>USD</v>
      </c>
      <c r="P112" s="228">
        <f ca="1">SUM('Financials Yearly'!G297:P297)</f>
        <v>1245940.6299999999</v>
      </c>
    </row>
    <row r="113" spans="2:16" x14ac:dyDescent="0.25">
      <c r="B113" s="35" t="s">
        <v>118</v>
      </c>
      <c r="D113" s="34" t="str">
        <f t="shared" si="6"/>
        <v>USD</v>
      </c>
      <c r="E113" s="322">
        <v>500000</v>
      </c>
      <c r="F113" s="359">
        <f t="shared" si="7"/>
        <v>0.73942293570751561</v>
      </c>
      <c r="G113" s="53"/>
      <c r="H113" s="13" t="s">
        <v>308</v>
      </c>
      <c r="J113" s="34" t="str">
        <f>$E$172</f>
        <v>USD</v>
      </c>
      <c r="K113" s="228">
        <f>'Financials Quarterly'!N33</f>
        <v>505935.99000000022</v>
      </c>
      <c r="M113" s="13" t="s">
        <v>312</v>
      </c>
      <c r="O113" s="34" t="str">
        <f>$E$172</f>
        <v>USD</v>
      </c>
      <c r="P113" s="228">
        <f ca="1">SUM('Financials Yearly'!G298:P298)</f>
        <v>442867.97249999992</v>
      </c>
    </row>
    <row r="114" spans="2:16" x14ac:dyDescent="0.25">
      <c r="B114" s="35" t="s">
        <v>238</v>
      </c>
      <c r="D114" s="34" t="str">
        <f t="shared" si="6"/>
        <v>USD</v>
      </c>
      <c r="E114" s="322">
        <v>500000</v>
      </c>
      <c r="F114" s="359">
        <f t="shared" si="7"/>
        <v>0.73942293570751561</v>
      </c>
      <c r="G114" s="53"/>
    </row>
    <row r="115" spans="2:16" x14ac:dyDescent="0.25">
      <c r="B115" s="35" t="s">
        <v>237</v>
      </c>
      <c r="D115" s="34" t="str">
        <f t="shared" si="6"/>
        <v>USD</v>
      </c>
      <c r="E115" s="322">
        <v>400000</v>
      </c>
      <c r="F115" s="359">
        <f t="shared" si="7"/>
        <v>0.59153834856601251</v>
      </c>
      <c r="G115" s="53"/>
      <c r="H115" s="35" t="s">
        <v>407</v>
      </c>
      <c r="I115" s="35"/>
      <c r="J115" s="13" t="s">
        <v>404</v>
      </c>
      <c r="K115" s="323">
        <v>6.5</v>
      </c>
      <c r="M115" s="35" t="s">
        <v>407</v>
      </c>
      <c r="N115" s="35"/>
      <c r="O115" s="13" t="s">
        <v>404</v>
      </c>
      <c r="P115" s="329">
        <f>K115</f>
        <v>6.5</v>
      </c>
    </row>
    <row r="116" spans="2:16" ht="13" x14ac:dyDescent="0.3">
      <c r="B116" s="35" t="s">
        <v>21</v>
      </c>
      <c r="D116" s="34" t="str">
        <f t="shared" si="6"/>
        <v>USD</v>
      </c>
      <c r="E116" s="106">
        <f>E124-SUM(E117,E110:E115)</f>
        <v>1315085.4067500019</v>
      </c>
      <c r="F116" s="359">
        <f t="shared" si="7"/>
        <v>1.9448086243303975</v>
      </c>
      <c r="G116" s="35"/>
      <c r="H116" s="325" t="s">
        <v>381</v>
      </c>
      <c r="I116" s="73"/>
      <c r="J116" s="36" t="str">
        <f>$E$172</f>
        <v>USD</v>
      </c>
      <c r="K116" s="326">
        <f>K112*K115</f>
        <v>4395319.4350000015</v>
      </c>
      <c r="M116" s="325" t="s">
        <v>381</v>
      </c>
      <c r="N116" s="73"/>
      <c r="O116" s="36" t="str">
        <f>$E$172</f>
        <v>USD</v>
      </c>
      <c r="P116" s="326">
        <f ca="1">SUM('Financials Yearly'!G299:P299)</f>
        <v>8098614.0949999988</v>
      </c>
    </row>
    <row r="117" spans="2:16" x14ac:dyDescent="0.25">
      <c r="B117" s="91" t="s">
        <v>22</v>
      </c>
      <c r="C117" s="45"/>
      <c r="D117" s="45" t="str">
        <f t="shared" si="6"/>
        <v>USD</v>
      </c>
      <c r="E117" s="358">
        <v>200000</v>
      </c>
      <c r="F117" s="361">
        <f t="shared" si="7"/>
        <v>0.29576917428300625</v>
      </c>
      <c r="G117" s="35"/>
      <c r="H117" s="35" t="s">
        <v>359</v>
      </c>
      <c r="I117" s="35"/>
      <c r="J117" s="34" t="str">
        <f>$E$172</f>
        <v>USD</v>
      </c>
      <c r="K117" s="320">
        <f>'Financials Quarterly'!N44</f>
        <v>236447.99</v>
      </c>
      <c r="M117" s="35" t="s">
        <v>359</v>
      </c>
      <c r="N117" s="35"/>
      <c r="O117" s="34" t="str">
        <f>$E$172</f>
        <v>USD</v>
      </c>
      <c r="P117" s="90">
        <f ca="1">SUM('Financials Yearly'!G300:P300)</f>
        <v>-445579.90335616493</v>
      </c>
    </row>
    <row r="118" spans="2:16" x14ac:dyDescent="0.25">
      <c r="B118" s="35" t="s">
        <v>13</v>
      </c>
      <c r="C118" s="34"/>
      <c r="D118" s="34" t="str">
        <f t="shared" si="6"/>
        <v>USD</v>
      </c>
      <c r="E118" s="105">
        <f>SUM(E110:E117)</f>
        <v>5051533.3967500022</v>
      </c>
      <c r="F118" s="359">
        <f t="shared" si="7"/>
        <v>7.4704393080988902</v>
      </c>
      <c r="G118" s="35"/>
      <c r="H118" s="42" t="s">
        <v>226</v>
      </c>
      <c r="I118" s="35"/>
      <c r="J118" s="34" t="str">
        <f>$E$172</f>
        <v>USD</v>
      </c>
      <c r="K118" s="320">
        <f>-SUM('Financials Quarterly'!N54:N55)</f>
        <v>-2000000</v>
      </c>
      <c r="M118" s="42" t="s">
        <v>226</v>
      </c>
      <c r="N118" s="35"/>
      <c r="O118" s="34" t="str">
        <f>$E$172</f>
        <v>USD</v>
      </c>
      <c r="P118" s="90">
        <f ca="1">SUM('Financials Yearly'!G301:P301)</f>
        <v>-1685000</v>
      </c>
    </row>
    <row r="119" spans="2:16" ht="13" x14ac:dyDescent="0.3">
      <c r="B119" s="35"/>
      <c r="D119" s="35"/>
      <c r="E119" s="35"/>
      <c r="G119" s="35"/>
      <c r="H119" s="39" t="s">
        <v>382</v>
      </c>
      <c r="I119" s="39"/>
      <c r="J119" s="41" t="str">
        <f>$E$172</f>
        <v>USD</v>
      </c>
      <c r="K119" s="327">
        <f>SUM(K116:K118)</f>
        <v>2631767.4250000017</v>
      </c>
      <c r="M119" s="39" t="s">
        <v>382</v>
      </c>
      <c r="N119" s="39"/>
      <c r="O119" s="41" t="str">
        <f>$E$172</f>
        <v>USD</v>
      </c>
      <c r="P119" s="327">
        <f ca="1">SUM(P116:P118)</f>
        <v>5968034.1916438341</v>
      </c>
    </row>
    <row r="120" spans="2:16" x14ac:dyDescent="0.25">
      <c r="B120" s="35" t="s">
        <v>17</v>
      </c>
      <c r="D120" s="34" t="str">
        <f>$E$172</f>
        <v>USD</v>
      </c>
      <c r="E120" s="105">
        <f>K119</f>
        <v>2631767.4250000017</v>
      </c>
      <c r="F120" s="359">
        <f t="shared" si="7"/>
        <v>3.8919783909858205</v>
      </c>
      <c r="G120" s="35"/>
      <c r="K120" s="119"/>
    </row>
    <row r="121" spans="2:16" x14ac:dyDescent="0.25">
      <c r="B121" s="35" t="s">
        <v>362</v>
      </c>
      <c r="D121" s="34" t="str">
        <f>$E$172</f>
        <v>USD</v>
      </c>
      <c r="E121" s="229">
        <f>-K118</f>
        <v>2000000</v>
      </c>
      <c r="F121" s="359">
        <f t="shared" si="7"/>
        <v>2.9576917428300624</v>
      </c>
      <c r="G121" s="35"/>
      <c r="H121" s="35" t="s">
        <v>59</v>
      </c>
      <c r="I121" s="35"/>
      <c r="J121" s="13" t="s">
        <v>408</v>
      </c>
      <c r="K121" s="324">
        <v>1000</v>
      </c>
    </row>
    <row r="122" spans="2:16" ht="13" x14ac:dyDescent="0.3">
      <c r="B122" s="35" t="s">
        <v>136</v>
      </c>
      <c r="D122" s="34" t="str">
        <f>$E$172</f>
        <v>USD</v>
      </c>
      <c r="E122" s="322">
        <v>200000</v>
      </c>
      <c r="F122" s="359">
        <f t="shared" si="7"/>
        <v>0.29576917428300625</v>
      </c>
      <c r="G122" s="35"/>
      <c r="H122" s="25" t="s">
        <v>302</v>
      </c>
      <c r="J122" s="99" t="str">
        <f>Summary!$E$172&amp;"/share"</f>
        <v>USD/share</v>
      </c>
      <c r="K122" s="316">
        <f>K119/K121</f>
        <v>2631.7674250000018</v>
      </c>
      <c r="M122" s="170" t="s">
        <v>426</v>
      </c>
      <c r="N122" s="28"/>
      <c r="O122" s="28"/>
      <c r="P122" s="28"/>
    </row>
    <row r="123" spans="2:16" ht="13" x14ac:dyDescent="0.3">
      <c r="B123" s="91" t="s">
        <v>18</v>
      </c>
      <c r="C123" s="91"/>
      <c r="D123" s="45" t="str">
        <f>$E$172</f>
        <v>USD</v>
      </c>
      <c r="E123" s="360">
        <f>K116*E173</f>
        <v>219765.97175000008</v>
      </c>
      <c r="F123" s="361">
        <f t="shared" si="7"/>
        <v>0.32500000000000001</v>
      </c>
      <c r="G123" s="35"/>
      <c r="H123" s="35"/>
      <c r="I123" s="35"/>
      <c r="J123" s="35"/>
      <c r="K123" s="231"/>
    </row>
    <row r="124" spans="2:16" x14ac:dyDescent="0.25">
      <c r="B124" s="35" t="s">
        <v>102</v>
      </c>
      <c r="D124" s="34" t="str">
        <f>$E$172</f>
        <v>USD</v>
      </c>
      <c r="E124" s="105">
        <f>SUM(E120:E123)</f>
        <v>5051533.3967500022</v>
      </c>
      <c r="F124" s="359">
        <f t="shared" si="7"/>
        <v>7.4704393080988902</v>
      </c>
      <c r="G124" s="35"/>
      <c r="H124" s="35" t="s">
        <v>414</v>
      </c>
      <c r="I124" s="35"/>
      <c r="J124" s="35"/>
      <c r="K124" s="324">
        <v>100000</v>
      </c>
      <c r="O124" s="333" t="s">
        <v>427</v>
      </c>
      <c r="P124" s="333" t="s">
        <v>428</v>
      </c>
    </row>
    <row r="125" spans="2:16" x14ac:dyDescent="0.25">
      <c r="G125" s="35"/>
      <c r="H125" s="13" t="s">
        <v>415</v>
      </c>
      <c r="K125" s="356">
        <f>K124/K111</f>
        <v>1.7825318297796183E-2</v>
      </c>
      <c r="M125" s="13" t="s">
        <v>429</v>
      </c>
      <c r="O125" s="197">
        <f ca="1">'Financials Yearly'!C258</f>
        <v>0.4592950403690339</v>
      </c>
      <c r="P125" s="93">
        <f ca="1">'Financials Yearly'!C257</f>
        <v>3.657127860074763</v>
      </c>
    </row>
    <row r="126" spans="2:16" x14ac:dyDescent="0.25">
      <c r="G126" s="35"/>
      <c r="M126" s="13" t="s">
        <v>430</v>
      </c>
      <c r="O126" s="197">
        <f ca="1">'Financials Yearly'!C268</f>
        <v>0.69887140989303598</v>
      </c>
      <c r="P126" s="93">
        <f ca="1">'Financials Yearly'!C267</f>
        <v>6.1284527130816775</v>
      </c>
    </row>
    <row r="127" spans="2:16" ht="13" x14ac:dyDescent="0.3">
      <c r="F127" s="35"/>
      <c r="G127" s="35"/>
      <c r="H127" s="166" t="s">
        <v>207</v>
      </c>
      <c r="I127" s="28"/>
      <c r="J127" s="28"/>
      <c r="K127" s="28"/>
      <c r="M127" s="13" t="s">
        <v>431</v>
      </c>
      <c r="O127" s="197">
        <f ca="1">'Financials Yearly'!C279</f>
        <v>8.2394233345985418E-2</v>
      </c>
      <c r="P127" s="93">
        <f ca="1">'Financials Yearly'!C278</f>
        <v>1.2993606838328766</v>
      </c>
    </row>
    <row r="128" spans="2:16" ht="13" x14ac:dyDescent="0.25">
      <c r="B128" s="330" t="s">
        <v>173</v>
      </c>
      <c r="C128" s="28"/>
      <c r="D128" s="28"/>
      <c r="E128" s="28"/>
      <c r="F128" s="28"/>
      <c r="G128" s="35"/>
      <c r="I128" s="35"/>
      <c r="J128" s="35"/>
      <c r="K128" s="35"/>
      <c r="M128" s="13" t="s">
        <v>432</v>
      </c>
      <c r="O128" s="197">
        <f ca="1">'Financials Yearly'!C292</f>
        <v>0.11889888644218444</v>
      </c>
      <c r="P128" s="93">
        <f ca="1">'Financials Yearly'!C291</f>
        <v>1.4510889702071919</v>
      </c>
    </row>
    <row r="129" spans="2:16" ht="13" x14ac:dyDescent="0.3">
      <c r="F129" s="35"/>
      <c r="G129" s="35"/>
      <c r="H129" s="36" t="s">
        <v>218</v>
      </c>
      <c r="I129" s="36"/>
      <c r="J129" s="36" t="str">
        <f>$E$172</f>
        <v>USD</v>
      </c>
      <c r="K129" s="40">
        <f ca="1">'Financials Yearly'!D212</f>
        <v>3201575.5919849807</v>
      </c>
    </row>
    <row r="130" spans="2:16" x14ac:dyDescent="0.25">
      <c r="B130" s="317" t="s">
        <v>171</v>
      </c>
      <c r="C130" s="318"/>
      <c r="D130" s="13" t="s">
        <v>385</v>
      </c>
      <c r="E130" s="406">
        <f ca="1">DATE(YEAR(TODAY())-1,12,31)</f>
        <v>42734</v>
      </c>
      <c r="G130" s="35"/>
      <c r="H130" s="35" t="s">
        <v>359</v>
      </c>
      <c r="I130" s="35"/>
      <c r="J130" s="34" t="str">
        <f>$E$172</f>
        <v>USD</v>
      </c>
      <c r="K130" s="105">
        <f>'Financials Yearly'!D214</f>
        <v>236447.99</v>
      </c>
    </row>
    <row r="131" spans="2:16" ht="13" x14ac:dyDescent="0.3">
      <c r="B131" s="317" t="s">
        <v>181</v>
      </c>
      <c r="C131" s="318"/>
      <c r="D131" s="13" t="s">
        <v>385</v>
      </c>
      <c r="E131" s="406">
        <f ca="1">DATE(YEAR(TODAY()),12,31)</f>
        <v>43099</v>
      </c>
      <c r="G131" s="35"/>
      <c r="H131" s="42" t="s">
        <v>226</v>
      </c>
      <c r="I131" s="35"/>
      <c r="J131" s="34" t="str">
        <f>$E$172</f>
        <v>USD</v>
      </c>
      <c r="K131" s="105">
        <f>'Financials Yearly'!D215</f>
        <v>-2000000</v>
      </c>
      <c r="M131" s="166" t="s">
        <v>303</v>
      </c>
      <c r="N131" s="170"/>
      <c r="O131" s="170"/>
      <c r="P131" s="170"/>
    </row>
    <row r="132" spans="2:16" ht="13" x14ac:dyDescent="0.3">
      <c r="B132" s="317" t="s">
        <v>172</v>
      </c>
      <c r="C132" s="318"/>
      <c r="D132" s="13" t="s">
        <v>385</v>
      </c>
      <c r="E132" s="406">
        <f ca="1">DATE(YEAR(TODAY())-1,6,30)</f>
        <v>42550</v>
      </c>
      <c r="G132" s="35"/>
      <c r="H132" s="73" t="s">
        <v>240</v>
      </c>
      <c r="I132" s="35"/>
      <c r="J132" s="36" t="str">
        <f>$E$172</f>
        <v>USD</v>
      </c>
      <c r="K132" s="147">
        <f ca="1">SUM(K129:K131)</f>
        <v>1438023.581984981</v>
      </c>
    </row>
    <row r="133" spans="2:16" x14ac:dyDescent="0.25">
      <c r="B133" s="318" t="s">
        <v>272</v>
      </c>
      <c r="C133" s="35"/>
      <c r="D133" s="13" t="s">
        <v>385</v>
      </c>
      <c r="E133" s="406">
        <f ca="1">EDATE(E130,12)</f>
        <v>43099</v>
      </c>
      <c r="G133" s="35"/>
      <c r="M133" s="343" t="s">
        <v>373</v>
      </c>
      <c r="N133" s="343"/>
      <c r="O133" s="343"/>
      <c r="P133" s="74">
        <f ca="1">SUM('Financials Yearly'!F69:P69)</f>
        <v>0</v>
      </c>
    </row>
    <row r="134" spans="2:16" x14ac:dyDescent="0.25">
      <c r="B134" s="35" t="s">
        <v>145</v>
      </c>
      <c r="C134" s="35"/>
      <c r="D134" s="13" t="s">
        <v>386</v>
      </c>
      <c r="E134" s="332">
        <f ca="1">YEAR(TODAY())</f>
        <v>2021</v>
      </c>
      <c r="G134" s="35"/>
      <c r="H134" s="35" t="s">
        <v>229</v>
      </c>
      <c r="I134" s="35"/>
      <c r="J134" s="93" t="s">
        <v>400</v>
      </c>
      <c r="K134" s="93">
        <f ca="1">$K129/K112</f>
        <v>4.7346368462301234</v>
      </c>
      <c r="M134" s="343" t="s">
        <v>433</v>
      </c>
      <c r="N134" s="343"/>
      <c r="O134" s="343"/>
      <c r="P134" s="74">
        <f ca="1">SUM('Financials Yearly'!G122:P122)</f>
        <v>0</v>
      </c>
    </row>
    <row r="135" spans="2:16" x14ac:dyDescent="0.25">
      <c r="B135" s="13" t="s">
        <v>387</v>
      </c>
      <c r="D135" s="13" t="s">
        <v>383</v>
      </c>
      <c r="E135" s="331">
        <f>P110</f>
        <v>2022</v>
      </c>
      <c r="G135" s="35"/>
      <c r="H135" s="13" t="s">
        <v>304</v>
      </c>
      <c r="J135" s="13" t="s">
        <v>305</v>
      </c>
      <c r="K135" s="321">
        <f ca="1">K132/K113</f>
        <v>2.8423033949116374</v>
      </c>
      <c r="M135" s="343" t="s">
        <v>434</v>
      </c>
      <c r="N135" s="343"/>
      <c r="O135" s="343"/>
      <c r="P135" s="74">
        <f ca="1">SUM('Financials Yearly'!D172:P172)</f>
        <v>0</v>
      </c>
    </row>
    <row r="136" spans="2:16" ht="13" x14ac:dyDescent="0.3">
      <c r="F136" s="35"/>
      <c r="G136" s="35"/>
      <c r="K136" s="231"/>
      <c r="L136" s="35"/>
      <c r="M136" s="343" t="s">
        <v>435</v>
      </c>
      <c r="N136" s="343"/>
      <c r="O136" s="343"/>
      <c r="P136" s="74">
        <f ca="1">SUM('Financials Quarterly'!D94:V94)</f>
        <v>0</v>
      </c>
    </row>
    <row r="137" spans="2:16" ht="13" x14ac:dyDescent="0.3">
      <c r="G137" s="35"/>
      <c r="K137" s="231"/>
      <c r="M137" s="343" t="s">
        <v>436</v>
      </c>
      <c r="N137" s="343"/>
      <c r="O137" s="343"/>
      <c r="P137" s="74">
        <f ca="1">'Financials Yearly'!G101</f>
        <v>0</v>
      </c>
    </row>
    <row r="138" spans="2:16" ht="13" x14ac:dyDescent="0.3">
      <c r="B138" s="170" t="s">
        <v>421</v>
      </c>
      <c r="C138" s="28"/>
      <c r="D138" s="28"/>
      <c r="E138" s="28"/>
      <c r="F138" s="28"/>
      <c r="G138" s="35"/>
      <c r="H138" s="170" t="s">
        <v>149</v>
      </c>
      <c r="I138" s="28"/>
      <c r="J138" s="28"/>
      <c r="K138" s="28"/>
      <c r="M138" s="233" t="s">
        <v>437</v>
      </c>
      <c r="N138" s="233"/>
      <c r="O138" s="233"/>
      <c r="P138" s="74">
        <f>E118-E124</f>
        <v>0</v>
      </c>
    </row>
    <row r="139" spans="2:16" x14ac:dyDescent="0.25">
      <c r="F139" s="35"/>
      <c r="G139" s="35"/>
    </row>
    <row r="140" spans="2:16" x14ac:dyDescent="0.25">
      <c r="B140" s="35" t="s">
        <v>61</v>
      </c>
      <c r="C140" s="35"/>
      <c r="D140" s="99" t="str">
        <f>Summary!$E$172&amp;"/share"</f>
        <v>USD/share</v>
      </c>
      <c r="E140" s="105">
        <f>K122</f>
        <v>2631.7674250000018</v>
      </c>
      <c r="G140" s="35"/>
      <c r="H140" s="35" t="s">
        <v>150</v>
      </c>
      <c r="I140" s="35"/>
      <c r="J140" s="34" t="str">
        <f t="shared" ref="J140:J145" si="8">$E$172</f>
        <v>USD</v>
      </c>
      <c r="K140" s="105">
        <f>K119</f>
        <v>2631767.4250000017</v>
      </c>
    </row>
    <row r="141" spans="2:16" x14ac:dyDescent="0.25">
      <c r="B141" s="35"/>
      <c r="C141" s="35"/>
      <c r="E141" s="35"/>
      <c r="G141" s="35"/>
      <c r="H141" s="35" t="s">
        <v>155</v>
      </c>
      <c r="I141" s="35"/>
      <c r="J141" s="34" t="str">
        <f t="shared" si="8"/>
        <v>USD</v>
      </c>
      <c r="K141" s="105">
        <f>-'Financials Quarterly'!N56</f>
        <v>-1232222.99</v>
      </c>
    </row>
    <row r="142" spans="2:16" x14ac:dyDescent="0.25">
      <c r="B142" s="35" t="s">
        <v>82</v>
      </c>
      <c r="C142" s="35"/>
      <c r="D142" s="34" t="str">
        <f>$E$172</f>
        <v>USD</v>
      </c>
      <c r="E142" s="105">
        <f>E122</f>
        <v>200000</v>
      </c>
      <c r="G142" s="35"/>
      <c r="H142" s="35" t="s">
        <v>156</v>
      </c>
      <c r="I142" s="35"/>
      <c r="J142" s="34" t="str">
        <f t="shared" si="8"/>
        <v>USD</v>
      </c>
      <c r="K142" s="105">
        <f>K140+K141</f>
        <v>1399544.4350000017</v>
      </c>
    </row>
    <row r="143" spans="2:16" x14ac:dyDescent="0.25">
      <c r="B143" s="35" t="s">
        <v>109</v>
      </c>
      <c r="C143" s="35"/>
      <c r="D143" s="34" t="str">
        <f>$E$172</f>
        <v>USD</v>
      </c>
      <c r="E143" s="105">
        <f>SUM(E111:E115)</f>
        <v>3400000</v>
      </c>
      <c r="G143" s="35"/>
      <c r="H143" s="35" t="s">
        <v>9</v>
      </c>
      <c r="I143" s="35"/>
      <c r="J143" s="34" t="str">
        <f t="shared" si="8"/>
        <v>USD</v>
      </c>
      <c r="K143" s="105">
        <f>SUM('Financials Quarterly'!O45:O47)-SUM('Financials Quarterly'!O52:O53)</f>
        <v>-200000</v>
      </c>
    </row>
    <row r="144" spans="2:16" x14ac:dyDescent="0.25">
      <c r="B144" s="91" t="s">
        <v>108</v>
      </c>
      <c r="C144" s="91"/>
      <c r="D144" s="45" t="str">
        <f>$E$172</f>
        <v>USD</v>
      </c>
      <c r="E144" s="230">
        <f>-SUM(E121)</f>
        <v>-2000000</v>
      </c>
      <c r="G144" s="35"/>
      <c r="H144" s="91" t="s">
        <v>178</v>
      </c>
      <c r="I144" s="91"/>
      <c r="J144" s="45" t="str">
        <f t="shared" si="8"/>
        <v>USD</v>
      </c>
      <c r="K144" s="230">
        <f>'Financials Quarterly'!N48</f>
        <v>0</v>
      </c>
    </row>
    <row r="145" spans="2:16" x14ac:dyDescent="0.25">
      <c r="B145" s="35" t="s">
        <v>422</v>
      </c>
      <c r="C145" s="35"/>
      <c r="D145" s="34" t="str">
        <f>$E$172</f>
        <v>USD</v>
      </c>
      <c r="E145" s="229">
        <f>E142+E143+E144</f>
        <v>1600000</v>
      </c>
      <c r="G145" s="35"/>
      <c r="H145" s="35" t="s">
        <v>179</v>
      </c>
      <c r="I145" s="35"/>
      <c r="J145" s="34" t="str">
        <f t="shared" si="8"/>
        <v>USD</v>
      </c>
      <c r="K145" s="105">
        <f>K142-K143-K144</f>
        <v>1599544.4350000017</v>
      </c>
    </row>
    <row r="146" spans="2:16" x14ac:dyDescent="0.25">
      <c r="B146" s="35"/>
      <c r="C146" s="35"/>
      <c r="E146" s="35"/>
      <c r="G146" s="35"/>
    </row>
    <row r="147" spans="2:16" x14ac:dyDescent="0.25">
      <c r="G147" s="35"/>
    </row>
    <row r="148" spans="2:16" ht="13" x14ac:dyDescent="0.3">
      <c r="B148" s="170" t="s">
        <v>39</v>
      </c>
      <c r="C148" s="28"/>
      <c r="D148" s="28"/>
      <c r="E148" s="28"/>
      <c r="F148" s="28"/>
      <c r="G148" s="35"/>
      <c r="H148" s="170" t="s">
        <v>438</v>
      </c>
      <c r="I148" s="28"/>
      <c r="J148" s="28"/>
      <c r="K148" s="28"/>
      <c r="M148" s="344"/>
    </row>
    <row r="149" spans="2:16" ht="13" x14ac:dyDescent="0.3">
      <c r="G149" s="35"/>
      <c r="L149" s="231"/>
      <c r="M149" s="231"/>
      <c r="N149" s="231"/>
      <c r="O149" s="231"/>
      <c r="P149" s="231"/>
    </row>
    <row r="150" spans="2:16" ht="13" x14ac:dyDescent="0.3">
      <c r="B150" s="35" t="s">
        <v>40</v>
      </c>
      <c r="C150" s="35"/>
      <c r="D150" s="34" t="str">
        <f>$E$172</f>
        <v>USD</v>
      </c>
      <c r="E150" s="105">
        <f>E142</f>
        <v>200000</v>
      </c>
      <c r="G150" s="35"/>
      <c r="H150" s="13" t="str">
        <f ca="1">"EBITDA "&amp;E134-1</f>
        <v>EBITDA 2020</v>
      </c>
      <c r="J150" s="34" t="str">
        <f>$E$172</f>
        <v>USD</v>
      </c>
      <c r="K150" s="228">
        <f>K112</f>
        <v>676202.99000000022</v>
      </c>
      <c r="L150" s="231"/>
      <c r="M150" s="231"/>
      <c r="N150" s="231"/>
      <c r="O150" s="231"/>
      <c r="P150" s="231"/>
    </row>
    <row r="151" spans="2:16" ht="13" x14ac:dyDescent="0.3">
      <c r="B151" s="25" t="s">
        <v>62</v>
      </c>
      <c r="D151" s="99" t="str">
        <f>Summary!$E$172&amp;" / share"</f>
        <v>USD / share</v>
      </c>
      <c r="E151" s="105">
        <f>Summary!E140</f>
        <v>2631.7674250000018</v>
      </c>
      <c r="G151" s="35"/>
      <c r="H151" s="13" t="s">
        <v>439</v>
      </c>
      <c r="J151" s="34" t="str">
        <f>$E$172</f>
        <v>USD</v>
      </c>
      <c r="K151" s="228">
        <f ca="1">(K150*(1+K156)^K155)-K150</f>
        <v>110310.20227731112</v>
      </c>
      <c r="L151" s="231"/>
      <c r="M151" s="231"/>
      <c r="N151" s="231"/>
      <c r="O151" s="231"/>
      <c r="P151" s="231"/>
    </row>
    <row r="152" spans="2:16" ht="13" x14ac:dyDescent="0.3">
      <c r="B152" s="25" t="s">
        <v>64</v>
      </c>
      <c r="D152" s="25" t="s">
        <v>63</v>
      </c>
      <c r="E152" s="105">
        <f>ROUND(E150/E151,0)</f>
        <v>76</v>
      </c>
      <c r="G152" s="35"/>
      <c r="H152" s="91" t="s">
        <v>440</v>
      </c>
      <c r="I152" s="91"/>
      <c r="J152" s="45" t="str">
        <f>$E$172</f>
        <v>USD</v>
      </c>
      <c r="K152" s="230">
        <f ca="1">K153-K151-K150</f>
        <v>459427.43772268854</v>
      </c>
      <c r="L152" s="231"/>
      <c r="M152" s="231"/>
      <c r="N152" s="231"/>
      <c r="O152" s="231"/>
      <c r="P152" s="231"/>
    </row>
    <row r="153" spans="2:16" ht="13" x14ac:dyDescent="0.3">
      <c r="G153" s="35"/>
      <c r="H153" s="13" t="str">
        <f>"EBITDA "&amp;P110</f>
        <v>EBITDA 2022</v>
      </c>
      <c r="I153" s="35"/>
      <c r="J153" s="34" t="str">
        <f>$E$172</f>
        <v>USD</v>
      </c>
      <c r="K153" s="228">
        <f ca="1">P112</f>
        <v>1245940.6299999999</v>
      </c>
      <c r="L153" s="231"/>
      <c r="M153" s="231"/>
      <c r="N153" s="231"/>
      <c r="O153" s="231"/>
      <c r="P153" s="231"/>
    </row>
    <row r="154" spans="2:16" ht="13" x14ac:dyDescent="0.3">
      <c r="G154" s="35"/>
      <c r="H154" s="35"/>
      <c r="I154" s="35"/>
      <c r="J154" s="35"/>
      <c r="K154" s="231"/>
      <c r="L154" s="231"/>
      <c r="M154" s="231"/>
      <c r="N154" s="231"/>
      <c r="O154" s="231"/>
      <c r="P154" s="231"/>
    </row>
    <row r="155" spans="2:16" ht="13" x14ac:dyDescent="0.3">
      <c r="B155" s="170" t="s">
        <v>43</v>
      </c>
      <c r="C155" s="28"/>
      <c r="D155" s="28"/>
      <c r="E155" s="28"/>
      <c r="F155" s="28"/>
      <c r="G155" s="35"/>
      <c r="H155" s="35" t="s">
        <v>442</v>
      </c>
      <c r="I155" s="35"/>
      <c r="J155" s="35" t="s">
        <v>441</v>
      </c>
      <c r="K155" s="228">
        <f ca="1">(P110-H67)</f>
        <v>2</v>
      </c>
      <c r="L155" s="231"/>
      <c r="M155" s="231"/>
      <c r="N155" s="231"/>
      <c r="O155" s="231"/>
      <c r="P155" s="231"/>
    </row>
    <row r="156" spans="2:16" ht="13" x14ac:dyDescent="0.3">
      <c r="B156" s="34"/>
      <c r="C156" s="45"/>
      <c r="D156" s="45" t="s">
        <v>233</v>
      </c>
      <c r="E156" s="45"/>
      <c r="F156" s="179" t="s">
        <v>1</v>
      </c>
      <c r="G156" s="35"/>
      <c r="H156" s="35" t="s">
        <v>444</v>
      </c>
      <c r="I156" s="35"/>
      <c r="J156" s="35" t="s">
        <v>443</v>
      </c>
      <c r="K156" s="345">
        <f ca="1">(P111/K111)^(1/K155)-1</f>
        <v>7.8485877150349381E-2</v>
      </c>
      <c r="L156" s="231"/>
      <c r="M156" s="231"/>
      <c r="N156" s="231"/>
      <c r="O156" s="231"/>
      <c r="P156" s="231"/>
    </row>
    <row r="157" spans="2:16" ht="13" x14ac:dyDescent="0.3">
      <c r="B157" s="39"/>
      <c r="C157" s="164" t="s">
        <v>236</v>
      </c>
      <c r="D157" s="164" t="s">
        <v>419</v>
      </c>
      <c r="E157" s="164" t="s">
        <v>360</v>
      </c>
      <c r="F157" s="173" t="s">
        <v>420</v>
      </c>
      <c r="G157" s="35"/>
      <c r="H157" s="35"/>
      <c r="I157" s="35"/>
      <c r="J157" s="35"/>
      <c r="K157" s="231"/>
      <c r="L157" s="231"/>
      <c r="M157" s="231"/>
      <c r="N157" s="231"/>
      <c r="O157" s="231"/>
      <c r="P157" s="231"/>
    </row>
    <row r="158" spans="2:16" ht="13" x14ac:dyDescent="0.3">
      <c r="B158" s="35" t="s">
        <v>425</v>
      </c>
      <c r="C158" s="319">
        <v>0.9</v>
      </c>
      <c r="D158" s="156">
        <f>C158*(1-SUM(D$160:D$162))</f>
        <v>0.873</v>
      </c>
      <c r="E158" s="208">
        <f>D158-E162</f>
        <v>0.77300000000000002</v>
      </c>
      <c r="F158" s="208">
        <f>IF($F$157=E$157,E158,IF(#REF!=D$157,D158,C158))</f>
        <v>0.77300000000000002</v>
      </c>
      <c r="G158" s="35"/>
      <c r="H158" s="35"/>
      <c r="I158" s="35"/>
      <c r="J158" s="35"/>
      <c r="K158" s="35"/>
      <c r="L158" s="35"/>
      <c r="M158" s="197"/>
      <c r="N158" s="197"/>
      <c r="O158" s="35"/>
      <c r="P158" s="48"/>
    </row>
    <row r="159" spans="2:16" ht="13" x14ac:dyDescent="0.3">
      <c r="B159" s="35" t="s">
        <v>424</v>
      </c>
      <c r="C159" s="319">
        <v>0.1</v>
      </c>
      <c r="D159" s="156">
        <f>C159*(1-SUM(D$160:D$162))</f>
        <v>9.7000000000000003E-2</v>
      </c>
      <c r="E159" s="208">
        <f>D159</f>
        <v>9.7000000000000003E-2</v>
      </c>
      <c r="F159" s="208">
        <f>IF($F$157=E$157,E159,IF(#REF!=D$157,D159,C159))</f>
        <v>9.7000000000000003E-2</v>
      </c>
      <c r="G159" s="35"/>
      <c r="H159" s="48"/>
      <c r="I159" s="35"/>
      <c r="J159" s="35"/>
      <c r="K159" s="231"/>
    </row>
    <row r="160" spans="2:16" ht="13" x14ac:dyDescent="0.3">
      <c r="B160" s="35" t="s">
        <v>120</v>
      </c>
      <c r="C160" s="208"/>
      <c r="D160" s="319">
        <v>0.01</v>
      </c>
      <c r="E160" s="208">
        <f>D160</f>
        <v>0.01</v>
      </c>
      <c r="F160" s="208">
        <f>IF($F$157=E$157,E160,IF(#REF!=D$157,D160,C160))</f>
        <v>0.01</v>
      </c>
      <c r="G160" s="35"/>
      <c r="H160" s="48"/>
      <c r="I160" s="35"/>
      <c r="J160" s="35"/>
      <c r="K160" s="231"/>
    </row>
    <row r="161" spans="2:16" x14ac:dyDescent="0.25">
      <c r="B161" s="35" t="s">
        <v>20</v>
      </c>
      <c r="C161" s="208"/>
      <c r="D161" s="319">
        <v>0.02</v>
      </c>
      <c r="E161" s="208">
        <f>D161</f>
        <v>0.02</v>
      </c>
      <c r="F161" s="208">
        <f>IF($F$157=E$157,E161,IF(#REF!=D$157,D161,C161))</f>
        <v>0.02</v>
      </c>
    </row>
    <row r="162" spans="2:16" x14ac:dyDescent="0.25">
      <c r="B162" s="35" t="s">
        <v>423</v>
      </c>
      <c r="C162" s="319"/>
      <c r="D162" s="208"/>
      <c r="E162" s="319">
        <v>0.1</v>
      </c>
      <c r="F162" s="208">
        <f>IF($F$157=E$157,E162,IF(#REF!=D$157,D162,C162))</f>
        <v>0.1</v>
      </c>
    </row>
    <row r="163" spans="2:16" x14ac:dyDescent="0.25">
      <c r="B163" s="162" t="s">
        <v>209</v>
      </c>
      <c r="C163" s="163">
        <f>SUM(C158:C162)</f>
        <v>1</v>
      </c>
      <c r="D163" s="163">
        <f>SUM(D158:D162)</f>
        <v>1</v>
      </c>
      <c r="E163" s="163">
        <f>SUM(E158:E162)</f>
        <v>1</v>
      </c>
      <c r="F163" s="163">
        <f>SUM(F158:F162)</f>
        <v>1</v>
      </c>
    </row>
    <row r="164" spans="2:16" ht="13" x14ac:dyDescent="0.3">
      <c r="I164" s="35"/>
      <c r="J164" s="35"/>
      <c r="K164" s="231"/>
    </row>
    <row r="165" spans="2:16" ht="13" x14ac:dyDescent="0.3">
      <c r="B165" s="13" t="s">
        <v>416</v>
      </c>
      <c r="C165" s="228">
        <f>E152+K121</f>
        <v>1076</v>
      </c>
      <c r="D165" s="228">
        <f>C165/SUM(D158:D159)</f>
        <v>1109.2783505154639</v>
      </c>
      <c r="E165" s="228">
        <f>D165/SUM(E158:E159)</f>
        <v>1275.0325867993838</v>
      </c>
      <c r="F165" s="228">
        <f>IF($F$157=E$157,E165,IF(#REF!=D$157,D165,C165))</f>
        <v>1275.0325867993838</v>
      </c>
      <c r="I165" s="35"/>
      <c r="J165" s="35"/>
      <c r="K165" s="231"/>
    </row>
    <row r="166" spans="2:16" x14ac:dyDescent="0.25">
      <c r="G166" s="51"/>
      <c r="H166" s="35"/>
      <c r="I166" s="35"/>
      <c r="J166" s="35"/>
      <c r="K166" s="35"/>
      <c r="L166" s="35"/>
    </row>
    <row r="167" spans="2:16" x14ac:dyDescent="0.25">
      <c r="G167" s="51"/>
      <c r="H167" s="35"/>
      <c r="I167" s="35"/>
      <c r="J167" s="35"/>
      <c r="K167" s="35"/>
      <c r="L167" s="35"/>
    </row>
    <row r="168" spans="2:16" ht="15.5" x14ac:dyDescent="0.35">
      <c r="B168" s="31" t="str">
        <f>"All amounts in "&amp;$E$172</f>
        <v>All amounts in USD</v>
      </c>
      <c r="C168" s="31"/>
      <c r="G168" s="51"/>
      <c r="H168" s="35"/>
      <c r="I168" s="35"/>
      <c r="J168" s="35"/>
      <c r="K168" s="35"/>
    </row>
    <row r="169" spans="2:16" ht="15.5" x14ac:dyDescent="0.35">
      <c r="B169" s="52" t="s">
        <v>260</v>
      </c>
      <c r="C169" s="52"/>
      <c r="D169" s="52"/>
      <c r="E169" s="52"/>
      <c r="F169" s="52"/>
      <c r="G169" s="52"/>
      <c r="H169" s="52"/>
      <c r="I169" s="52"/>
      <c r="J169" s="52"/>
      <c r="K169" s="52"/>
      <c r="L169" s="52"/>
      <c r="M169" s="52"/>
      <c r="N169" s="52"/>
      <c r="O169" s="52"/>
      <c r="P169" s="52"/>
    </row>
    <row r="170" spans="2:16" ht="13" x14ac:dyDescent="0.3">
      <c r="B170" s="36"/>
      <c r="C170" s="36"/>
      <c r="D170" s="35"/>
      <c r="E170" s="35"/>
      <c r="F170" s="35"/>
      <c r="G170" s="53"/>
      <c r="H170" s="36"/>
      <c r="I170" s="36"/>
      <c r="J170" s="36"/>
      <c r="K170" s="340"/>
    </row>
    <row r="171" spans="2:16" ht="13" x14ac:dyDescent="0.3">
      <c r="B171" s="36" t="s">
        <v>261</v>
      </c>
      <c r="C171" s="36"/>
      <c r="D171" s="35"/>
      <c r="E171" s="35"/>
      <c r="F171" s="35"/>
      <c r="G171" s="53"/>
      <c r="H171" s="342" t="s">
        <v>372</v>
      </c>
      <c r="I171" s="55"/>
      <c r="J171" s="34"/>
      <c r="K171" s="35"/>
      <c r="M171" s="73" t="s">
        <v>159</v>
      </c>
      <c r="N171" s="35"/>
      <c r="O171" s="35"/>
      <c r="P171" s="35"/>
    </row>
    <row r="172" spans="2:16" x14ac:dyDescent="0.25">
      <c r="B172" s="35" t="s">
        <v>262</v>
      </c>
      <c r="C172" s="35"/>
      <c r="D172" s="35"/>
      <c r="E172" s="54" t="s">
        <v>456</v>
      </c>
      <c r="G172" s="35"/>
      <c r="H172" s="35" t="s">
        <v>278</v>
      </c>
      <c r="I172" s="35"/>
      <c r="J172" s="35" t="s">
        <v>80</v>
      </c>
      <c r="K172" s="107">
        <v>45</v>
      </c>
      <c r="M172" s="35" t="str">
        <f>'Financials Yearly'!B353</f>
        <v>Term Loan A</v>
      </c>
      <c r="N172" s="34"/>
      <c r="O172" s="34" t="s">
        <v>457</v>
      </c>
      <c r="P172" s="207">
        <v>0.03</v>
      </c>
    </row>
    <row r="173" spans="2:16" x14ac:dyDescent="0.25">
      <c r="B173" s="35" t="s">
        <v>18</v>
      </c>
      <c r="C173" s="35"/>
      <c r="D173" s="35" t="s">
        <v>296</v>
      </c>
      <c r="E173" s="341">
        <v>0.05</v>
      </c>
      <c r="G173" s="35"/>
      <c r="H173" s="35" t="s">
        <v>81</v>
      </c>
      <c r="I173" s="35"/>
      <c r="J173" s="35" t="s">
        <v>16</v>
      </c>
      <c r="K173" s="107">
        <v>45</v>
      </c>
      <c r="M173" s="35" t="str">
        <f>'Financials Yearly'!B354</f>
        <v>Term Loan B</v>
      </c>
      <c r="N173" s="35"/>
      <c r="O173" s="34" t="s">
        <v>296</v>
      </c>
      <c r="P173" s="207">
        <v>0.04</v>
      </c>
    </row>
    <row r="174" spans="2:16" x14ac:dyDescent="0.25">
      <c r="G174" s="35"/>
      <c r="H174" s="35" t="s">
        <v>282</v>
      </c>
      <c r="I174" s="35"/>
      <c r="J174" s="35" t="s">
        <v>16</v>
      </c>
      <c r="K174" s="107">
        <v>30</v>
      </c>
      <c r="M174" s="35" t="str">
        <f>'Financials Yearly'!B355</f>
        <v>Credit Facility</v>
      </c>
      <c r="N174" s="35"/>
      <c r="O174" s="34" t="s">
        <v>296</v>
      </c>
      <c r="P174" s="207">
        <v>0.03</v>
      </c>
    </row>
    <row r="175" spans="2:16" x14ac:dyDescent="0.25">
      <c r="B175" s="35"/>
      <c r="C175" s="35"/>
      <c r="D175" s="35"/>
      <c r="E175" s="35"/>
      <c r="G175" s="35"/>
      <c r="H175" s="35" t="s">
        <v>283</v>
      </c>
      <c r="I175" s="35"/>
      <c r="J175" s="35" t="s">
        <v>80</v>
      </c>
      <c r="K175" s="107">
        <v>5</v>
      </c>
      <c r="M175" s="35" t="str">
        <f>'Financials Yearly'!B356</f>
        <v>Mezzanine</v>
      </c>
      <c r="N175" s="35"/>
      <c r="O175" s="34" t="s">
        <v>296</v>
      </c>
      <c r="P175" s="207">
        <v>0.06</v>
      </c>
    </row>
    <row r="176" spans="2:16" ht="13" x14ac:dyDescent="0.3">
      <c r="B176" s="36" t="s">
        <v>412</v>
      </c>
      <c r="C176" s="36"/>
      <c r="D176" s="34"/>
      <c r="E176" s="49"/>
      <c r="G176" s="35"/>
      <c r="H176" s="35" t="s">
        <v>458</v>
      </c>
      <c r="I176" s="35"/>
      <c r="J176" s="35" t="s">
        <v>80</v>
      </c>
      <c r="K176" s="107">
        <v>2</v>
      </c>
      <c r="M176" s="13" t="s">
        <v>370</v>
      </c>
      <c r="P176" s="54" t="s">
        <v>8</v>
      </c>
    </row>
    <row r="177" spans="2:16" x14ac:dyDescent="0.25">
      <c r="B177" s="34" t="s">
        <v>263</v>
      </c>
      <c r="C177" s="34"/>
      <c r="D177" s="34" t="s">
        <v>259</v>
      </c>
      <c r="E177" s="227">
        <v>10</v>
      </c>
      <c r="G177" s="35"/>
      <c r="M177" s="35" t="str">
        <f>'Financials Yearly'!B358</f>
        <v>Seller financing</v>
      </c>
      <c r="N177" s="35"/>
      <c r="O177" s="34" t="s">
        <v>296</v>
      </c>
      <c r="P177" s="207">
        <v>0.05</v>
      </c>
    </row>
    <row r="178" spans="2:16" ht="13" x14ac:dyDescent="0.3">
      <c r="B178" s="35"/>
      <c r="C178" s="35"/>
      <c r="D178" s="35"/>
      <c r="E178" s="35"/>
      <c r="F178" s="35"/>
      <c r="G178" s="35"/>
      <c r="H178" s="73" t="s">
        <v>51</v>
      </c>
      <c r="I178" s="35"/>
      <c r="J178" s="35"/>
      <c r="K178" s="208"/>
    </row>
    <row r="179" spans="2:16" ht="13" x14ac:dyDescent="0.3">
      <c r="B179" s="36" t="s">
        <v>358</v>
      </c>
      <c r="C179" s="36"/>
      <c r="D179" s="34"/>
      <c r="E179" s="49"/>
      <c r="F179" s="35"/>
      <c r="G179" s="35"/>
      <c r="H179" s="35" t="s">
        <v>52</v>
      </c>
      <c r="I179" s="35"/>
      <c r="J179" s="34" t="s">
        <v>296</v>
      </c>
      <c r="K179" s="207">
        <v>0.1</v>
      </c>
      <c r="M179" s="69" t="s">
        <v>371</v>
      </c>
    </row>
    <row r="180" spans="2:16" x14ac:dyDescent="0.25">
      <c r="B180" s="34" t="s">
        <v>189</v>
      </c>
      <c r="C180" s="34"/>
      <c r="D180" s="34" t="s">
        <v>241</v>
      </c>
      <c r="E180" s="56">
        <v>0.12</v>
      </c>
      <c r="F180" s="35"/>
      <c r="G180" s="38"/>
      <c r="H180" s="35" t="s">
        <v>331</v>
      </c>
      <c r="I180" s="35"/>
      <c r="J180" s="34" t="s">
        <v>296</v>
      </c>
      <c r="K180" s="207">
        <v>0.5</v>
      </c>
      <c r="M180" s="55" t="s">
        <v>264</v>
      </c>
      <c r="N180" s="55"/>
      <c r="O180" s="34" t="s">
        <v>457</v>
      </c>
      <c r="P180" s="56">
        <v>0.25</v>
      </c>
    </row>
    <row r="181" spans="2:16" ht="13" x14ac:dyDescent="0.3">
      <c r="B181" s="34" t="s">
        <v>242</v>
      </c>
      <c r="C181" s="36"/>
      <c r="D181" s="34" t="s">
        <v>241</v>
      </c>
      <c r="E181" s="56">
        <v>0.03</v>
      </c>
      <c r="F181" s="35"/>
      <c r="G181" s="35"/>
      <c r="H181" s="35" t="s">
        <v>146</v>
      </c>
      <c r="I181" s="35"/>
      <c r="J181" s="34" t="s">
        <v>296</v>
      </c>
      <c r="K181" s="207">
        <v>0.5</v>
      </c>
    </row>
    <row r="182" spans="2:16" x14ac:dyDescent="0.25">
      <c r="G182" s="35"/>
      <c r="H182" s="34"/>
      <c r="I182" s="34"/>
      <c r="J182" s="34"/>
      <c r="K182" s="49"/>
    </row>
    <row r="183" spans="2:16" x14ac:dyDescent="0.25">
      <c r="B183" s="35"/>
      <c r="C183" s="35"/>
      <c r="D183" s="35"/>
      <c r="E183" s="35"/>
      <c r="F183" s="35"/>
      <c r="G183" s="35"/>
      <c r="H183" s="34"/>
      <c r="I183" s="34"/>
      <c r="J183" s="34"/>
      <c r="K183" s="49"/>
    </row>
    <row r="184" spans="2:16" ht="15.5" x14ac:dyDescent="0.35">
      <c r="B184" s="31" t="str">
        <f>"All amounts in "&amp;$E$172</f>
        <v>All amounts in USD</v>
      </c>
      <c r="C184" s="31"/>
      <c r="G184" s="51"/>
      <c r="H184" s="35"/>
      <c r="I184" s="35"/>
      <c r="J184" s="35"/>
      <c r="K184" s="35"/>
    </row>
    <row r="185" spans="2:16" ht="15.5" x14ac:dyDescent="0.35">
      <c r="B185" s="52" t="s">
        <v>396</v>
      </c>
      <c r="C185" s="52"/>
      <c r="D185" s="52"/>
      <c r="E185" s="52"/>
      <c r="F185" s="52"/>
      <c r="G185" s="52"/>
      <c r="H185" s="52"/>
      <c r="I185" s="52"/>
      <c r="J185" s="52"/>
      <c r="K185" s="52"/>
      <c r="L185" s="52"/>
      <c r="M185" s="52"/>
      <c r="N185" s="52"/>
      <c r="O185" s="52"/>
      <c r="P185" s="52"/>
    </row>
    <row r="186" spans="2:16" ht="13" x14ac:dyDescent="0.3">
      <c r="B186" s="36"/>
      <c r="C186" s="36"/>
      <c r="D186" s="35"/>
      <c r="E186" s="35"/>
      <c r="F186" s="35"/>
      <c r="G186" s="53"/>
      <c r="H186" s="36"/>
      <c r="I186" s="36"/>
      <c r="J186" s="36"/>
      <c r="K186" s="340"/>
    </row>
    <row r="187" spans="2:16" ht="13" x14ac:dyDescent="0.3">
      <c r="B187" s="34" t="str">
        <f ca="1">H150</f>
        <v>EBITDA 2020</v>
      </c>
      <c r="C187" s="34"/>
      <c r="D187" s="34" t="str">
        <f>J150</f>
        <v>USD</v>
      </c>
      <c r="E187" s="34"/>
      <c r="F187" s="229">
        <f>K150</f>
        <v>676202.99000000022</v>
      </c>
      <c r="G187" s="53"/>
      <c r="H187" s="36"/>
      <c r="I187" s="36"/>
      <c r="J187" s="36"/>
      <c r="K187" s="340"/>
      <c r="O187" s="13" t="s">
        <v>446</v>
      </c>
      <c r="P187" s="13" t="s">
        <v>248</v>
      </c>
    </row>
    <row r="188" spans="2:16" ht="13" x14ac:dyDescent="0.3">
      <c r="B188" s="34" t="str">
        <f>H151</f>
        <v>Growth</v>
      </c>
      <c r="C188" s="34"/>
      <c r="D188" s="34" t="str">
        <f>J151</f>
        <v>USD</v>
      </c>
      <c r="E188" s="34"/>
      <c r="F188" s="228">
        <f>F187</f>
        <v>676202.99000000022</v>
      </c>
      <c r="G188" s="229">
        <f ca="1">K151</f>
        <v>110310.20227731112</v>
      </c>
      <c r="H188" s="36"/>
      <c r="I188" s="36"/>
      <c r="J188" s="36"/>
      <c r="K188" s="340"/>
      <c r="L188" s="13" t="str">
        <f t="shared" ref="L188:L195" si="9">B110</f>
        <v>Excess cash</v>
      </c>
      <c r="N188" s="13" t="str">
        <f>D110</f>
        <v>USD</v>
      </c>
      <c r="O188" s="229">
        <f>E110</f>
        <v>136447.99</v>
      </c>
      <c r="P188" s="229"/>
    </row>
    <row r="189" spans="2:16" ht="13" x14ac:dyDescent="0.3">
      <c r="B189" s="34" t="s">
        <v>445</v>
      </c>
      <c r="C189" s="34"/>
      <c r="D189" s="34" t="str">
        <f>J152</f>
        <v>USD</v>
      </c>
      <c r="E189" s="34"/>
      <c r="F189" s="228">
        <f ca="1">F188+G188</f>
        <v>786513.19227731135</v>
      </c>
      <c r="G189" s="229">
        <f ca="1">K152</f>
        <v>459427.43772268854</v>
      </c>
      <c r="H189" s="36"/>
      <c r="I189" s="36"/>
      <c r="J189" s="36"/>
      <c r="K189" s="340"/>
      <c r="L189" s="13" t="str">
        <f t="shared" si="9"/>
        <v>Term Loan A</v>
      </c>
      <c r="N189" s="13" t="str">
        <f t="shared" ref="N189:N195" si="10">D111</f>
        <v>USD</v>
      </c>
      <c r="O189" s="229">
        <f t="shared" ref="O189:O195" si="11">E111</f>
        <v>1000000</v>
      </c>
      <c r="P189" s="229"/>
    </row>
    <row r="190" spans="2:16" ht="13" x14ac:dyDescent="0.3">
      <c r="B190" s="34" t="str">
        <f>H153</f>
        <v>EBITDA 2022</v>
      </c>
      <c r="C190" s="34"/>
      <c r="D190" s="34" t="str">
        <f>J153</f>
        <v>USD</v>
      </c>
      <c r="E190" s="34"/>
      <c r="F190" s="229">
        <f ca="1">K153</f>
        <v>1245940.6299999999</v>
      </c>
      <c r="G190" s="53"/>
      <c r="H190" s="36"/>
      <c r="I190" s="36"/>
      <c r="J190" s="36"/>
      <c r="K190" s="340"/>
      <c r="L190" s="13" t="str">
        <f t="shared" si="9"/>
        <v>Term Loan B</v>
      </c>
      <c r="N190" s="13" t="str">
        <f t="shared" si="10"/>
        <v>USD</v>
      </c>
      <c r="O190" s="229">
        <f t="shared" si="11"/>
        <v>1000000</v>
      </c>
      <c r="P190" s="229"/>
    </row>
    <row r="191" spans="2:16" ht="13" x14ac:dyDescent="0.3">
      <c r="B191" s="53"/>
      <c r="C191" s="53"/>
      <c r="D191" s="53"/>
      <c r="E191" s="53"/>
      <c r="F191" s="53"/>
      <c r="G191" s="53"/>
      <c r="H191" s="36"/>
      <c r="I191" s="36"/>
      <c r="J191" s="36"/>
      <c r="K191" s="340"/>
      <c r="L191" s="13" t="str">
        <f t="shared" si="9"/>
        <v>Credit Facility</v>
      </c>
      <c r="N191" s="13" t="str">
        <f t="shared" si="10"/>
        <v>USD</v>
      </c>
      <c r="O191" s="229">
        <f t="shared" si="11"/>
        <v>500000</v>
      </c>
      <c r="P191" s="229"/>
    </row>
    <row r="192" spans="2:16" ht="13" x14ac:dyDescent="0.3">
      <c r="B192" s="53"/>
      <c r="C192" s="53"/>
      <c r="D192" s="53"/>
      <c r="E192" s="53"/>
      <c r="F192" s="53"/>
      <c r="G192" s="53"/>
      <c r="H192" s="36"/>
      <c r="I192" s="36"/>
      <c r="J192" s="36"/>
      <c r="K192" s="340"/>
      <c r="L192" s="13" t="str">
        <f t="shared" si="9"/>
        <v>Mezzanine</v>
      </c>
      <c r="N192" s="13" t="str">
        <f t="shared" si="10"/>
        <v>USD</v>
      </c>
      <c r="O192" s="229">
        <f t="shared" si="11"/>
        <v>500000</v>
      </c>
      <c r="P192" s="229"/>
    </row>
    <row r="193" spans="2:16" ht="13" x14ac:dyDescent="0.3">
      <c r="B193" s="53"/>
      <c r="C193" s="53"/>
      <c r="D193" s="35" t="str">
        <f>$E$172</f>
        <v>USD</v>
      </c>
      <c r="E193" s="35"/>
      <c r="F193" s="108" t="s">
        <v>252</v>
      </c>
      <c r="G193" s="53" t="s">
        <v>249</v>
      </c>
      <c r="H193" s="34"/>
      <c r="I193" s="36"/>
      <c r="J193" s="36"/>
      <c r="K193" s="340"/>
      <c r="L193" s="13" t="str">
        <f t="shared" si="9"/>
        <v>Seller</v>
      </c>
      <c r="N193" s="13" t="str">
        <f t="shared" si="10"/>
        <v>USD</v>
      </c>
      <c r="O193" s="229">
        <f t="shared" si="11"/>
        <v>400000</v>
      </c>
      <c r="P193" s="229"/>
    </row>
    <row r="194" spans="2:16" ht="13" x14ac:dyDescent="0.3">
      <c r="B194" s="53" t="s">
        <v>250</v>
      </c>
      <c r="C194" s="53"/>
      <c r="D194" s="35" t="str">
        <f>$E$172</f>
        <v>USD</v>
      </c>
      <c r="E194" s="35"/>
      <c r="F194" s="229">
        <f>K116</f>
        <v>4395319.4350000015</v>
      </c>
      <c r="G194" s="229">
        <f>K119</f>
        <v>2631767.4250000017</v>
      </c>
      <c r="H194" s="36"/>
      <c r="I194" s="36"/>
      <c r="J194" s="36"/>
      <c r="K194" s="340"/>
      <c r="L194" s="13" t="str">
        <f t="shared" si="9"/>
        <v>Equity (PE)</v>
      </c>
      <c r="N194" s="13" t="str">
        <f t="shared" si="10"/>
        <v>USD</v>
      </c>
      <c r="O194" s="229">
        <f t="shared" si="11"/>
        <v>1315085.4067500019</v>
      </c>
      <c r="P194" s="229"/>
    </row>
    <row r="195" spans="2:16" ht="13" x14ac:dyDescent="0.3">
      <c r="B195" s="53" t="s">
        <v>251</v>
      </c>
      <c r="C195" s="53"/>
      <c r="D195" s="35" t="str">
        <f>$E$172</f>
        <v>USD</v>
      </c>
      <c r="E195" s="35"/>
      <c r="F195" s="229">
        <f ca="1">P116</f>
        <v>8098614.0949999988</v>
      </c>
      <c r="G195" s="229">
        <f ca="1">P119</f>
        <v>5968034.1916438341</v>
      </c>
      <c r="H195" s="36"/>
      <c r="I195" s="36"/>
      <c r="J195" s="36"/>
      <c r="K195" s="340"/>
      <c r="L195" s="13" t="str">
        <f t="shared" si="9"/>
        <v>Equity (Management)</v>
      </c>
      <c r="N195" s="13" t="str">
        <f t="shared" si="10"/>
        <v>USD</v>
      </c>
      <c r="O195" s="229">
        <f t="shared" si="11"/>
        <v>200000</v>
      </c>
      <c r="P195" s="229"/>
    </row>
    <row r="196" spans="2:16" ht="13" x14ac:dyDescent="0.3">
      <c r="B196" s="53" t="s">
        <v>76</v>
      </c>
      <c r="C196" s="53"/>
      <c r="D196" s="53"/>
      <c r="E196" s="53"/>
      <c r="F196" s="353">
        <f ca="1">F195/F194</f>
        <v>1.8425541567037427</v>
      </c>
      <c r="G196" s="353">
        <f ca="1">G195/G194</f>
        <v>2.2676905774239646</v>
      </c>
      <c r="H196" s="36"/>
      <c r="I196" s="36"/>
      <c r="J196" s="36"/>
      <c r="K196" s="340"/>
      <c r="L196" s="13" t="str">
        <f>B120</f>
        <v>Equity purchase price</v>
      </c>
      <c r="N196" s="13" t="str">
        <f>D120</f>
        <v>USD</v>
      </c>
      <c r="O196" s="229"/>
      <c r="P196" s="229">
        <f>E120</f>
        <v>2631767.4250000017</v>
      </c>
    </row>
    <row r="197" spans="2:16" ht="13" x14ac:dyDescent="0.3">
      <c r="B197" s="53"/>
      <c r="C197" s="53"/>
      <c r="D197" s="53"/>
      <c r="E197" s="53"/>
      <c r="F197" s="53"/>
      <c r="G197" s="53"/>
      <c r="H197" s="36"/>
      <c r="I197" s="36"/>
      <c r="J197" s="36"/>
      <c r="K197" s="340"/>
      <c r="L197" s="13" t="str">
        <f>B121</f>
        <v>Financial Debt</v>
      </c>
      <c r="N197" s="13" t="str">
        <f>D121</f>
        <v>USD</v>
      </c>
      <c r="O197" s="229"/>
      <c r="P197" s="229">
        <f>E121</f>
        <v>2000000</v>
      </c>
    </row>
    <row r="198" spans="2:16" ht="13" x14ac:dyDescent="0.3">
      <c r="B198" s="53"/>
      <c r="C198" s="53"/>
      <c r="D198" s="53"/>
      <c r="E198" s="53"/>
      <c r="F198" s="53"/>
      <c r="G198" s="53"/>
      <c r="H198" s="36"/>
      <c r="I198" s="36"/>
      <c r="J198" s="36"/>
      <c r="K198" s="340"/>
      <c r="L198" s="13" t="str">
        <f>B122</f>
        <v>Equity injection</v>
      </c>
      <c r="N198" s="13" t="str">
        <f>D122</f>
        <v>USD</v>
      </c>
      <c r="O198" s="229"/>
      <c r="P198" s="229">
        <f>E122</f>
        <v>200000</v>
      </c>
    </row>
    <row r="199" spans="2:16" ht="13" x14ac:dyDescent="0.3">
      <c r="B199" s="53"/>
      <c r="C199" s="53"/>
      <c r="D199" s="53"/>
      <c r="E199" s="53"/>
      <c r="F199" s="53"/>
      <c r="G199" s="53"/>
      <c r="H199" s="36"/>
      <c r="I199" s="36"/>
      <c r="J199" s="36"/>
      <c r="K199" s="340"/>
      <c r="L199" s="13" t="str">
        <f>B123</f>
        <v>Transaction costs</v>
      </c>
      <c r="N199" s="13" t="str">
        <f>D123</f>
        <v>USD</v>
      </c>
      <c r="O199" s="229"/>
      <c r="P199" s="229">
        <f>E123</f>
        <v>219765.97175000008</v>
      </c>
    </row>
    <row r="200" spans="2:16" ht="13" x14ac:dyDescent="0.3">
      <c r="B200" s="53"/>
      <c r="C200" s="53"/>
      <c r="D200" s="53"/>
      <c r="E200" s="53"/>
      <c r="F200" s="53"/>
      <c r="G200" s="53"/>
      <c r="H200" s="36"/>
      <c r="I200" s="36"/>
      <c r="J200" s="36"/>
      <c r="K200" s="340"/>
      <c r="O200" s="229"/>
      <c r="P200" s="229"/>
    </row>
    <row r="201" spans="2:16" x14ac:dyDescent="0.25">
      <c r="B201" s="28"/>
      <c r="C201" s="28"/>
      <c r="D201" s="28"/>
      <c r="E201" s="28"/>
      <c r="F201" s="28"/>
      <c r="G201" s="28"/>
      <c r="H201" s="28"/>
      <c r="I201" s="28"/>
      <c r="J201" s="28"/>
      <c r="K201" s="28"/>
      <c r="L201" s="28"/>
      <c r="M201" s="28"/>
      <c r="N201" s="28"/>
      <c r="O201" s="28"/>
      <c r="P201" s="28"/>
    </row>
    <row r="202" spans="2:16" x14ac:dyDescent="0.25">
      <c r="B202" s="13" t="s">
        <v>243</v>
      </c>
    </row>
    <row r="207" spans="2:16" x14ac:dyDescent="0.25">
      <c r="B207" s="57" t="s">
        <v>380</v>
      </c>
      <c r="C207" s="57"/>
    </row>
  </sheetData>
  <phoneticPr fontId="2" type="noConversion"/>
  <dataValidations count="2">
    <dataValidation type="list" allowBlank="1" showInputMessage="1" showErrorMessage="1" sqref="P176" xr:uid="{00000000-0002-0000-0200-000000000000}">
      <formula1>"PIK,Cash"</formula1>
    </dataValidation>
    <dataValidation type="list" allowBlank="1" showInputMessage="1" showErrorMessage="1" sqref="F157" xr:uid="{00000000-0002-0000-0200-000001000000}">
      <formula1>$C$157:$E$157</formula1>
    </dataValidation>
  </dataValidations>
  <hyperlinks>
    <hyperlink ref="B207" r:id="rId1" xr:uid="{00000000-0004-0000-0200-000000000000}"/>
  </hyperlinks>
  <printOptions horizontalCentered="1"/>
  <pageMargins left="0.74803149606299213" right="0.74803149606299213" top="0.98425196850393704" bottom="0.98425196850393704" header="0.51181102362204722" footer="0.51181102362204722"/>
  <pageSetup paperSize="9" scale="51" fitToHeight="0" orientation="portrait" horizontalDpi="0" verticalDpi="0"/>
  <headerFooter>
    <oddFooter>&amp;LConfidential&amp;C&amp;P / &amp;N&amp;R&amp;D</oddFooter>
  </headerFooter>
  <rowBreaks count="1" manualBreakCount="1">
    <brk id="104" max="16383" man="1"/>
  </rowBreaks>
  <drawing r:id="rId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DP421"/>
  <sheetViews>
    <sheetView showGridLines="0" workbookViewId="0">
      <pane xSplit="3" ySplit="7" topLeftCell="D188" activePane="bottomRight" state="frozenSplit"/>
      <selection activeCell="C20" sqref="C20"/>
      <selection pane="topRight" activeCell="C20" sqref="C20"/>
      <selection pane="bottomLeft" activeCell="C20" sqref="C20"/>
      <selection pane="bottomRight" activeCell="D198" sqref="D198"/>
    </sheetView>
  </sheetViews>
  <sheetFormatPr defaultColWidth="8.15234375" defaultRowHeight="12.5" outlineLevelCol="2" x14ac:dyDescent="0.25"/>
  <cols>
    <col min="1" max="1" width="4.84375" style="58" customWidth="1"/>
    <col min="2" max="2" width="22" style="58" customWidth="1"/>
    <col min="3" max="3" width="8.4609375" style="58" customWidth="1"/>
    <col min="4" max="16" width="10.3046875" style="58" customWidth="1"/>
    <col min="17" max="72" width="8.15234375" style="58"/>
    <col min="73" max="107" width="8.15234375" style="58" outlineLevel="2"/>
    <col min="108" max="109" width="8.15234375" style="58" collapsed="1"/>
    <col min="110" max="111" width="8.15234375" style="58" outlineLevel="2"/>
    <col min="112" max="113" width="8.15234375" style="58" collapsed="1"/>
    <col min="114" max="114" width="8.15234375" style="58" outlineLevel="2"/>
    <col min="115" max="116" width="8.15234375" style="58" collapsed="1"/>
    <col min="117" max="118" width="8.15234375" style="58" outlineLevel="2"/>
    <col min="119" max="120" width="8.15234375" style="58" collapsed="1"/>
    <col min="121" max="16384" width="8.15234375" style="58"/>
  </cols>
  <sheetData>
    <row r="2" spans="1:16" s="13" customFormat="1" ht="13" x14ac:dyDescent="0.3">
      <c r="B2" s="69" t="str">
        <f>Title!C8</f>
        <v>PE Model</v>
      </c>
      <c r="P2" s="15" t="str">
        <f>Title!C14</f>
        <v>March 29th, 2020</v>
      </c>
    </row>
    <row r="3" spans="1:16" s="13" customFormat="1" x14ac:dyDescent="0.25">
      <c r="B3" s="19"/>
      <c r="C3" s="19"/>
      <c r="D3" s="19"/>
      <c r="E3" s="19"/>
      <c r="F3" s="19"/>
      <c r="G3" s="19"/>
      <c r="H3" s="19"/>
      <c r="I3" s="19"/>
      <c r="J3" s="19"/>
      <c r="K3" s="19"/>
      <c r="L3" s="19"/>
      <c r="M3" s="19"/>
      <c r="N3" s="19"/>
      <c r="O3" s="19"/>
      <c r="P3" s="19" t="str">
        <f>Title!C33</f>
        <v>Confidential</v>
      </c>
    </row>
    <row r="4" spans="1:16" s="13" customFormat="1" x14ac:dyDescent="0.25"/>
    <row r="5" spans="1:16" ht="15.5" x14ac:dyDescent="0.35">
      <c r="B5" s="31" t="str">
        <f>"All amounts in "&amp;Summary!$E$172</f>
        <v>All amounts in USD</v>
      </c>
      <c r="C5" s="32"/>
      <c r="D5" s="32"/>
      <c r="E5" s="32"/>
      <c r="F5" s="13"/>
      <c r="G5" s="13"/>
      <c r="H5" s="13"/>
      <c r="I5" s="13"/>
      <c r="J5" s="13"/>
      <c r="K5" s="13"/>
      <c r="L5" s="13"/>
      <c r="M5" s="13"/>
      <c r="N5" s="13"/>
      <c r="O5" s="13"/>
      <c r="P5" s="13"/>
    </row>
    <row r="6" spans="1:16" ht="15.5" x14ac:dyDescent="0.35">
      <c r="B6" s="52" t="s">
        <v>74</v>
      </c>
      <c r="C6" s="52" t="s">
        <v>378</v>
      </c>
      <c r="D6" s="111">
        <f ca="1">D20</f>
        <v>2017</v>
      </c>
      <c r="E6" s="111">
        <f ca="1">E20</f>
        <v>2018</v>
      </c>
      <c r="F6" s="111">
        <f ca="1">F20</f>
        <v>2019</v>
      </c>
      <c r="G6" s="70">
        <f t="shared" ref="G6:P6" ca="1" si="0">G20</f>
        <v>2020</v>
      </c>
      <c r="H6" s="70">
        <f t="shared" ca="1" si="0"/>
        <v>2021</v>
      </c>
      <c r="I6" s="70">
        <f t="shared" ca="1" si="0"/>
        <v>2022</v>
      </c>
      <c r="J6" s="70">
        <f t="shared" ca="1" si="0"/>
        <v>2023</v>
      </c>
      <c r="K6" s="70">
        <f t="shared" ca="1" si="0"/>
        <v>2024</v>
      </c>
      <c r="L6" s="70">
        <f t="shared" ca="1" si="0"/>
        <v>2025</v>
      </c>
      <c r="M6" s="70">
        <f t="shared" ca="1" si="0"/>
        <v>2026</v>
      </c>
      <c r="N6" s="70">
        <f t="shared" ca="1" si="0"/>
        <v>2027</v>
      </c>
      <c r="O6" s="70">
        <f t="shared" ca="1" si="0"/>
        <v>2028</v>
      </c>
      <c r="P6" s="70">
        <f t="shared" ca="1" si="0"/>
        <v>2029</v>
      </c>
    </row>
    <row r="7" spans="1:16" s="113" customFormat="1" ht="13" x14ac:dyDescent="0.25">
      <c r="B7" s="25"/>
      <c r="C7" s="25"/>
      <c r="D7" s="25"/>
      <c r="E7" s="25"/>
      <c r="F7" s="25"/>
      <c r="G7" s="273"/>
      <c r="H7" s="273"/>
      <c r="I7" s="274"/>
      <c r="J7" s="274"/>
      <c r="K7" s="274"/>
      <c r="L7" s="274"/>
      <c r="M7" s="274"/>
      <c r="N7" s="274"/>
      <c r="O7" s="274"/>
      <c r="P7" s="274"/>
    </row>
    <row r="8" spans="1:16" ht="13" x14ac:dyDescent="0.3">
      <c r="A8" s="13"/>
      <c r="B8" s="73" t="s">
        <v>67</v>
      </c>
      <c r="C8" s="35" t="s">
        <v>208</v>
      </c>
      <c r="D8" s="190" t="s">
        <v>135</v>
      </c>
      <c r="E8" s="190">
        <f>E22/D22-1</f>
        <v>1.4432989690721598E-2</v>
      </c>
      <c r="F8" s="376">
        <f>F22/E22-1</f>
        <v>6.2733333333333308E-2</v>
      </c>
      <c r="G8" s="190">
        <f>G22/F22-1</f>
        <v>3.1375606084020236E-2</v>
      </c>
      <c r="H8" s="193">
        <v>0.1</v>
      </c>
      <c r="I8" s="193">
        <v>0.1</v>
      </c>
      <c r="J8" s="193">
        <v>0.1</v>
      </c>
      <c r="K8" s="193">
        <v>0.05</v>
      </c>
      <c r="L8" s="193">
        <v>0.05</v>
      </c>
      <c r="M8" s="193">
        <v>0.02</v>
      </c>
      <c r="N8" s="193">
        <v>0.02</v>
      </c>
      <c r="O8" s="193">
        <v>0.02</v>
      </c>
      <c r="P8" s="193">
        <v>0.02</v>
      </c>
    </row>
    <row r="9" spans="1:16" x14ac:dyDescent="0.25">
      <c r="A9" s="13"/>
      <c r="B9" s="35"/>
      <c r="C9" s="35"/>
      <c r="D9" s="34"/>
      <c r="E9" s="34"/>
      <c r="F9" s="377"/>
      <c r="G9" s="194"/>
      <c r="H9" s="194"/>
      <c r="I9" s="194"/>
      <c r="J9" s="194"/>
      <c r="K9" s="194"/>
      <c r="L9" s="194"/>
      <c r="M9" s="194"/>
      <c r="N9" s="194"/>
      <c r="O9" s="194"/>
      <c r="P9" s="194"/>
    </row>
    <row r="10" spans="1:16" ht="13" x14ac:dyDescent="0.3">
      <c r="A10" s="13"/>
      <c r="B10" s="170" t="s">
        <v>68</v>
      </c>
      <c r="C10" s="28"/>
      <c r="D10" s="60"/>
      <c r="E10" s="60"/>
      <c r="F10" s="378"/>
      <c r="G10" s="195"/>
      <c r="H10" s="196"/>
      <c r="I10" s="196"/>
      <c r="J10" s="196"/>
      <c r="K10" s="196"/>
      <c r="L10" s="196"/>
      <c r="M10" s="196"/>
      <c r="N10" s="196"/>
      <c r="O10" s="196"/>
      <c r="P10" s="196"/>
    </row>
    <row r="11" spans="1:16" x14ac:dyDescent="0.25">
      <c r="A11" s="13"/>
      <c r="B11" s="35" t="s">
        <v>68</v>
      </c>
      <c r="C11" s="35" t="s">
        <v>69</v>
      </c>
      <c r="D11" s="34"/>
      <c r="E11" s="34"/>
      <c r="F11" s="379">
        <f>-F25/F$22</f>
        <v>0.50033259267022756</v>
      </c>
      <c r="G11" s="277">
        <f>-G25/G$22</f>
        <v>0.49958276929923784</v>
      </c>
      <c r="H11" s="193">
        <v>0.51</v>
      </c>
      <c r="I11" s="193">
        <v>0.52</v>
      </c>
      <c r="J11" s="193">
        <v>0.53</v>
      </c>
      <c r="K11" s="193">
        <v>0.53</v>
      </c>
      <c r="L11" s="193">
        <v>0.53</v>
      </c>
      <c r="M11" s="193">
        <v>0.53</v>
      </c>
      <c r="N11" s="193">
        <v>0.53</v>
      </c>
      <c r="O11" s="193">
        <v>0.53</v>
      </c>
      <c r="P11" s="193">
        <v>0.53</v>
      </c>
    </row>
    <row r="12" spans="1:16" x14ac:dyDescent="0.25">
      <c r="A12" s="13"/>
      <c r="B12" s="35"/>
      <c r="C12" s="35"/>
      <c r="D12" s="34"/>
      <c r="E12" s="34"/>
      <c r="F12" s="370"/>
      <c r="G12" s="197"/>
      <c r="H12" s="197"/>
      <c r="I12" s="197"/>
      <c r="J12" s="197"/>
      <c r="K12" s="197"/>
      <c r="L12" s="197"/>
      <c r="M12" s="197"/>
      <c r="N12" s="197"/>
      <c r="O12" s="197"/>
      <c r="P12" s="197"/>
    </row>
    <row r="13" spans="1:16" ht="13" x14ac:dyDescent="0.3">
      <c r="A13" s="13"/>
      <c r="B13" s="170" t="s">
        <v>70</v>
      </c>
      <c r="C13" s="28"/>
      <c r="D13" s="60"/>
      <c r="E13" s="60"/>
      <c r="F13" s="380"/>
      <c r="G13" s="196"/>
      <c r="H13" s="196"/>
      <c r="I13" s="196"/>
      <c r="J13" s="196"/>
      <c r="K13" s="196"/>
      <c r="L13" s="196"/>
      <c r="M13" s="196"/>
      <c r="N13" s="196"/>
      <c r="O13" s="196"/>
      <c r="P13" s="196"/>
    </row>
    <row r="14" spans="1:16" x14ac:dyDescent="0.25">
      <c r="A14" s="13"/>
      <c r="B14" s="123" t="s">
        <v>71</v>
      </c>
      <c r="C14" s="35" t="s">
        <v>69</v>
      </c>
      <c r="D14" s="192">
        <f t="shared" ref="D14:G16" si="1">-D29/D$22</f>
        <v>0.10309278350515463</v>
      </c>
      <c r="E14" s="192">
        <f t="shared" si="1"/>
        <v>0.1016260162601626</v>
      </c>
      <c r="F14" s="381">
        <f t="shared" si="1"/>
        <v>0.11275955084373628</v>
      </c>
      <c r="G14" s="192">
        <f t="shared" si="1"/>
        <v>0.11105197767352161</v>
      </c>
      <c r="H14" s="193">
        <f t="shared" ref="H14:I16" si="2">G14-0.01</f>
        <v>0.10105197767352161</v>
      </c>
      <c r="I14" s="193">
        <f t="shared" si="2"/>
        <v>9.105197767352162E-2</v>
      </c>
      <c r="J14" s="193">
        <f>I14</f>
        <v>9.105197767352162E-2</v>
      </c>
      <c r="K14" s="193">
        <f t="shared" ref="K14:P14" si="3">J14</f>
        <v>9.105197767352162E-2</v>
      </c>
      <c r="L14" s="193">
        <f t="shared" si="3"/>
        <v>9.105197767352162E-2</v>
      </c>
      <c r="M14" s="193">
        <f t="shared" si="3"/>
        <v>9.105197767352162E-2</v>
      </c>
      <c r="N14" s="193">
        <f t="shared" si="3"/>
        <v>9.105197767352162E-2</v>
      </c>
      <c r="O14" s="193">
        <f t="shared" si="3"/>
        <v>9.105197767352162E-2</v>
      </c>
      <c r="P14" s="193">
        <f t="shared" si="3"/>
        <v>9.105197767352162E-2</v>
      </c>
    </row>
    <row r="15" spans="1:16" x14ac:dyDescent="0.25">
      <c r="A15" s="13"/>
      <c r="B15" s="123" t="s">
        <v>72</v>
      </c>
      <c r="C15" s="35" t="s">
        <v>69</v>
      </c>
      <c r="D15" s="192">
        <f t="shared" si="1"/>
        <v>0.10309278350515463</v>
      </c>
      <c r="E15" s="192">
        <f t="shared" si="1"/>
        <v>0.1016260162601626</v>
      </c>
      <c r="F15" s="381">
        <f t="shared" si="1"/>
        <v>0.1098618610394121</v>
      </c>
      <c r="G15" s="192">
        <f t="shared" si="1"/>
        <v>9.8185510041352203E-2</v>
      </c>
      <c r="H15" s="193">
        <f t="shared" si="2"/>
        <v>8.8185510041352208E-2</v>
      </c>
      <c r="I15" s="193">
        <f t="shared" si="2"/>
        <v>7.8185510041352213E-2</v>
      </c>
      <c r="J15" s="193">
        <f t="shared" ref="J15:P15" si="4">I15</f>
        <v>7.8185510041352213E-2</v>
      </c>
      <c r="K15" s="193">
        <f t="shared" si="4"/>
        <v>7.8185510041352213E-2</v>
      </c>
      <c r="L15" s="193">
        <f t="shared" si="4"/>
        <v>7.8185510041352213E-2</v>
      </c>
      <c r="M15" s="193">
        <f t="shared" si="4"/>
        <v>7.8185510041352213E-2</v>
      </c>
      <c r="N15" s="193">
        <f t="shared" si="4"/>
        <v>7.8185510041352213E-2</v>
      </c>
      <c r="O15" s="193">
        <f t="shared" si="4"/>
        <v>7.8185510041352213E-2</v>
      </c>
      <c r="P15" s="193">
        <f t="shared" si="4"/>
        <v>7.8185510041352213E-2</v>
      </c>
    </row>
    <row r="16" spans="1:16" x14ac:dyDescent="0.25">
      <c r="A16" s="13"/>
      <c r="B16" s="123" t="s">
        <v>73</v>
      </c>
      <c r="C16" s="35" t="s">
        <v>69</v>
      </c>
      <c r="D16" s="192">
        <f t="shared" si="1"/>
        <v>0.15463917525773196</v>
      </c>
      <c r="E16" s="192">
        <f t="shared" si="1"/>
        <v>0.1524390243902439</v>
      </c>
      <c r="F16" s="381">
        <f t="shared" si="1"/>
        <v>0.14771944869878409</v>
      </c>
      <c r="G16" s="192">
        <f t="shared" si="1"/>
        <v>0.13981864372206873</v>
      </c>
      <c r="H16" s="193">
        <f t="shared" si="2"/>
        <v>0.12981864372206872</v>
      </c>
      <c r="I16" s="193">
        <f t="shared" si="2"/>
        <v>0.11981864372206873</v>
      </c>
      <c r="J16" s="193">
        <f t="shared" ref="J16:P16" si="5">I16</f>
        <v>0.11981864372206873</v>
      </c>
      <c r="K16" s="193">
        <f t="shared" si="5"/>
        <v>0.11981864372206873</v>
      </c>
      <c r="L16" s="193">
        <f t="shared" si="5"/>
        <v>0.11981864372206873</v>
      </c>
      <c r="M16" s="193">
        <f t="shared" si="5"/>
        <v>0.11981864372206873</v>
      </c>
      <c r="N16" s="193">
        <f t="shared" si="5"/>
        <v>0.11981864372206873</v>
      </c>
      <c r="O16" s="193">
        <f t="shared" si="5"/>
        <v>0.11981864372206873</v>
      </c>
      <c r="P16" s="193">
        <f t="shared" si="5"/>
        <v>0.11981864372206873</v>
      </c>
    </row>
    <row r="17" spans="1:16" x14ac:dyDescent="0.25">
      <c r="A17" s="13"/>
      <c r="B17" s="35"/>
      <c r="C17" s="35"/>
      <c r="D17" s="35"/>
      <c r="E17" s="38"/>
      <c r="F17" s="38"/>
      <c r="G17" s="35"/>
      <c r="H17" s="35"/>
      <c r="I17" s="35"/>
      <c r="J17" s="35"/>
      <c r="K17" s="35"/>
      <c r="L17" s="35"/>
      <c r="M17" s="35"/>
      <c r="N17" s="35"/>
      <c r="O17" s="35"/>
      <c r="P17" s="35"/>
    </row>
    <row r="18" spans="1:16" x14ac:dyDescent="0.25">
      <c r="B18" s="81"/>
      <c r="C18" s="81"/>
      <c r="D18" s="81"/>
      <c r="E18" s="81"/>
      <c r="F18" s="81"/>
      <c r="G18" s="84"/>
      <c r="H18" s="84"/>
      <c r="I18" s="84"/>
      <c r="J18" s="84"/>
      <c r="K18" s="84"/>
      <c r="L18" s="84"/>
      <c r="M18" s="84"/>
      <c r="N18" s="84"/>
      <c r="O18" s="84"/>
      <c r="P18" s="84"/>
    </row>
    <row r="19" spans="1:16" ht="15.5" x14ac:dyDescent="0.35">
      <c r="B19" s="31" t="str">
        <f>"All amounts in "&amp;Summary!$E$172</f>
        <v>All amounts in USD</v>
      </c>
      <c r="C19" s="32"/>
      <c r="D19" s="32"/>
      <c r="E19" s="32"/>
      <c r="F19" s="13"/>
      <c r="G19" s="13"/>
      <c r="H19" s="13"/>
      <c r="I19" s="13"/>
      <c r="J19" s="13"/>
      <c r="K19" s="13"/>
      <c r="L19" s="13"/>
      <c r="M19" s="13"/>
      <c r="N19" s="13"/>
      <c r="O19" s="13"/>
      <c r="P19" s="13"/>
    </row>
    <row r="20" spans="1:16" ht="15.5" x14ac:dyDescent="0.35">
      <c r="B20" s="52" t="s">
        <v>449</v>
      </c>
      <c r="C20" s="52" t="s">
        <v>450</v>
      </c>
      <c r="D20" s="111">
        <f ca="1">E20-1</f>
        <v>2017</v>
      </c>
      <c r="E20" s="111">
        <f ca="1">F20-1</f>
        <v>2018</v>
      </c>
      <c r="F20" s="111">
        <f ca="1">H20-2</f>
        <v>2019</v>
      </c>
      <c r="G20" s="70">
        <f ca="1">H20-1</f>
        <v>2020</v>
      </c>
      <c r="H20" s="70">
        <f ca="1">Summary!E134</f>
        <v>2021</v>
      </c>
      <c r="I20" s="70">
        <f t="shared" ref="I20:P20" ca="1" si="6">H20+1</f>
        <v>2022</v>
      </c>
      <c r="J20" s="70">
        <f t="shared" ca="1" si="6"/>
        <v>2023</v>
      </c>
      <c r="K20" s="70">
        <f t="shared" ca="1" si="6"/>
        <v>2024</v>
      </c>
      <c r="L20" s="70">
        <f t="shared" ca="1" si="6"/>
        <v>2025</v>
      </c>
      <c r="M20" s="70">
        <f t="shared" ca="1" si="6"/>
        <v>2026</v>
      </c>
      <c r="N20" s="70">
        <f t="shared" ca="1" si="6"/>
        <v>2027</v>
      </c>
      <c r="O20" s="70">
        <f t="shared" ca="1" si="6"/>
        <v>2028</v>
      </c>
      <c r="P20" s="70">
        <f t="shared" ca="1" si="6"/>
        <v>2029</v>
      </c>
    </row>
    <row r="21" spans="1:16" s="241" customFormat="1" ht="13" x14ac:dyDescent="0.25">
      <c r="B21" s="237"/>
      <c r="C21" s="237"/>
      <c r="D21" s="237"/>
      <c r="E21" s="237"/>
      <c r="F21" s="237"/>
      <c r="G21" s="237"/>
      <c r="H21" s="237"/>
      <c r="I21" s="242"/>
      <c r="J21" s="242"/>
      <c r="K21" s="242"/>
      <c r="L21" s="242"/>
      <c r="M21" s="242"/>
      <c r="N21" s="242"/>
      <c r="O21" s="242"/>
      <c r="P21" s="242"/>
    </row>
    <row r="22" spans="1:16" x14ac:dyDescent="0.25">
      <c r="B22" s="198" t="s">
        <v>258</v>
      </c>
      <c r="C22" s="101" t="str">
        <f>Summary!$E$172</f>
        <v>USD</v>
      </c>
      <c r="D22" s="148">
        <v>4850000</v>
      </c>
      <c r="E22" s="148">
        <v>4920000</v>
      </c>
      <c r="F22" s="382">
        <f>'Financials Quarterly'!I9</f>
        <v>5228648</v>
      </c>
      <c r="G22" s="275">
        <f>'Financials Quarterly'!V9</f>
        <v>5392700</v>
      </c>
      <c r="H22" s="75">
        <f t="shared" ref="H22:P22" si="7">G22*(1+H8)</f>
        <v>5931970.0000000009</v>
      </c>
      <c r="I22" s="75">
        <f t="shared" si="7"/>
        <v>6525167.0000000019</v>
      </c>
      <c r="J22" s="75">
        <f t="shared" si="7"/>
        <v>7177683.700000003</v>
      </c>
      <c r="K22" s="75">
        <f t="shared" si="7"/>
        <v>7536567.8850000035</v>
      </c>
      <c r="L22" s="75">
        <f t="shared" si="7"/>
        <v>7913396.2792500043</v>
      </c>
      <c r="M22" s="75">
        <f t="shared" si="7"/>
        <v>8071664.2048350042</v>
      </c>
      <c r="N22" s="75">
        <f t="shared" si="7"/>
        <v>8233097.4889317043</v>
      </c>
      <c r="O22" s="75">
        <f t="shared" si="7"/>
        <v>8397759.4387103394</v>
      </c>
      <c r="P22" s="75">
        <f t="shared" si="7"/>
        <v>8565714.627484547</v>
      </c>
    </row>
    <row r="23" spans="1:16" s="334" customFormat="1" ht="13" x14ac:dyDescent="0.3">
      <c r="B23" s="335" t="s">
        <v>285</v>
      </c>
      <c r="C23" s="336" t="s">
        <v>170</v>
      </c>
      <c r="D23" s="337" t="s">
        <v>286</v>
      </c>
      <c r="E23" s="338">
        <f>E22/D22-1</f>
        <v>1.4432989690721598E-2</v>
      </c>
      <c r="F23" s="383">
        <f>F22/E22-1</f>
        <v>6.2733333333333308E-2</v>
      </c>
      <c r="G23" s="338">
        <f>G22/F22-1</f>
        <v>3.1375606084020236E-2</v>
      </c>
      <c r="H23" s="338">
        <f t="shared" ref="H23:O23" si="8">H22/G22-1</f>
        <v>0.10000000000000009</v>
      </c>
      <c r="I23" s="338">
        <f t="shared" si="8"/>
        <v>0.10000000000000009</v>
      </c>
      <c r="J23" s="338">
        <f t="shared" si="8"/>
        <v>0.10000000000000009</v>
      </c>
      <c r="K23" s="338">
        <f t="shared" si="8"/>
        <v>5.0000000000000044E-2</v>
      </c>
      <c r="L23" s="338">
        <f t="shared" si="8"/>
        <v>5.0000000000000044E-2</v>
      </c>
      <c r="M23" s="338">
        <f t="shared" si="8"/>
        <v>2.0000000000000018E-2</v>
      </c>
      <c r="N23" s="338">
        <f t="shared" si="8"/>
        <v>2.0000000000000018E-2</v>
      </c>
      <c r="O23" s="338">
        <f t="shared" si="8"/>
        <v>2.0000000000000018E-2</v>
      </c>
      <c r="P23" s="339">
        <f>D199</f>
        <v>0.03</v>
      </c>
    </row>
    <row r="24" spans="1:16" x14ac:dyDescent="0.25">
      <c r="B24" s="35"/>
      <c r="C24" s="35"/>
      <c r="D24" s="99"/>
      <c r="E24" s="99"/>
      <c r="F24" s="384"/>
      <c r="G24" s="105"/>
      <c r="H24" s="105"/>
      <c r="I24" s="105"/>
      <c r="J24" s="105"/>
      <c r="K24" s="105"/>
      <c r="L24" s="105"/>
      <c r="M24" s="105"/>
      <c r="N24" s="105"/>
      <c r="O24" s="105"/>
      <c r="P24" s="105"/>
    </row>
    <row r="25" spans="1:16" x14ac:dyDescent="0.25">
      <c r="B25" s="198" t="s">
        <v>459</v>
      </c>
      <c r="C25" s="101" t="str">
        <f>Summary!$E$172</f>
        <v>USD</v>
      </c>
      <c r="D25" s="148">
        <v>-2600000</v>
      </c>
      <c r="E25" s="148">
        <v>-2600000</v>
      </c>
      <c r="F25" s="382">
        <f>'Financials Quarterly'!I12</f>
        <v>-2616063.0099999998</v>
      </c>
      <c r="G25" s="275">
        <f>'Financials Quarterly'!V12</f>
        <v>-2694100</v>
      </c>
      <c r="H25" s="80">
        <f t="shared" ref="H25:P25" si="9">-H22*H11</f>
        <v>-3025304.7000000007</v>
      </c>
      <c r="I25" s="80">
        <f t="shared" si="9"/>
        <v>-3393086.8400000012</v>
      </c>
      <c r="J25" s="80">
        <f t="shared" si="9"/>
        <v>-3804172.3610000019</v>
      </c>
      <c r="K25" s="80">
        <f t="shared" si="9"/>
        <v>-3994380.9790500021</v>
      </c>
      <c r="L25" s="80">
        <f t="shared" si="9"/>
        <v>-4194100.0280025024</v>
      </c>
      <c r="M25" s="80">
        <f t="shared" si="9"/>
        <v>-4277982.0285625523</v>
      </c>
      <c r="N25" s="80">
        <f t="shared" si="9"/>
        <v>-4363541.6691338038</v>
      </c>
      <c r="O25" s="80">
        <f t="shared" si="9"/>
        <v>-4450812.5025164802</v>
      </c>
      <c r="P25" s="80">
        <f t="shared" si="9"/>
        <v>-4539828.7525668098</v>
      </c>
    </row>
    <row r="26" spans="1:16" x14ac:dyDescent="0.25">
      <c r="B26" s="35" t="s">
        <v>188</v>
      </c>
      <c r="C26" s="99" t="str">
        <f>Summary!$E$172</f>
        <v>USD</v>
      </c>
      <c r="D26" s="199">
        <f t="shared" ref="D26:P26" si="10">D22+D25</f>
        <v>2250000</v>
      </c>
      <c r="E26" s="199">
        <f t="shared" si="10"/>
        <v>2320000</v>
      </c>
      <c r="F26" s="385">
        <f t="shared" si="10"/>
        <v>2612584.9900000002</v>
      </c>
      <c r="G26" s="105">
        <f t="shared" si="10"/>
        <v>2698600</v>
      </c>
      <c r="H26" s="105">
        <f t="shared" si="10"/>
        <v>2906665.3000000003</v>
      </c>
      <c r="I26" s="105">
        <f t="shared" si="10"/>
        <v>3132080.1600000006</v>
      </c>
      <c r="J26" s="105">
        <f t="shared" si="10"/>
        <v>3373511.3390000011</v>
      </c>
      <c r="K26" s="105">
        <f t="shared" si="10"/>
        <v>3542186.9059500014</v>
      </c>
      <c r="L26" s="105">
        <f t="shared" si="10"/>
        <v>3719296.2512475019</v>
      </c>
      <c r="M26" s="105">
        <f t="shared" si="10"/>
        <v>3793682.1762724519</v>
      </c>
      <c r="N26" s="105">
        <f t="shared" si="10"/>
        <v>3869555.8197979005</v>
      </c>
      <c r="O26" s="105">
        <f t="shared" si="10"/>
        <v>3946946.9361938592</v>
      </c>
      <c r="P26" s="105">
        <f t="shared" si="10"/>
        <v>4025885.8749177372</v>
      </c>
    </row>
    <row r="27" spans="1:16" s="398" customFormat="1" ht="13" x14ac:dyDescent="0.3">
      <c r="B27" s="399" t="s">
        <v>170</v>
      </c>
      <c r="C27" s="395" t="s">
        <v>170</v>
      </c>
      <c r="D27" s="338">
        <f t="shared" ref="D27:P27" si="11">IF(ISERR(D26/D$22),"NA",D26/D$22)</f>
        <v>0.46391752577319589</v>
      </c>
      <c r="E27" s="338">
        <f t="shared" si="11"/>
        <v>0.47154471544715448</v>
      </c>
      <c r="F27" s="383">
        <f t="shared" si="11"/>
        <v>0.49966740732977249</v>
      </c>
      <c r="G27" s="396">
        <f t="shared" si="11"/>
        <v>0.50041723070076216</v>
      </c>
      <c r="H27" s="396">
        <f t="shared" si="11"/>
        <v>0.49</v>
      </c>
      <c r="I27" s="396">
        <f t="shared" si="11"/>
        <v>0.48</v>
      </c>
      <c r="J27" s="396">
        <f t="shared" si="11"/>
        <v>0.47</v>
      </c>
      <c r="K27" s="396">
        <f t="shared" si="11"/>
        <v>0.47</v>
      </c>
      <c r="L27" s="396">
        <f t="shared" si="11"/>
        <v>0.47</v>
      </c>
      <c r="M27" s="396">
        <f t="shared" si="11"/>
        <v>0.47</v>
      </c>
      <c r="N27" s="396">
        <f t="shared" si="11"/>
        <v>0.46999999999999992</v>
      </c>
      <c r="O27" s="396">
        <f t="shared" si="11"/>
        <v>0.47</v>
      </c>
      <c r="P27" s="396">
        <f t="shared" si="11"/>
        <v>0.47000000000000003</v>
      </c>
    </row>
    <row r="28" spans="1:16" x14ac:dyDescent="0.25">
      <c r="B28" s="35"/>
      <c r="C28" s="35"/>
      <c r="D28" s="99"/>
      <c r="E28" s="99"/>
      <c r="F28" s="384"/>
      <c r="G28" s="105"/>
      <c r="H28" s="105"/>
      <c r="I28" s="105"/>
      <c r="J28" s="105"/>
      <c r="K28" s="105"/>
      <c r="L28" s="105"/>
      <c r="M28" s="105"/>
      <c r="N28" s="105"/>
      <c r="O28" s="105"/>
      <c r="P28" s="105"/>
    </row>
    <row r="29" spans="1:16" x14ac:dyDescent="0.25">
      <c r="B29" s="122" t="s">
        <v>199</v>
      </c>
      <c r="C29" s="99" t="str">
        <f>Summary!$E$172</f>
        <v>USD</v>
      </c>
      <c r="D29" s="149">
        <v>-500000</v>
      </c>
      <c r="E29" s="149">
        <v>-500000</v>
      </c>
      <c r="F29" s="386">
        <f>'Financials Quarterly'!I16</f>
        <v>-589580</v>
      </c>
      <c r="G29" s="276">
        <f>'Financials Quarterly'!V16</f>
        <v>-598870</v>
      </c>
      <c r="H29" s="90">
        <f t="shared" ref="H29:P29" si="12">-H$22*H14</f>
        <v>-599437.30000000016</v>
      </c>
      <c r="I29" s="90">
        <f t="shared" si="12"/>
        <v>-594129.36000000022</v>
      </c>
      <c r="J29" s="90">
        <f t="shared" si="12"/>
        <v>-653542.29600000032</v>
      </c>
      <c r="K29" s="90">
        <f t="shared" si="12"/>
        <v>-686219.41080000042</v>
      </c>
      <c r="L29" s="90">
        <f t="shared" si="12"/>
        <v>-720530.38134000043</v>
      </c>
      <c r="M29" s="90">
        <f t="shared" si="12"/>
        <v>-734940.98896680039</v>
      </c>
      <c r="N29" s="90">
        <f t="shared" si="12"/>
        <v>-749639.80874613649</v>
      </c>
      <c r="O29" s="90">
        <f t="shared" si="12"/>
        <v>-764632.60492105922</v>
      </c>
      <c r="P29" s="90">
        <f t="shared" si="12"/>
        <v>-779925.25701948057</v>
      </c>
    </row>
    <row r="30" spans="1:16" x14ac:dyDescent="0.25">
      <c r="B30" s="122" t="s">
        <v>200</v>
      </c>
      <c r="C30" s="99" t="str">
        <f>Summary!$E$172</f>
        <v>USD</v>
      </c>
      <c r="D30" s="149">
        <v>-500000</v>
      </c>
      <c r="E30" s="149">
        <v>-500000</v>
      </c>
      <c r="F30" s="386">
        <f>'Financials Quarterly'!I17</f>
        <v>-574429</v>
      </c>
      <c r="G30" s="276">
        <f>'Financials Quarterly'!V17</f>
        <v>-529485</v>
      </c>
      <c r="H30" s="90">
        <f t="shared" ref="H30:P30" si="13">-H$22*H15</f>
        <v>-523113.80000000016</v>
      </c>
      <c r="I30" s="90">
        <f t="shared" si="13"/>
        <v>-510173.51000000024</v>
      </c>
      <c r="J30" s="90">
        <f t="shared" si="13"/>
        <v>-561190.86100000038</v>
      </c>
      <c r="K30" s="90">
        <f t="shared" si="13"/>
        <v>-589250.40405000036</v>
      </c>
      <c r="L30" s="90">
        <f t="shared" si="13"/>
        <v>-618712.92425250041</v>
      </c>
      <c r="M30" s="90">
        <f t="shared" si="13"/>
        <v>-631087.18273755047</v>
      </c>
      <c r="N30" s="90">
        <f t="shared" si="13"/>
        <v>-643708.92639230145</v>
      </c>
      <c r="O30" s="90">
        <f t="shared" si="13"/>
        <v>-656583.10492014757</v>
      </c>
      <c r="P30" s="90">
        <f t="shared" si="13"/>
        <v>-669714.76701855054</v>
      </c>
    </row>
    <row r="31" spans="1:16" x14ac:dyDescent="0.25">
      <c r="B31" s="122" t="s">
        <v>201</v>
      </c>
      <c r="C31" s="99" t="str">
        <f>Summary!$E$172</f>
        <v>USD</v>
      </c>
      <c r="D31" s="149">
        <v>-750000</v>
      </c>
      <c r="E31" s="149">
        <v>-750000</v>
      </c>
      <c r="F31" s="386">
        <f>'Financials Quarterly'!I18</f>
        <v>-772373</v>
      </c>
      <c r="G31" s="276">
        <f>'Financials Quarterly'!V18</f>
        <v>-754000</v>
      </c>
      <c r="H31" s="90">
        <f t="shared" ref="H31:P31" si="14">-H$22*H16</f>
        <v>-770080.30000000016</v>
      </c>
      <c r="I31" s="90">
        <f t="shared" si="14"/>
        <v>-781836.66000000027</v>
      </c>
      <c r="J31" s="90">
        <f t="shared" si="14"/>
        <v>-860020.32600000035</v>
      </c>
      <c r="K31" s="90">
        <f t="shared" si="14"/>
        <v>-903021.34230000048</v>
      </c>
      <c r="L31" s="90">
        <f t="shared" si="14"/>
        <v>-948172.40941500058</v>
      </c>
      <c r="M31" s="90">
        <f t="shared" si="14"/>
        <v>-967135.85760330048</v>
      </c>
      <c r="N31" s="90">
        <f t="shared" si="14"/>
        <v>-986478.57475536654</v>
      </c>
      <c r="O31" s="90">
        <f t="shared" si="14"/>
        <v>-1006208.146250474</v>
      </c>
      <c r="P31" s="90">
        <f t="shared" si="14"/>
        <v>-1026332.3091754835</v>
      </c>
    </row>
    <row r="32" spans="1:16" x14ac:dyDescent="0.25">
      <c r="B32" s="198" t="s">
        <v>202</v>
      </c>
      <c r="C32" s="101" t="str">
        <f>Summary!$E$172</f>
        <v>USD</v>
      </c>
      <c r="D32" s="150">
        <f>SUM(D29:D31)</f>
        <v>-1750000</v>
      </c>
      <c r="E32" s="150">
        <f>SUM(E29:E31)</f>
        <v>-1750000</v>
      </c>
      <c r="F32" s="387">
        <f>SUM(F29:F31)</f>
        <v>-1936382</v>
      </c>
      <c r="G32" s="150">
        <f t="shared" ref="G32:P32" si="15">SUM(G29:G31)</f>
        <v>-1882355</v>
      </c>
      <c r="H32" s="150">
        <f t="shared" si="15"/>
        <v>-1892631.4000000004</v>
      </c>
      <c r="I32" s="150">
        <f t="shared" si="15"/>
        <v>-1886139.5300000007</v>
      </c>
      <c r="J32" s="150">
        <f t="shared" si="15"/>
        <v>-2074753.4830000009</v>
      </c>
      <c r="K32" s="150">
        <f t="shared" si="15"/>
        <v>-2178491.1571500013</v>
      </c>
      <c r="L32" s="150">
        <f t="shared" si="15"/>
        <v>-2287415.7150075017</v>
      </c>
      <c r="M32" s="150">
        <f t="shared" si="15"/>
        <v>-2333164.0293076513</v>
      </c>
      <c r="N32" s="150">
        <f t="shared" si="15"/>
        <v>-2379827.3098938046</v>
      </c>
      <c r="O32" s="150">
        <f t="shared" si="15"/>
        <v>-2427423.8560916809</v>
      </c>
      <c r="P32" s="150">
        <f t="shared" si="15"/>
        <v>-2475972.3332135146</v>
      </c>
    </row>
    <row r="33" spans="2:16" x14ac:dyDescent="0.25">
      <c r="B33" s="35" t="s">
        <v>48</v>
      </c>
      <c r="C33" s="99" t="str">
        <f>Summary!$E$172</f>
        <v>USD</v>
      </c>
      <c r="D33" s="199">
        <f t="shared" ref="D33:P33" si="16">D26+D32</f>
        <v>500000</v>
      </c>
      <c r="E33" s="199">
        <f t="shared" si="16"/>
        <v>570000</v>
      </c>
      <c r="F33" s="385">
        <f t="shared" si="16"/>
        <v>676202.99000000022</v>
      </c>
      <c r="G33" s="105">
        <f t="shared" si="16"/>
        <v>816245</v>
      </c>
      <c r="H33" s="105">
        <f t="shared" si="16"/>
        <v>1014033.8999999999</v>
      </c>
      <c r="I33" s="105">
        <f t="shared" si="16"/>
        <v>1245940.6299999999</v>
      </c>
      <c r="J33" s="105">
        <f t="shared" si="16"/>
        <v>1298757.8560000001</v>
      </c>
      <c r="K33" s="105">
        <f t="shared" si="16"/>
        <v>1363695.7488000002</v>
      </c>
      <c r="L33" s="105">
        <f t="shared" si="16"/>
        <v>1431880.5362400003</v>
      </c>
      <c r="M33" s="105">
        <f t="shared" si="16"/>
        <v>1460518.1469648005</v>
      </c>
      <c r="N33" s="105">
        <f t="shared" si="16"/>
        <v>1489728.5099040959</v>
      </c>
      <c r="O33" s="105">
        <f t="shared" si="16"/>
        <v>1519523.0801021783</v>
      </c>
      <c r="P33" s="105">
        <f t="shared" si="16"/>
        <v>1549913.5417042226</v>
      </c>
    </row>
    <row r="34" spans="2:16" s="398" customFormat="1" ht="13" x14ac:dyDescent="0.3">
      <c r="B34" s="399" t="s">
        <v>170</v>
      </c>
      <c r="C34" s="395" t="s">
        <v>170</v>
      </c>
      <c r="D34" s="338">
        <f t="shared" ref="D34:I34" si="17">IF(ISERR(D33/D$22),"NA",D33/D$22)</f>
        <v>0.10309278350515463</v>
      </c>
      <c r="E34" s="338">
        <f t="shared" si="17"/>
        <v>0.11585365853658537</v>
      </c>
      <c r="F34" s="383">
        <f t="shared" si="17"/>
        <v>0.12932654674784003</v>
      </c>
      <c r="G34" s="396">
        <f t="shared" si="17"/>
        <v>0.1513610992638196</v>
      </c>
      <c r="H34" s="396">
        <f t="shared" si="17"/>
        <v>0.17094386856305743</v>
      </c>
      <c r="I34" s="396">
        <f t="shared" si="17"/>
        <v>0.1909438685630574</v>
      </c>
      <c r="J34" s="396">
        <f t="shared" ref="J34:O34" si="18">IF(ISERR(J33/J$22),"NA",J33/J$22)</f>
        <v>0.18094386856305741</v>
      </c>
      <c r="K34" s="396">
        <f t="shared" si="18"/>
        <v>0.18094386856305741</v>
      </c>
      <c r="L34" s="396">
        <f t="shared" si="18"/>
        <v>0.18094386856305741</v>
      </c>
      <c r="M34" s="396">
        <f t="shared" si="18"/>
        <v>0.18094386856305744</v>
      </c>
      <c r="N34" s="396">
        <f t="shared" si="18"/>
        <v>0.18094386856305736</v>
      </c>
      <c r="O34" s="396">
        <f t="shared" si="18"/>
        <v>0.18094386856305739</v>
      </c>
      <c r="P34" s="396">
        <f>IF(ISERR(P33/P$22),"NA",P33/P$22)</f>
        <v>0.18094386856305747</v>
      </c>
    </row>
    <row r="35" spans="2:16" x14ac:dyDescent="0.25">
      <c r="B35" s="89"/>
      <c r="C35" s="35"/>
      <c r="D35" s="151"/>
      <c r="E35" s="151"/>
      <c r="F35" s="388"/>
      <c r="G35" s="100"/>
      <c r="H35" s="100"/>
      <c r="I35" s="100"/>
      <c r="J35" s="100"/>
      <c r="K35" s="100"/>
      <c r="L35" s="100"/>
      <c r="M35" s="100"/>
      <c r="N35" s="100"/>
      <c r="O35" s="100"/>
      <c r="P35" s="100"/>
    </row>
    <row r="36" spans="2:16" x14ac:dyDescent="0.25">
      <c r="B36" s="35" t="s">
        <v>269</v>
      </c>
      <c r="C36" s="99" t="str">
        <f>Summary!$E$172</f>
        <v>USD</v>
      </c>
      <c r="D36" s="149">
        <v>-250000</v>
      </c>
      <c r="E36" s="149">
        <v>-250000</v>
      </c>
      <c r="F36" s="382">
        <f>'Financials Quarterly'!I23</f>
        <v>-250500</v>
      </c>
      <c r="G36" s="275">
        <f>'Financials Quarterly'!V23</f>
        <v>-357450</v>
      </c>
      <c r="H36" s="78">
        <f t="shared" ref="H36:P36" si="19">-H408</f>
        <v>-417450</v>
      </c>
      <c r="I36" s="78">
        <f t="shared" si="19"/>
        <v>-567450</v>
      </c>
      <c r="J36" s="78">
        <f t="shared" si="19"/>
        <v>-607450</v>
      </c>
      <c r="K36" s="78">
        <f t="shared" si="19"/>
        <v>-647450</v>
      </c>
      <c r="L36" s="78">
        <f t="shared" si="19"/>
        <v>-687450</v>
      </c>
      <c r="M36" s="78">
        <f t="shared" si="19"/>
        <v>-767450</v>
      </c>
      <c r="N36" s="78">
        <f t="shared" si="19"/>
        <v>-847450</v>
      </c>
      <c r="O36" s="78">
        <f t="shared" si="19"/>
        <v>-927450</v>
      </c>
      <c r="P36" s="78">
        <f t="shared" si="19"/>
        <v>-800000</v>
      </c>
    </row>
    <row r="37" spans="2:16" x14ac:dyDescent="0.25">
      <c r="B37" s="162" t="s">
        <v>194</v>
      </c>
      <c r="C37" s="187" t="str">
        <f>Summary!$E$172</f>
        <v>USD</v>
      </c>
      <c r="D37" s="200">
        <f t="shared" ref="D37:P37" si="20">D33+SUM(D36:D36)</f>
        <v>250000</v>
      </c>
      <c r="E37" s="200">
        <f t="shared" si="20"/>
        <v>320000</v>
      </c>
      <c r="F37" s="389">
        <f t="shared" si="20"/>
        <v>425702.99000000022</v>
      </c>
      <c r="G37" s="201">
        <f t="shared" si="20"/>
        <v>458795</v>
      </c>
      <c r="H37" s="201">
        <f>H33+SUM(H36:H36)</f>
        <v>596583.89999999991</v>
      </c>
      <c r="I37" s="201">
        <f t="shared" si="20"/>
        <v>678490.62999999989</v>
      </c>
      <c r="J37" s="201">
        <f t="shared" si="20"/>
        <v>691307.85600000015</v>
      </c>
      <c r="K37" s="201">
        <f t="shared" si="20"/>
        <v>716245.74880000018</v>
      </c>
      <c r="L37" s="201">
        <f t="shared" si="20"/>
        <v>744430.53624000028</v>
      </c>
      <c r="M37" s="201">
        <f t="shared" si="20"/>
        <v>693068.14696480054</v>
      </c>
      <c r="N37" s="201">
        <f t="shared" si="20"/>
        <v>642278.5099040959</v>
      </c>
      <c r="O37" s="201">
        <f t="shared" si="20"/>
        <v>592073.08010217827</v>
      </c>
      <c r="P37" s="201">
        <f t="shared" si="20"/>
        <v>749913.54170422256</v>
      </c>
    </row>
    <row r="38" spans="2:16" s="398" customFormat="1" ht="13" x14ac:dyDescent="0.3">
      <c r="B38" s="399" t="s">
        <v>170</v>
      </c>
      <c r="C38" s="395" t="s">
        <v>170</v>
      </c>
      <c r="D38" s="338">
        <f t="shared" ref="D38:I38" si="21">IF(ISERR(D37/D$22),"NA",D37/D$22)</f>
        <v>5.1546391752577317E-2</v>
      </c>
      <c r="E38" s="338">
        <f t="shared" si="21"/>
        <v>6.5040650406504072E-2</v>
      </c>
      <c r="F38" s="383">
        <f t="shared" si="21"/>
        <v>8.1417412302377257E-2</v>
      </c>
      <c r="G38" s="396">
        <f t="shared" si="21"/>
        <v>8.5077048602740749E-2</v>
      </c>
      <c r="H38" s="396">
        <f t="shared" si="21"/>
        <v>0.10057095703450958</v>
      </c>
      <c r="I38" s="396">
        <f t="shared" si="21"/>
        <v>0.10398057704883257</v>
      </c>
      <c r="J38" s="396">
        <f t="shared" ref="J38:O38" si="22">IF(ISERR(J37/J$22),"NA",J37/J$22)</f>
        <v>9.6313502362886216E-2</v>
      </c>
      <c r="K38" s="396">
        <f t="shared" si="22"/>
        <v>9.5036064124830719E-2</v>
      </c>
      <c r="L38" s="396">
        <f t="shared" si="22"/>
        <v>9.4072192263642579E-2</v>
      </c>
      <c r="M38" s="396">
        <f t="shared" si="22"/>
        <v>8.5864343384062736E-2</v>
      </c>
      <c r="N38" s="396">
        <f t="shared" si="22"/>
        <v>7.8011770268426095E-2</v>
      </c>
      <c r="O38" s="396">
        <f t="shared" si="22"/>
        <v>7.0503696185074821E-2</v>
      </c>
      <c r="P38" s="396">
        <f>IF(ISERR(P37/P$22),"NA",P37/P$22)</f>
        <v>8.7548275224812871E-2</v>
      </c>
    </row>
    <row r="39" spans="2:16" x14ac:dyDescent="0.25">
      <c r="B39" s="89"/>
      <c r="C39" s="35"/>
      <c r="D39" s="99"/>
      <c r="E39" s="99"/>
      <c r="F39" s="384"/>
      <c r="G39" s="100"/>
      <c r="H39" s="100"/>
      <c r="I39" s="100"/>
      <c r="J39" s="100"/>
      <c r="K39" s="100"/>
      <c r="L39" s="100"/>
      <c r="M39" s="100"/>
      <c r="N39" s="100"/>
      <c r="O39" s="100"/>
      <c r="P39" s="100"/>
    </row>
    <row r="40" spans="2:16" x14ac:dyDescent="0.25">
      <c r="B40" s="35" t="s">
        <v>451</v>
      </c>
      <c r="C40" s="99" t="str">
        <f>Summary!$E$172</f>
        <v>USD</v>
      </c>
      <c r="D40" s="149">
        <v>-60000</v>
      </c>
      <c r="E40" s="149">
        <v>-60000</v>
      </c>
      <c r="F40" s="382">
        <f>'Financials Quarterly'!I27</f>
        <v>-27000</v>
      </c>
      <c r="G40" s="275">
        <f ca="1">'Financials Quarterly'!V27</f>
        <v>-201125</v>
      </c>
      <c r="H40" s="78">
        <f ca="1">H324</f>
        <v>-119200</v>
      </c>
      <c r="I40" s="78">
        <f t="shared" ref="I40:P40" ca="1" si="23">I324</f>
        <v>-88000</v>
      </c>
      <c r="J40" s="78">
        <f t="shared" ca="1" si="23"/>
        <v>-48250</v>
      </c>
      <c r="K40" s="78">
        <f t="shared" ca="1" si="23"/>
        <v>-25250</v>
      </c>
      <c r="L40" s="78">
        <f t="shared" ca="1" si="23"/>
        <v>-7125</v>
      </c>
      <c r="M40" s="78">
        <f t="shared" ca="1" si="23"/>
        <v>-750</v>
      </c>
      <c r="N40" s="78">
        <f t="shared" ca="1" si="23"/>
        <v>0</v>
      </c>
      <c r="O40" s="78">
        <f t="shared" ca="1" si="23"/>
        <v>0</v>
      </c>
      <c r="P40" s="78">
        <f t="shared" ca="1" si="23"/>
        <v>0</v>
      </c>
    </row>
    <row r="41" spans="2:16" x14ac:dyDescent="0.25">
      <c r="B41" s="162" t="s">
        <v>452</v>
      </c>
      <c r="C41" s="187" t="str">
        <f>Summary!$E$172</f>
        <v>USD</v>
      </c>
      <c r="D41" s="200">
        <f t="shared" ref="D41:P41" si="24">D37+D40</f>
        <v>190000</v>
      </c>
      <c r="E41" s="200">
        <f t="shared" si="24"/>
        <v>260000</v>
      </c>
      <c r="F41" s="389">
        <f t="shared" si="24"/>
        <v>398702.99000000022</v>
      </c>
      <c r="G41" s="201">
        <f t="shared" ca="1" si="24"/>
        <v>257670</v>
      </c>
      <c r="H41" s="201">
        <f ca="1">H37+H40</f>
        <v>477383.89999999991</v>
      </c>
      <c r="I41" s="201">
        <f t="shared" ca="1" si="24"/>
        <v>590490.62999999989</v>
      </c>
      <c r="J41" s="201">
        <f t="shared" ca="1" si="24"/>
        <v>643057.85600000015</v>
      </c>
      <c r="K41" s="201">
        <f t="shared" ca="1" si="24"/>
        <v>690995.74880000018</v>
      </c>
      <c r="L41" s="201">
        <f t="shared" ca="1" si="24"/>
        <v>737305.53624000028</v>
      </c>
      <c r="M41" s="201">
        <f t="shared" ca="1" si="24"/>
        <v>692318.14696480054</v>
      </c>
      <c r="N41" s="201">
        <f t="shared" ca="1" si="24"/>
        <v>642278.5099040959</v>
      </c>
      <c r="O41" s="201">
        <f t="shared" ca="1" si="24"/>
        <v>592073.08010217827</v>
      </c>
      <c r="P41" s="201">
        <f t="shared" ca="1" si="24"/>
        <v>749913.54170422256</v>
      </c>
    </row>
    <row r="42" spans="2:16" s="398" customFormat="1" ht="13" x14ac:dyDescent="0.3">
      <c r="B42" s="399" t="s">
        <v>170</v>
      </c>
      <c r="C42" s="395" t="s">
        <v>170</v>
      </c>
      <c r="D42" s="338">
        <f t="shared" ref="D42:I42" si="25">IF(ISERR(D41/D$22),"NA",D41/D$22)</f>
        <v>3.9175257731958762E-2</v>
      </c>
      <c r="E42" s="338">
        <f t="shared" si="25"/>
        <v>5.2845528455284556E-2</v>
      </c>
      <c r="F42" s="383">
        <f t="shared" si="25"/>
        <v>7.6253553499872284E-2</v>
      </c>
      <c r="G42" s="396">
        <f t="shared" ca="1" si="25"/>
        <v>4.7781259851280435E-2</v>
      </c>
      <c r="H42" s="396">
        <f t="shared" ca="1" si="25"/>
        <v>8.0476452173561197E-2</v>
      </c>
      <c r="I42" s="396">
        <f t="shared" ca="1" si="25"/>
        <v>9.0494332175712858E-2</v>
      </c>
      <c r="J42" s="396">
        <f t="shared" ref="J42:O42" ca="1" si="26">IF(ISERR(J41/J$22),"NA",J41/J$22)</f>
        <v>8.9591278033051225E-2</v>
      </c>
      <c r="K42" s="396">
        <f t="shared" ca="1" si="26"/>
        <v>9.1685732729255426E-2</v>
      </c>
      <c r="L42" s="396">
        <f t="shared" ca="1" si="26"/>
        <v>9.3171820318579915E-2</v>
      </c>
      <c r="M42" s="396">
        <f t="shared" ca="1" si="26"/>
        <v>8.5771425742673407E-2</v>
      </c>
      <c r="N42" s="396">
        <f t="shared" ca="1" si="26"/>
        <v>7.8011770268426095E-2</v>
      </c>
      <c r="O42" s="396">
        <f t="shared" ca="1" si="26"/>
        <v>7.0503696185074821E-2</v>
      </c>
      <c r="P42" s="396">
        <f ca="1">IF(ISERR(P41/P$22),"NA",P41/P$22)</f>
        <v>8.7548275224812871E-2</v>
      </c>
    </row>
    <row r="43" spans="2:16" x14ac:dyDescent="0.25">
      <c r="B43" s="35"/>
      <c r="C43" s="35"/>
      <c r="D43" s="99"/>
      <c r="E43" s="99"/>
      <c r="F43" s="384"/>
      <c r="G43" s="35"/>
      <c r="H43" s="35"/>
      <c r="I43" s="35"/>
      <c r="J43" s="35"/>
      <c r="K43" s="35"/>
      <c r="L43" s="35"/>
      <c r="M43" s="35"/>
      <c r="N43" s="35"/>
      <c r="O43" s="35"/>
      <c r="P43" s="35"/>
    </row>
    <row r="44" spans="2:16" ht="13" x14ac:dyDescent="0.3">
      <c r="B44" s="35" t="s">
        <v>453</v>
      </c>
      <c r="C44" s="35" t="s">
        <v>296</v>
      </c>
      <c r="D44" s="202">
        <f>IF(ISERR(-D45/D41),"NA",-D45/D41)</f>
        <v>0.10526315789473684</v>
      </c>
      <c r="E44" s="202">
        <f>IF(ISERR(-E45/E41),"NA",-E45/E41)</f>
        <v>0.53846153846153844</v>
      </c>
      <c r="F44" s="390">
        <f>IF(ISERR(-F45/F41),"NA",-F45/F41)</f>
        <v>0.15048796097566253</v>
      </c>
      <c r="G44" s="299">
        <f>Summary!P180</f>
        <v>0.25</v>
      </c>
      <c r="H44" s="203">
        <f t="shared" ref="H44:P44" si="27">G44</f>
        <v>0.25</v>
      </c>
      <c r="I44" s="203">
        <f t="shared" si="27"/>
        <v>0.25</v>
      </c>
      <c r="J44" s="203">
        <f t="shared" si="27"/>
        <v>0.25</v>
      </c>
      <c r="K44" s="203">
        <f t="shared" si="27"/>
        <v>0.25</v>
      </c>
      <c r="L44" s="203">
        <f t="shared" si="27"/>
        <v>0.25</v>
      </c>
      <c r="M44" s="203">
        <f t="shared" si="27"/>
        <v>0.25</v>
      </c>
      <c r="N44" s="203">
        <f t="shared" si="27"/>
        <v>0.25</v>
      </c>
      <c r="O44" s="203">
        <f t="shared" si="27"/>
        <v>0.25</v>
      </c>
      <c r="P44" s="203">
        <f t="shared" si="27"/>
        <v>0.25</v>
      </c>
    </row>
    <row r="45" spans="2:16" x14ac:dyDescent="0.25">
      <c r="B45" s="35" t="s">
        <v>355</v>
      </c>
      <c r="C45" s="99" t="str">
        <f>Summary!$E$172</f>
        <v>USD</v>
      </c>
      <c r="D45" s="149">
        <v>-20000</v>
      </c>
      <c r="E45" s="149">
        <v>-140000</v>
      </c>
      <c r="F45" s="382">
        <f>'Financials Quarterly'!I32</f>
        <v>-60000</v>
      </c>
      <c r="G45" s="275">
        <f ca="1">'Financials Quarterly'!V32</f>
        <v>-64417.5</v>
      </c>
      <c r="H45" s="78">
        <f t="shared" ref="H45:P45" ca="1" si="28">IF(H41&gt;0,-H41*H44,0)</f>
        <v>-119345.97499999998</v>
      </c>
      <c r="I45" s="78">
        <f t="shared" ca="1" si="28"/>
        <v>-147622.65749999997</v>
      </c>
      <c r="J45" s="78">
        <f t="shared" ca="1" si="28"/>
        <v>-160764.46400000004</v>
      </c>
      <c r="K45" s="78">
        <f t="shared" ca="1" si="28"/>
        <v>-172748.93720000004</v>
      </c>
      <c r="L45" s="78">
        <f t="shared" ca="1" si="28"/>
        <v>-184326.38406000007</v>
      </c>
      <c r="M45" s="78">
        <f t="shared" ca="1" si="28"/>
        <v>-173079.53674120014</v>
      </c>
      <c r="N45" s="78">
        <f t="shared" ca="1" si="28"/>
        <v>-160569.62747602398</v>
      </c>
      <c r="O45" s="78">
        <f t="shared" ca="1" si="28"/>
        <v>-148018.27002554457</v>
      </c>
      <c r="P45" s="78">
        <f t="shared" ca="1" si="28"/>
        <v>-187478.38542605564</v>
      </c>
    </row>
    <row r="46" spans="2:16" x14ac:dyDescent="0.25">
      <c r="B46" s="162" t="s">
        <v>454</v>
      </c>
      <c r="C46" s="187" t="str">
        <f>Summary!$E$172</f>
        <v>USD</v>
      </c>
      <c r="D46" s="200">
        <f t="shared" ref="D46:P46" si="29">D41+D45</f>
        <v>170000</v>
      </c>
      <c r="E46" s="200">
        <f t="shared" si="29"/>
        <v>120000</v>
      </c>
      <c r="F46" s="389">
        <f t="shared" si="29"/>
        <v>338702.99000000022</v>
      </c>
      <c r="G46" s="188">
        <f t="shared" ca="1" si="29"/>
        <v>193252.5</v>
      </c>
      <c r="H46" s="201">
        <f ca="1">H41+H45</f>
        <v>358037.92499999993</v>
      </c>
      <c r="I46" s="201">
        <f t="shared" ca="1" si="29"/>
        <v>442867.97249999992</v>
      </c>
      <c r="J46" s="201">
        <f t="shared" ca="1" si="29"/>
        <v>482293.39200000011</v>
      </c>
      <c r="K46" s="201">
        <f t="shared" ca="1" si="29"/>
        <v>518246.81160000013</v>
      </c>
      <c r="L46" s="201">
        <f t="shared" ca="1" si="29"/>
        <v>552979.15218000021</v>
      </c>
      <c r="M46" s="201">
        <f t="shared" ca="1" si="29"/>
        <v>519238.61022360041</v>
      </c>
      <c r="N46" s="201">
        <f t="shared" ca="1" si="29"/>
        <v>481708.88242807193</v>
      </c>
      <c r="O46" s="201">
        <f t="shared" ca="1" si="29"/>
        <v>444054.8100766337</v>
      </c>
      <c r="P46" s="201">
        <f t="shared" ca="1" si="29"/>
        <v>562435.15627816692</v>
      </c>
    </row>
    <row r="47" spans="2:16" s="398" customFormat="1" ht="13" x14ac:dyDescent="0.3">
      <c r="B47" s="399" t="s">
        <v>170</v>
      </c>
      <c r="C47" s="395" t="s">
        <v>170</v>
      </c>
      <c r="D47" s="396">
        <f t="shared" ref="D47:I47" si="30">IF(ISERR(D46/D$22),"NA",D46/D$22)</f>
        <v>3.5051546391752578E-2</v>
      </c>
      <c r="E47" s="396">
        <f t="shared" si="30"/>
        <v>2.4390243902439025E-2</v>
      </c>
      <c r="F47" s="397">
        <f t="shared" si="30"/>
        <v>6.4778311716527912E-2</v>
      </c>
      <c r="G47" s="396">
        <f t="shared" ca="1" si="30"/>
        <v>3.5835944888460328E-2</v>
      </c>
      <c r="H47" s="396">
        <f t="shared" ca="1" si="30"/>
        <v>6.0357339130170898E-2</v>
      </c>
      <c r="I47" s="396">
        <f t="shared" ca="1" si="30"/>
        <v>6.7870749131784647E-2</v>
      </c>
      <c r="J47" s="396">
        <f t="shared" ref="J47:O47" ca="1" si="31">IF(ISERR(J46/J$22),"NA",J46/J$22)</f>
        <v>6.7193458524788419E-2</v>
      </c>
      <c r="K47" s="396">
        <f t="shared" ca="1" si="31"/>
        <v>6.8764299546941576E-2</v>
      </c>
      <c r="L47" s="396">
        <f t="shared" ca="1" si="31"/>
        <v>6.987886523893494E-2</v>
      </c>
      <c r="M47" s="396">
        <f t="shared" ca="1" si="31"/>
        <v>6.4328569307005048E-2</v>
      </c>
      <c r="N47" s="396">
        <f t="shared" ca="1" si="31"/>
        <v>5.8508827701319571E-2</v>
      </c>
      <c r="O47" s="396">
        <f t="shared" ca="1" si="31"/>
        <v>5.2877772138806123E-2</v>
      </c>
      <c r="P47" s="396">
        <f ca="1">IF(ISERR(P46/P$22),"NA",P46/P$22)</f>
        <v>6.5661206418609647E-2</v>
      </c>
    </row>
    <row r="48" spans="2:16" x14ac:dyDescent="0.25">
      <c r="B48" s="89"/>
      <c r="C48" s="35"/>
      <c r="D48" s="35"/>
      <c r="E48" s="35"/>
      <c r="F48" s="35"/>
      <c r="G48" s="191"/>
      <c r="H48" s="191"/>
      <c r="I48" s="191"/>
      <c r="J48" s="191"/>
      <c r="K48" s="191"/>
      <c r="L48" s="191"/>
      <c r="M48" s="191"/>
      <c r="N48" s="191"/>
      <c r="O48" s="191"/>
      <c r="P48" s="191"/>
    </row>
    <row r="49" spans="2:16" x14ac:dyDescent="0.25">
      <c r="B49" s="81"/>
      <c r="C49" s="81"/>
      <c r="D49" s="81"/>
      <c r="E49" s="81"/>
      <c r="F49" s="81"/>
      <c r="G49" s="84"/>
      <c r="H49" s="84"/>
      <c r="I49" s="84"/>
      <c r="J49" s="84"/>
      <c r="K49" s="84"/>
      <c r="L49" s="84"/>
      <c r="M49" s="84"/>
      <c r="N49" s="84"/>
      <c r="O49" s="84"/>
      <c r="P49" s="84"/>
    </row>
    <row r="50" spans="2:16" x14ac:dyDescent="0.25">
      <c r="B50" s="13"/>
      <c r="C50" s="13"/>
      <c r="D50" s="13"/>
      <c r="E50" s="13"/>
      <c r="F50" s="13"/>
      <c r="G50" s="13"/>
      <c r="H50" s="13"/>
      <c r="I50" s="13"/>
      <c r="J50" s="13"/>
      <c r="K50" s="13"/>
      <c r="L50" s="13"/>
      <c r="M50" s="13"/>
      <c r="N50" s="13"/>
      <c r="O50" s="13"/>
      <c r="P50" s="13"/>
    </row>
    <row r="51" spans="2:16" ht="15.5" x14ac:dyDescent="0.35">
      <c r="B51" s="31" t="str">
        <f>"All amounts in "&amp;Summary!$E$172</f>
        <v>All amounts in USD</v>
      </c>
      <c r="C51" s="31"/>
      <c r="D51" s="224" t="s">
        <v>105</v>
      </c>
      <c r="E51" s="224"/>
      <c r="F51" s="225"/>
      <c r="G51" s="223"/>
      <c r="H51" s="223"/>
      <c r="I51" s="223"/>
      <c r="J51" s="223"/>
      <c r="K51" s="223"/>
      <c r="L51" s="223"/>
      <c r="M51" s="223"/>
      <c r="N51" s="223"/>
      <c r="O51" s="223"/>
      <c r="P51" s="223"/>
    </row>
    <row r="52" spans="2:16" ht="15.5" x14ac:dyDescent="0.35">
      <c r="B52" s="52" t="s">
        <v>284</v>
      </c>
      <c r="C52" s="52" t="s">
        <v>450</v>
      </c>
      <c r="D52" s="111">
        <f t="shared" ref="D52:P52" ca="1" si="32">D$20</f>
        <v>2017</v>
      </c>
      <c r="E52" s="111">
        <f t="shared" ca="1" si="32"/>
        <v>2018</v>
      </c>
      <c r="F52" s="111">
        <f t="shared" ca="1" si="32"/>
        <v>2019</v>
      </c>
      <c r="G52" s="70">
        <f t="shared" ca="1" si="32"/>
        <v>2020</v>
      </c>
      <c r="H52" s="70">
        <f t="shared" ca="1" si="32"/>
        <v>2021</v>
      </c>
      <c r="I52" s="70">
        <f t="shared" ca="1" si="32"/>
        <v>2022</v>
      </c>
      <c r="J52" s="70">
        <f t="shared" ca="1" si="32"/>
        <v>2023</v>
      </c>
      <c r="K52" s="70">
        <f t="shared" ca="1" si="32"/>
        <v>2024</v>
      </c>
      <c r="L52" s="70">
        <f t="shared" ca="1" si="32"/>
        <v>2025</v>
      </c>
      <c r="M52" s="70">
        <f t="shared" ca="1" si="32"/>
        <v>2026</v>
      </c>
      <c r="N52" s="70">
        <f t="shared" ca="1" si="32"/>
        <v>2027</v>
      </c>
      <c r="O52" s="70">
        <f t="shared" ca="1" si="32"/>
        <v>2028</v>
      </c>
      <c r="P52" s="70">
        <f t="shared" ca="1" si="32"/>
        <v>2029</v>
      </c>
    </row>
    <row r="53" spans="2:16" ht="15.5" x14ac:dyDescent="0.35">
      <c r="B53" s="52"/>
      <c r="C53" s="52"/>
      <c r="D53" s="125">
        <f ca="1">DATE(YEAR(E53)-1,MONTH(E53),DAY(E53))</f>
        <v>42003</v>
      </c>
      <c r="E53" s="125">
        <f ca="1">DATE(YEAR(F53)-1,MONTH(F53),DAY(F53))</f>
        <v>42368</v>
      </c>
      <c r="F53" s="125">
        <f ca="1">Summary!E130</f>
        <v>42734</v>
      </c>
      <c r="G53" s="125">
        <f ca="1">Summary!E133</f>
        <v>43099</v>
      </c>
      <c r="H53" s="168">
        <f t="shared" ref="H53:P53" ca="1" si="33">DATE(YEAR(G53)+1,MONTH(G53),DAY(G53))</f>
        <v>43464</v>
      </c>
      <c r="I53" s="125">
        <f t="shared" ca="1" si="33"/>
        <v>43829</v>
      </c>
      <c r="J53" s="125">
        <f t="shared" ca="1" si="33"/>
        <v>44195</v>
      </c>
      <c r="K53" s="125">
        <f t="shared" ca="1" si="33"/>
        <v>44560</v>
      </c>
      <c r="L53" s="125">
        <f t="shared" ca="1" si="33"/>
        <v>44925</v>
      </c>
      <c r="M53" s="125">
        <f t="shared" ca="1" si="33"/>
        <v>45290</v>
      </c>
      <c r="N53" s="125">
        <f t="shared" ca="1" si="33"/>
        <v>45656</v>
      </c>
      <c r="O53" s="125">
        <f t="shared" ca="1" si="33"/>
        <v>46021</v>
      </c>
      <c r="P53" s="125">
        <f t="shared" ca="1" si="33"/>
        <v>46386</v>
      </c>
    </row>
    <row r="54" spans="2:16" x14ac:dyDescent="0.25">
      <c r="B54" s="34"/>
      <c r="C54" s="34"/>
      <c r="D54" s="35"/>
      <c r="E54" s="35"/>
      <c r="F54" s="35"/>
      <c r="G54" s="35"/>
      <c r="H54" s="35"/>
      <c r="I54" s="35"/>
      <c r="J54" s="35"/>
      <c r="K54" s="35"/>
      <c r="L54" s="35"/>
      <c r="M54" s="35"/>
      <c r="N54" s="35"/>
      <c r="O54" s="35"/>
      <c r="P54" s="35"/>
    </row>
    <row r="55" spans="2:16" x14ac:dyDescent="0.25">
      <c r="B55" s="35" t="s">
        <v>151</v>
      </c>
      <c r="C55" s="99" t="str">
        <f>Summary!$E$172</f>
        <v>USD</v>
      </c>
      <c r="D55" s="141">
        <v>200000</v>
      </c>
      <c r="E55" s="141">
        <f>E100</f>
        <v>495000</v>
      </c>
      <c r="F55" s="391">
        <f>'Financials Quarterly'!I44</f>
        <v>384202.99</v>
      </c>
      <c r="G55" s="276">
        <f>'Financials Quarterly'!P44</f>
        <v>1836447.99</v>
      </c>
      <c r="H55" s="105">
        <f t="shared" ref="H55:P55" ca="1" si="34">H100</f>
        <v>142225.92715753405</v>
      </c>
      <c r="I55" s="105">
        <f t="shared" ca="1" si="34"/>
        <v>-445579.90335616493</v>
      </c>
      <c r="J55" s="105">
        <f t="shared" ca="1" si="34"/>
        <v>-438540.85221917904</v>
      </c>
      <c r="K55" s="105">
        <f t="shared" ca="1" si="34"/>
        <v>-407856.56158013758</v>
      </c>
      <c r="L55" s="105">
        <f t="shared" ca="1" si="34"/>
        <v>-400190.55640914431</v>
      </c>
      <c r="M55" s="105">
        <f t="shared" ca="1" si="34"/>
        <v>12237.532070673304</v>
      </c>
      <c r="N55" s="105">
        <f t="shared" ca="1" si="34"/>
        <v>275796.24110605079</v>
      </c>
      <c r="O55" s="105">
        <f t="shared" ca="1" si="34"/>
        <v>600032.99932213582</v>
      </c>
      <c r="P55" s="90">
        <f t="shared" ca="1" si="34"/>
        <v>855505.11770254292</v>
      </c>
    </row>
    <row r="56" spans="2:16" x14ac:dyDescent="0.25">
      <c r="B56" s="35" t="s">
        <v>152</v>
      </c>
      <c r="C56" s="99" t="str">
        <f>Summary!$E$172</f>
        <v>USD</v>
      </c>
      <c r="D56" s="141">
        <v>500000</v>
      </c>
      <c r="E56" s="141">
        <v>500000</v>
      </c>
      <c r="F56" s="391">
        <f>'Financials Quarterly'!I45</f>
        <v>500000</v>
      </c>
      <c r="G56" s="276">
        <f>'Financials Quarterly'!P45</f>
        <v>400000</v>
      </c>
      <c r="H56" s="105">
        <f>Summary!$K$172/365*'Financials Yearly'!H22</f>
        <v>731338.76712328778</v>
      </c>
      <c r="I56" s="105">
        <f>Summary!$K$172/365*'Financials Yearly'!I22</f>
        <v>804472.64383561665</v>
      </c>
      <c r="J56" s="105">
        <f>Summary!$K$172/365*'Financials Yearly'!J22</f>
        <v>884919.90821917844</v>
      </c>
      <c r="K56" s="105">
        <f>Summary!$K$172/365*'Financials Yearly'!K22</f>
        <v>929165.90363013733</v>
      </c>
      <c r="L56" s="105">
        <f>Summary!$K$172/365*'Financials Yearly'!L22</f>
        <v>975624.19881164434</v>
      </c>
      <c r="M56" s="105">
        <f>Summary!$K$172/365*'Financials Yearly'!M22</f>
        <v>995136.68278787716</v>
      </c>
      <c r="N56" s="105">
        <f>Summary!$K$172/365*'Financials Yearly'!N22</f>
        <v>1015039.4164436348</v>
      </c>
      <c r="O56" s="105">
        <f>Summary!$K$172/365*'Financials Yearly'!O22</f>
        <v>1035340.2047725075</v>
      </c>
      <c r="P56" s="90">
        <f>Summary!$K$172/365*'Financials Yearly'!P22</f>
        <v>1056047.0088679579</v>
      </c>
    </row>
    <row r="57" spans="2:16" x14ac:dyDescent="0.25">
      <c r="B57" s="35" t="s">
        <v>153</v>
      </c>
      <c r="C57" s="99" t="str">
        <f>Summary!$E$172</f>
        <v>USD</v>
      </c>
      <c r="D57" s="141">
        <v>500000</v>
      </c>
      <c r="E57" s="141">
        <v>500000</v>
      </c>
      <c r="F57" s="391">
        <f>'Financials Quarterly'!I46</f>
        <v>500000</v>
      </c>
      <c r="G57" s="276">
        <f>'Financials Quarterly'!P46</f>
        <v>500000</v>
      </c>
      <c r="H57" s="105">
        <f>-Summary!$K173/365*'Financials Yearly'!H25</f>
        <v>372982.77123287675</v>
      </c>
      <c r="I57" s="105">
        <f>-Summary!$K173/365*'Financials Yearly'!I25</f>
        <v>418325.77479452069</v>
      </c>
      <c r="J57" s="105">
        <f>-Summary!$K173/365*'Financials Yearly'!J25</f>
        <v>469007.55135616456</v>
      </c>
      <c r="K57" s="105">
        <f>-Summary!$K173/365*'Financials Yearly'!K25</f>
        <v>492457.92892397282</v>
      </c>
      <c r="L57" s="105">
        <f>-Summary!$K173/365*'Financials Yearly'!L25</f>
        <v>517080.82537017151</v>
      </c>
      <c r="M57" s="105">
        <f>-Summary!$K173/365*'Financials Yearly'!M25</f>
        <v>527422.44187757489</v>
      </c>
      <c r="N57" s="105">
        <f>-Summary!$K173/365*'Financials Yearly'!N25</f>
        <v>537970.89071512641</v>
      </c>
      <c r="O57" s="105">
        <f>-Summary!$K173/365*'Financials Yearly'!O25</f>
        <v>548730.30852942902</v>
      </c>
      <c r="P57" s="90">
        <f>-Summary!$K173/365*'Financials Yearly'!P25</f>
        <v>559704.91470001766</v>
      </c>
    </row>
    <row r="58" spans="2:16" x14ac:dyDescent="0.25">
      <c r="B58" s="25" t="s">
        <v>409</v>
      </c>
      <c r="C58" s="99" t="str">
        <f>Summary!$E$172</f>
        <v>USD</v>
      </c>
      <c r="D58" s="141">
        <v>500000</v>
      </c>
      <c r="E58" s="141">
        <v>500000</v>
      </c>
      <c r="F58" s="391">
        <f>'Financials Quarterly'!I47</f>
        <v>500000</v>
      </c>
      <c r="G58" s="276">
        <f>'Financials Quarterly'!P47</f>
        <v>500000</v>
      </c>
      <c r="H58" s="105">
        <f>Summary!$K175/365*'Financials Yearly'!H22</f>
        <v>81259.863013698632</v>
      </c>
      <c r="I58" s="105">
        <f>Summary!$K175/365*'Financials Yearly'!I22</f>
        <v>89385.84931506851</v>
      </c>
      <c r="J58" s="105">
        <f>Summary!$K175/365*'Financials Yearly'!J22</f>
        <v>98324.434246575373</v>
      </c>
      <c r="K58" s="105">
        <f>Summary!$K175/365*'Financials Yearly'!K22</f>
        <v>103240.65595890416</v>
      </c>
      <c r="L58" s="105">
        <f>Summary!$K175/365*'Financials Yearly'!L22</f>
        <v>108402.68875684937</v>
      </c>
      <c r="M58" s="105">
        <f>Summary!$K175/365*'Financials Yearly'!M22</f>
        <v>110570.74253198635</v>
      </c>
      <c r="N58" s="105">
        <f>Summary!$K175/365*'Financials Yearly'!N22</f>
        <v>112782.15738262609</v>
      </c>
      <c r="O58" s="105">
        <f>Summary!$K175/365*'Financials Yearly'!O22</f>
        <v>115037.80053027862</v>
      </c>
      <c r="P58" s="90">
        <f>Summary!$K175/365*'Financials Yearly'!P22</f>
        <v>117338.55654088419</v>
      </c>
    </row>
    <row r="59" spans="2:16" x14ac:dyDescent="0.25">
      <c r="B59" s="25" t="s">
        <v>0</v>
      </c>
      <c r="C59" s="99"/>
      <c r="D59" s="141"/>
      <c r="E59" s="141"/>
      <c r="F59" s="391">
        <f>'Financials Quarterly'!I48</f>
        <v>0</v>
      </c>
      <c r="G59" s="276">
        <f>'Financials Quarterly'!P48</f>
        <v>1599544.4350000017</v>
      </c>
      <c r="H59" s="105">
        <f t="shared" ref="H59:P59" si="35">G59</f>
        <v>1599544.4350000017</v>
      </c>
      <c r="I59" s="105">
        <f t="shared" si="35"/>
        <v>1599544.4350000017</v>
      </c>
      <c r="J59" s="105">
        <f t="shared" si="35"/>
        <v>1599544.4350000017</v>
      </c>
      <c r="K59" s="105">
        <f t="shared" si="35"/>
        <v>1599544.4350000017</v>
      </c>
      <c r="L59" s="105">
        <f t="shared" si="35"/>
        <v>1599544.4350000017</v>
      </c>
      <c r="M59" s="105">
        <f t="shared" si="35"/>
        <v>1599544.4350000017</v>
      </c>
      <c r="N59" s="105">
        <f t="shared" si="35"/>
        <v>1599544.4350000017</v>
      </c>
      <c r="O59" s="105">
        <f t="shared" si="35"/>
        <v>1599544.4350000017</v>
      </c>
      <c r="P59" s="90">
        <f t="shared" si="35"/>
        <v>1599544.4350000017</v>
      </c>
    </row>
    <row r="60" spans="2:16" x14ac:dyDescent="0.25">
      <c r="B60" s="91" t="s">
        <v>203</v>
      </c>
      <c r="C60" s="101" t="str">
        <f>Summary!$E$172</f>
        <v>USD</v>
      </c>
      <c r="D60" s="263">
        <v>1500000</v>
      </c>
      <c r="E60" s="263">
        <f>D60-E87-E77</f>
        <v>1325000</v>
      </c>
      <c r="F60" s="392">
        <f>'Financials Quarterly'!I49</f>
        <v>1774500</v>
      </c>
      <c r="G60" s="282">
        <f>'Financials Quarterly'!P49</f>
        <v>2095775</v>
      </c>
      <c r="H60" s="80">
        <f t="shared" ref="H60:P60" si="36">H412</f>
        <v>3099600</v>
      </c>
      <c r="I60" s="80">
        <f t="shared" si="36"/>
        <v>2932150</v>
      </c>
      <c r="J60" s="80">
        <f t="shared" si="36"/>
        <v>2724700</v>
      </c>
      <c r="K60" s="80">
        <f t="shared" si="36"/>
        <v>2477250</v>
      </c>
      <c r="L60" s="80">
        <f t="shared" si="36"/>
        <v>2589800</v>
      </c>
      <c r="M60" s="80">
        <f t="shared" si="36"/>
        <v>2622350</v>
      </c>
      <c r="N60" s="80">
        <f t="shared" si="36"/>
        <v>2574900</v>
      </c>
      <c r="O60" s="80">
        <f t="shared" si="36"/>
        <v>2447450</v>
      </c>
      <c r="P60" s="206">
        <f t="shared" si="36"/>
        <v>2447450</v>
      </c>
    </row>
    <row r="61" spans="2:16" x14ac:dyDescent="0.25">
      <c r="B61" s="35" t="s">
        <v>97</v>
      </c>
      <c r="C61" s="99" t="str">
        <f>Summary!$E$172</f>
        <v>USD</v>
      </c>
      <c r="D61" s="105">
        <f t="shared" ref="D61:P61" si="37">SUM(D55:D60)</f>
        <v>3200000</v>
      </c>
      <c r="E61" s="105">
        <f t="shared" si="37"/>
        <v>3320000</v>
      </c>
      <c r="F61" s="374">
        <f t="shared" si="37"/>
        <v>3658702.99</v>
      </c>
      <c r="G61" s="105">
        <f t="shared" si="37"/>
        <v>6931767.4250000017</v>
      </c>
      <c r="H61" s="105">
        <f t="shared" ca="1" si="37"/>
        <v>6026951.7635273989</v>
      </c>
      <c r="I61" s="105">
        <f t="shared" ca="1" si="37"/>
        <v>5398298.7995890426</v>
      </c>
      <c r="J61" s="105">
        <f t="shared" ca="1" si="37"/>
        <v>5337955.4766027406</v>
      </c>
      <c r="K61" s="105">
        <f t="shared" ca="1" si="37"/>
        <v>5193802.3619328784</v>
      </c>
      <c r="L61" s="105">
        <f t="shared" ca="1" si="37"/>
        <v>5390261.5915295221</v>
      </c>
      <c r="M61" s="105">
        <f t="shared" ca="1" si="37"/>
        <v>5867261.8342681136</v>
      </c>
      <c r="N61" s="105">
        <f t="shared" ca="1" si="37"/>
        <v>6116033.1406474393</v>
      </c>
      <c r="O61" s="105">
        <f t="shared" ca="1" si="37"/>
        <v>6346135.7481543524</v>
      </c>
      <c r="P61" s="90">
        <f t="shared" ca="1" si="37"/>
        <v>6635590.0328114042</v>
      </c>
    </row>
    <row r="62" spans="2:16" x14ac:dyDescent="0.25">
      <c r="B62" s="35"/>
      <c r="C62" s="35"/>
      <c r="D62" s="105"/>
      <c r="E62" s="105"/>
      <c r="F62" s="374"/>
      <c r="G62" s="105"/>
      <c r="H62" s="105"/>
      <c r="I62" s="105"/>
      <c r="J62" s="105"/>
      <c r="K62" s="105"/>
      <c r="L62" s="105"/>
      <c r="M62" s="105"/>
      <c r="N62" s="105"/>
      <c r="O62" s="105"/>
      <c r="P62" s="90"/>
    </row>
    <row r="63" spans="2:16" x14ac:dyDescent="0.25">
      <c r="B63" s="25" t="s">
        <v>154</v>
      </c>
      <c r="C63" s="99" t="str">
        <f>Summary!$E$172</f>
        <v>USD</v>
      </c>
      <c r="D63" s="141">
        <v>450000</v>
      </c>
      <c r="E63" s="141">
        <v>450000</v>
      </c>
      <c r="F63" s="391">
        <f>'Financials Quarterly'!I52</f>
        <v>450000</v>
      </c>
      <c r="G63" s="276">
        <f>'Financials Quarterly'!P52</f>
        <v>550000</v>
      </c>
      <c r="H63" s="105">
        <f>-Summary!$K174/365*'Financials Yearly'!H25</f>
        <v>248655.18082191783</v>
      </c>
      <c r="I63" s="105">
        <f>-Summary!$K174/365*'Financials Yearly'!I25</f>
        <v>278883.84986301378</v>
      </c>
      <c r="J63" s="105">
        <f>-Summary!$K174/365*'Financials Yearly'!J25</f>
        <v>312671.70090410975</v>
      </c>
      <c r="K63" s="105">
        <f>-Summary!$K174/365*'Financials Yearly'!K25</f>
        <v>328305.28594931524</v>
      </c>
      <c r="L63" s="105">
        <f>-Summary!$K174/365*'Financials Yearly'!L25</f>
        <v>344720.55024678097</v>
      </c>
      <c r="M63" s="105">
        <f>-Summary!$K174/365*'Financials Yearly'!M25</f>
        <v>351614.9612517166</v>
      </c>
      <c r="N63" s="105">
        <f>-Summary!$K174/365*'Financials Yearly'!N25</f>
        <v>358647.26047675096</v>
      </c>
      <c r="O63" s="105">
        <f>-Summary!$K174/365*'Financials Yearly'!O25</f>
        <v>365820.20568628603</v>
      </c>
      <c r="P63" s="90">
        <f>-Summary!$K174/365*'Financials Yearly'!P25</f>
        <v>373136.60980001173</v>
      </c>
    </row>
    <row r="64" spans="2:16" x14ac:dyDescent="0.25">
      <c r="B64" s="35" t="s">
        <v>95</v>
      </c>
      <c r="C64" s="99" t="str">
        <f>Summary!$E$172</f>
        <v>USD</v>
      </c>
      <c r="D64" s="141">
        <v>150000</v>
      </c>
      <c r="E64" s="141">
        <v>150000</v>
      </c>
      <c r="F64" s="391">
        <f>'Financials Quarterly'!I53</f>
        <v>150000</v>
      </c>
      <c r="G64" s="276">
        <f>'Financials Quarterly'!P53</f>
        <v>150000</v>
      </c>
      <c r="H64" s="105">
        <f>Summary!$K176/365*'Financials Yearly'!H22</f>
        <v>32503.945205479456</v>
      </c>
      <c r="I64" s="105">
        <f>Summary!$K176/365*'Financials Yearly'!I22</f>
        <v>35754.339726027407</v>
      </c>
      <c r="J64" s="105">
        <f>Summary!$K176/365*'Financials Yearly'!J22</f>
        <v>39329.773698630153</v>
      </c>
      <c r="K64" s="105">
        <f>Summary!$K176/365*'Financials Yearly'!K22</f>
        <v>41296.262383561661</v>
      </c>
      <c r="L64" s="105">
        <f>Summary!$K176/365*'Financials Yearly'!L22</f>
        <v>43361.075502739754</v>
      </c>
      <c r="M64" s="105">
        <f>Summary!$K176/365*'Financials Yearly'!M22</f>
        <v>44228.297012794545</v>
      </c>
      <c r="N64" s="105">
        <f>Summary!$K176/365*'Financials Yearly'!N22</f>
        <v>45112.862953050433</v>
      </c>
      <c r="O64" s="105">
        <f>Summary!$K176/365*'Financials Yearly'!O22</f>
        <v>46015.120212111447</v>
      </c>
      <c r="P64" s="90">
        <f>Summary!$K176/365*'Financials Yearly'!P22</f>
        <v>46935.42261635368</v>
      </c>
    </row>
    <row r="65" spans="2:16" x14ac:dyDescent="0.25">
      <c r="B65" s="35" t="s">
        <v>128</v>
      </c>
      <c r="C65" s="99" t="str">
        <f>Summary!$E$172</f>
        <v>USD</v>
      </c>
      <c r="D65" s="141"/>
      <c r="E65" s="141"/>
      <c r="F65" s="391">
        <f>'Financials Quarterly'!I54</f>
        <v>0</v>
      </c>
      <c r="G65" s="276">
        <f ca="1">'Financials Quarterly'!P54</f>
        <v>255000</v>
      </c>
      <c r="H65" s="105">
        <f t="shared" ref="H65:P65" ca="1" si="38">H360</f>
        <v>1120000</v>
      </c>
      <c r="I65" s="105">
        <f t="shared" ca="1" si="38"/>
        <v>580000</v>
      </c>
      <c r="J65" s="105">
        <f t="shared" ca="1" si="38"/>
        <v>680000</v>
      </c>
      <c r="K65" s="105">
        <f t="shared" ca="1" si="38"/>
        <v>375000</v>
      </c>
      <c r="L65" s="105">
        <f t="shared" ca="1" si="38"/>
        <v>50000</v>
      </c>
      <c r="M65" s="105">
        <f t="shared" ca="1" si="38"/>
        <v>0</v>
      </c>
      <c r="N65" s="105">
        <f t="shared" ca="1" si="38"/>
        <v>0</v>
      </c>
      <c r="O65" s="105">
        <f t="shared" ca="1" si="38"/>
        <v>0</v>
      </c>
      <c r="P65" s="90">
        <f t="shared" si="38"/>
        <v>0</v>
      </c>
    </row>
    <row r="66" spans="2:16" x14ac:dyDescent="0.25">
      <c r="B66" s="35" t="s">
        <v>129</v>
      </c>
      <c r="C66" s="99" t="str">
        <f>Summary!$E$172</f>
        <v>USD</v>
      </c>
      <c r="D66" s="141">
        <v>2000000</v>
      </c>
      <c r="E66" s="141">
        <v>2000000</v>
      </c>
      <c r="F66" s="391">
        <f>'Financials Quarterly'!I55</f>
        <v>2000000</v>
      </c>
      <c r="G66" s="276">
        <f ca="1">'Financials Quarterly'!P55</f>
        <v>3145000</v>
      </c>
      <c r="H66" s="105">
        <f t="shared" ref="H66:P66" ca="1" si="39">H361</f>
        <v>1670000</v>
      </c>
      <c r="I66" s="105">
        <f t="shared" ca="1" si="39"/>
        <v>1105000</v>
      </c>
      <c r="J66" s="105">
        <f t="shared" ca="1" si="39"/>
        <v>425000</v>
      </c>
      <c r="K66" s="105">
        <f t="shared" ca="1" si="39"/>
        <v>50000</v>
      </c>
      <c r="L66" s="105">
        <f t="shared" ca="1" si="39"/>
        <v>0</v>
      </c>
      <c r="M66" s="105">
        <f t="shared" ca="1" si="39"/>
        <v>0</v>
      </c>
      <c r="N66" s="105">
        <f t="shared" ca="1" si="39"/>
        <v>0</v>
      </c>
      <c r="O66" s="105">
        <f t="shared" ca="1" si="39"/>
        <v>0</v>
      </c>
      <c r="P66" s="90">
        <f t="shared" ca="1" si="39"/>
        <v>0</v>
      </c>
    </row>
    <row r="67" spans="2:16" x14ac:dyDescent="0.25">
      <c r="B67" s="91" t="s">
        <v>110</v>
      </c>
      <c r="C67" s="101" t="str">
        <f>Summary!$E$172</f>
        <v>USD</v>
      </c>
      <c r="D67" s="80">
        <f>D61-SUM(D63:D66)</f>
        <v>600000</v>
      </c>
      <c r="E67" s="80">
        <f>E61-SUM(E63:E66)</f>
        <v>720000</v>
      </c>
      <c r="F67" s="392">
        <f>F61-SUM(F63:F66)</f>
        <v>1058702.9900000002</v>
      </c>
      <c r="G67" s="282">
        <f>'Financials Quarterly'!P56</f>
        <v>2831767.4250000017</v>
      </c>
      <c r="H67" s="80">
        <f ca="1">H154</f>
        <v>2955792.637500002</v>
      </c>
      <c r="I67" s="80">
        <f t="shared" ref="I67:P67" ca="1" si="40">I154</f>
        <v>3398660.6100000017</v>
      </c>
      <c r="J67" s="80">
        <f t="shared" ca="1" si="40"/>
        <v>3880954.0020000022</v>
      </c>
      <c r="K67" s="80">
        <f t="shared" ca="1" si="40"/>
        <v>4399200.8136000019</v>
      </c>
      <c r="L67" s="80">
        <f t="shared" ca="1" si="40"/>
        <v>4952179.9657800021</v>
      </c>
      <c r="M67" s="80">
        <f t="shared" ca="1" si="40"/>
        <v>5471418.5760036027</v>
      </c>
      <c r="N67" s="80">
        <f t="shared" ca="1" si="40"/>
        <v>5712273.0172176389</v>
      </c>
      <c r="O67" s="80">
        <f t="shared" ca="1" si="40"/>
        <v>5934300.4222559556</v>
      </c>
      <c r="P67" s="206">
        <f t="shared" ca="1" si="40"/>
        <v>6215518.0003950391</v>
      </c>
    </row>
    <row r="68" spans="2:16" x14ac:dyDescent="0.25">
      <c r="B68" s="35" t="s">
        <v>96</v>
      </c>
      <c r="C68" s="99" t="str">
        <f>Summary!$E$172</f>
        <v>USD</v>
      </c>
      <c r="D68" s="105">
        <f>SUM(D63:D67)</f>
        <v>3200000</v>
      </c>
      <c r="E68" s="105">
        <f>SUM(E63:E67)</f>
        <v>3320000</v>
      </c>
      <c r="F68" s="374">
        <f>SUM(F63:F67)</f>
        <v>3658702.99</v>
      </c>
      <c r="G68" s="105">
        <f t="shared" ref="G68:P68" ca="1" si="41">SUM(G63:G67)</f>
        <v>6931767.4250000017</v>
      </c>
      <c r="H68" s="105">
        <f t="shared" ca="1" si="41"/>
        <v>6026951.7635273989</v>
      </c>
      <c r="I68" s="105">
        <f t="shared" ca="1" si="41"/>
        <v>5398298.7995890435</v>
      </c>
      <c r="J68" s="105">
        <f t="shared" ca="1" si="41"/>
        <v>5337955.4766027424</v>
      </c>
      <c r="K68" s="105">
        <f t="shared" ca="1" si="41"/>
        <v>5193802.3619328784</v>
      </c>
      <c r="L68" s="105">
        <f t="shared" ca="1" si="41"/>
        <v>5390261.591529523</v>
      </c>
      <c r="M68" s="105">
        <f t="shared" ca="1" si="41"/>
        <v>5867261.8342681136</v>
      </c>
      <c r="N68" s="105">
        <f t="shared" ca="1" si="41"/>
        <v>6116033.1406474402</v>
      </c>
      <c r="O68" s="105">
        <f t="shared" ca="1" si="41"/>
        <v>6346135.7481543534</v>
      </c>
      <c r="P68" s="90">
        <f t="shared" ca="1" si="41"/>
        <v>6635590.0328114042</v>
      </c>
    </row>
    <row r="69" spans="2:16" ht="13" x14ac:dyDescent="0.3">
      <c r="B69" s="85" t="s">
        <v>291</v>
      </c>
      <c r="C69" s="85"/>
      <c r="D69" s="86">
        <f>D61-D68</f>
        <v>0</v>
      </c>
      <c r="E69" s="86">
        <f>E61-E68</f>
        <v>0</v>
      </c>
      <c r="F69" s="393">
        <f>F61-F68</f>
        <v>0</v>
      </c>
      <c r="G69" s="86">
        <f t="shared" ref="G69:P69" ca="1" si="42">G61-G68</f>
        <v>0</v>
      </c>
      <c r="H69" s="86">
        <f t="shared" ca="1" si="42"/>
        <v>0</v>
      </c>
      <c r="I69" s="86">
        <f t="shared" ca="1" si="42"/>
        <v>0</v>
      </c>
      <c r="J69" s="86">
        <f t="shared" ca="1" si="42"/>
        <v>0</v>
      </c>
      <c r="K69" s="86">
        <f t="shared" ca="1" si="42"/>
        <v>0</v>
      </c>
      <c r="L69" s="86">
        <f t="shared" ca="1" si="42"/>
        <v>0</v>
      </c>
      <c r="M69" s="86">
        <f t="shared" ca="1" si="42"/>
        <v>0</v>
      </c>
      <c r="N69" s="86">
        <f t="shared" ca="1" si="42"/>
        <v>0</v>
      </c>
      <c r="O69" s="86">
        <f t="shared" ca="1" si="42"/>
        <v>0</v>
      </c>
      <c r="P69" s="236">
        <f t="shared" ca="1" si="42"/>
        <v>0</v>
      </c>
    </row>
    <row r="70" spans="2:16" x14ac:dyDescent="0.25">
      <c r="B70" s="25"/>
      <c r="C70" s="25"/>
      <c r="D70" s="25"/>
      <c r="E70" s="25"/>
      <c r="F70" s="35"/>
      <c r="G70" s="88"/>
      <c r="H70" s="88"/>
      <c r="I70" s="88"/>
      <c r="J70" s="88"/>
      <c r="K70" s="88"/>
      <c r="L70" s="88"/>
      <c r="M70" s="88"/>
      <c r="N70" s="88"/>
      <c r="O70" s="88"/>
      <c r="P70" s="88"/>
    </row>
    <row r="71" spans="2:16" ht="15.5" x14ac:dyDescent="0.35">
      <c r="B71" s="31" t="str">
        <f>"All amounts in "&amp;Summary!$E$172</f>
        <v>All amounts in USD</v>
      </c>
      <c r="C71" s="31"/>
      <c r="D71" s="31"/>
      <c r="E71" s="31"/>
      <c r="F71" s="13"/>
      <c r="G71" s="13"/>
      <c r="H71" s="13"/>
      <c r="I71" s="13"/>
      <c r="J71" s="13"/>
      <c r="K71" s="13"/>
      <c r="L71" s="13"/>
      <c r="M71" s="13"/>
      <c r="N71" s="13"/>
      <c r="O71" s="13"/>
      <c r="P71" s="13"/>
    </row>
    <row r="72" spans="2:16" ht="15.5" x14ac:dyDescent="0.35">
      <c r="B72" s="52" t="s">
        <v>292</v>
      </c>
      <c r="C72" s="52" t="s">
        <v>293</v>
      </c>
      <c r="D72" s="111">
        <f t="shared" ref="D72:P72" ca="1" si="43">D$20</f>
        <v>2017</v>
      </c>
      <c r="E72" s="111">
        <f t="shared" ca="1" si="43"/>
        <v>2018</v>
      </c>
      <c r="F72" s="111">
        <f t="shared" ca="1" si="43"/>
        <v>2019</v>
      </c>
      <c r="G72" s="70">
        <f t="shared" ca="1" si="43"/>
        <v>2020</v>
      </c>
      <c r="H72" s="70">
        <f t="shared" ca="1" si="43"/>
        <v>2021</v>
      </c>
      <c r="I72" s="70">
        <f t="shared" ca="1" si="43"/>
        <v>2022</v>
      </c>
      <c r="J72" s="70">
        <f t="shared" ca="1" si="43"/>
        <v>2023</v>
      </c>
      <c r="K72" s="70">
        <f t="shared" ca="1" si="43"/>
        <v>2024</v>
      </c>
      <c r="L72" s="70">
        <f t="shared" ca="1" si="43"/>
        <v>2025</v>
      </c>
      <c r="M72" s="70">
        <f t="shared" ca="1" si="43"/>
        <v>2026</v>
      </c>
      <c r="N72" s="70">
        <f t="shared" ca="1" si="43"/>
        <v>2027</v>
      </c>
      <c r="O72" s="70">
        <f t="shared" ca="1" si="43"/>
        <v>2028</v>
      </c>
      <c r="P72" s="70">
        <f t="shared" ca="1" si="43"/>
        <v>2029</v>
      </c>
    </row>
    <row r="73" spans="2:16" x14ac:dyDescent="0.25">
      <c r="B73" s="35"/>
      <c r="C73" s="35"/>
      <c r="D73" s="35"/>
      <c r="E73" s="35"/>
      <c r="F73" s="105"/>
      <c r="G73" s="105"/>
      <c r="H73" s="105"/>
      <c r="I73" s="105"/>
      <c r="J73" s="105"/>
      <c r="K73" s="105"/>
      <c r="L73" s="105"/>
      <c r="M73" s="105"/>
      <c r="N73" s="105"/>
      <c r="O73" s="105"/>
      <c r="P73" s="105"/>
    </row>
    <row r="74" spans="2:16" x14ac:dyDescent="0.25">
      <c r="B74" s="89" t="s">
        <v>294</v>
      </c>
      <c r="C74" s="89"/>
      <c r="D74" s="89"/>
      <c r="E74" s="89"/>
      <c r="F74" s="105"/>
      <c r="G74" s="105"/>
      <c r="H74" s="105"/>
      <c r="I74" s="105"/>
      <c r="J74" s="105"/>
      <c r="K74" s="105"/>
      <c r="L74" s="105"/>
      <c r="M74" s="105"/>
      <c r="N74" s="105"/>
      <c r="O74" s="105"/>
      <c r="P74" s="105"/>
    </row>
    <row r="75" spans="2:16" x14ac:dyDescent="0.25">
      <c r="B75" s="35" t="s">
        <v>295</v>
      </c>
      <c r="C75" s="99" t="str">
        <f>Summary!$E$172</f>
        <v>USD</v>
      </c>
      <c r="D75" s="114" t="s">
        <v>135</v>
      </c>
      <c r="E75" s="105">
        <f>E46</f>
        <v>120000</v>
      </c>
      <c r="F75" s="391">
        <f>'Financials Quarterly'!I67</f>
        <v>338702.99</v>
      </c>
      <c r="G75" s="276">
        <f ca="1">'Financials Quarterly'!V67</f>
        <v>193252.5</v>
      </c>
      <c r="H75" s="105">
        <f ca="1">H46</f>
        <v>358037.92499999993</v>
      </c>
      <c r="I75" s="105">
        <f t="shared" ref="I75:P75" ca="1" si="44">I46</f>
        <v>442867.97249999992</v>
      </c>
      <c r="J75" s="105">
        <f t="shared" ca="1" si="44"/>
        <v>482293.39200000011</v>
      </c>
      <c r="K75" s="105">
        <f t="shared" ca="1" si="44"/>
        <v>518246.81160000013</v>
      </c>
      <c r="L75" s="105">
        <f t="shared" ca="1" si="44"/>
        <v>552979.15218000021</v>
      </c>
      <c r="M75" s="105">
        <f t="shared" ca="1" si="44"/>
        <v>519238.61022360041</v>
      </c>
      <c r="N75" s="105">
        <f t="shared" ca="1" si="44"/>
        <v>481708.88242807193</v>
      </c>
      <c r="O75" s="105">
        <f t="shared" ca="1" si="44"/>
        <v>444054.8100766337</v>
      </c>
      <c r="P75" s="105">
        <f t="shared" ca="1" si="44"/>
        <v>562435.15627816692</v>
      </c>
    </row>
    <row r="76" spans="2:16" x14ac:dyDescent="0.25">
      <c r="B76" s="25" t="s">
        <v>160</v>
      </c>
      <c r="C76" s="99" t="str">
        <f>Summary!$E$172</f>
        <v>USD</v>
      </c>
      <c r="D76" s="114" t="s">
        <v>135</v>
      </c>
      <c r="E76" s="90">
        <f>-E40</f>
        <v>60000</v>
      </c>
      <c r="F76" s="391">
        <f>'Financials Quarterly'!I68</f>
        <v>27000</v>
      </c>
      <c r="G76" s="276">
        <f ca="1">'Financials Quarterly'!V68</f>
        <v>201125</v>
      </c>
      <c r="H76" s="90">
        <f ca="1">-H40</f>
        <v>119200</v>
      </c>
      <c r="I76" s="90">
        <f t="shared" ref="I76:P76" ca="1" si="45">-I40</f>
        <v>88000</v>
      </c>
      <c r="J76" s="90">
        <f t="shared" ca="1" si="45"/>
        <v>48250</v>
      </c>
      <c r="K76" s="90">
        <f t="shared" ca="1" si="45"/>
        <v>25250</v>
      </c>
      <c r="L76" s="90">
        <f t="shared" ca="1" si="45"/>
        <v>7125</v>
      </c>
      <c r="M76" s="90">
        <f t="shared" ca="1" si="45"/>
        <v>750</v>
      </c>
      <c r="N76" s="90">
        <f t="shared" ca="1" si="45"/>
        <v>0</v>
      </c>
      <c r="O76" s="90">
        <f t="shared" ca="1" si="45"/>
        <v>0</v>
      </c>
      <c r="P76" s="90">
        <f t="shared" ca="1" si="45"/>
        <v>0</v>
      </c>
    </row>
    <row r="77" spans="2:16" x14ac:dyDescent="0.25">
      <c r="B77" s="35" t="s">
        <v>266</v>
      </c>
      <c r="C77" s="99" t="str">
        <f>Summary!$E$172</f>
        <v>USD</v>
      </c>
      <c r="D77" s="114" t="s">
        <v>135</v>
      </c>
      <c r="E77" s="90">
        <f>-E36</f>
        <v>250000</v>
      </c>
      <c r="F77" s="391">
        <f>'Financials Quarterly'!I69</f>
        <v>250500</v>
      </c>
      <c r="G77" s="276">
        <f>'Financials Quarterly'!V69</f>
        <v>357450</v>
      </c>
      <c r="H77" s="90">
        <f>-H36</f>
        <v>417450</v>
      </c>
      <c r="I77" s="90">
        <f t="shared" ref="I77:P77" si="46">-I36</f>
        <v>567450</v>
      </c>
      <c r="J77" s="90">
        <f t="shared" si="46"/>
        <v>607450</v>
      </c>
      <c r="K77" s="90">
        <f t="shared" si="46"/>
        <v>647450</v>
      </c>
      <c r="L77" s="90">
        <f t="shared" si="46"/>
        <v>687450</v>
      </c>
      <c r="M77" s="90">
        <f t="shared" si="46"/>
        <v>767450</v>
      </c>
      <c r="N77" s="90">
        <f t="shared" si="46"/>
        <v>847450</v>
      </c>
      <c r="O77" s="90">
        <f t="shared" si="46"/>
        <v>927450</v>
      </c>
      <c r="P77" s="90">
        <f t="shared" si="46"/>
        <v>800000</v>
      </c>
    </row>
    <row r="78" spans="2:16" x14ac:dyDescent="0.25">
      <c r="B78" s="35" t="s">
        <v>14</v>
      </c>
      <c r="C78" s="99" t="str">
        <f>Summary!$E$172</f>
        <v>USD</v>
      </c>
      <c r="D78" s="114" t="s">
        <v>135</v>
      </c>
      <c r="E78" s="105">
        <f>D56-E56</f>
        <v>0</v>
      </c>
      <c r="F78" s="391">
        <f>'Financials Quarterly'!I70</f>
        <v>0</v>
      </c>
      <c r="G78" s="276">
        <f>'Financials Quarterly'!V70</f>
        <v>100000</v>
      </c>
      <c r="H78" s="105">
        <f>G56-H56</f>
        <v>-331338.76712328778</v>
      </c>
      <c r="I78" s="105">
        <f t="shared" ref="I78:N78" si="47">H56-I56</f>
        <v>-73133.876712328871</v>
      </c>
      <c r="J78" s="105">
        <f t="shared" si="47"/>
        <v>-80447.264383561793</v>
      </c>
      <c r="K78" s="105">
        <f t="shared" si="47"/>
        <v>-44245.995410958887</v>
      </c>
      <c r="L78" s="105">
        <f t="shared" si="47"/>
        <v>-46458.295181507012</v>
      </c>
      <c r="M78" s="105">
        <f t="shared" si="47"/>
        <v>-19512.483976232819</v>
      </c>
      <c r="N78" s="105">
        <f t="shared" si="47"/>
        <v>-19902.73365575762</v>
      </c>
      <c r="O78" s="105">
        <f t="shared" ref="O78:P80" si="48">N56-O56</f>
        <v>-20300.788328872761</v>
      </c>
      <c r="P78" s="105">
        <f t="shared" si="48"/>
        <v>-20706.804095450323</v>
      </c>
    </row>
    <row r="79" spans="2:16" x14ac:dyDescent="0.25">
      <c r="B79" s="35" t="s">
        <v>15</v>
      </c>
      <c r="C79" s="99" t="str">
        <f>Summary!$E$172</f>
        <v>USD</v>
      </c>
      <c r="D79" s="114" t="s">
        <v>135</v>
      </c>
      <c r="E79" s="105">
        <f>D57-E57</f>
        <v>0</v>
      </c>
      <c r="F79" s="391">
        <f>'Financials Quarterly'!I71</f>
        <v>0</v>
      </c>
      <c r="G79" s="276">
        <f>'Financials Quarterly'!V71</f>
        <v>0</v>
      </c>
      <c r="H79" s="105">
        <f>G57-H57</f>
        <v>127017.22876712325</v>
      </c>
      <c r="I79" s="105">
        <f t="shared" ref="H79:J80" si="49">H57-I57</f>
        <v>-45343.003561643942</v>
      </c>
      <c r="J79" s="105">
        <f t="shared" si="49"/>
        <v>-50681.77656164387</v>
      </c>
      <c r="K79" s="105">
        <f t="shared" ref="K79:N80" si="50">J57-K57</f>
        <v>-23450.37756780826</v>
      </c>
      <c r="L79" s="105">
        <f t="shared" si="50"/>
        <v>-24622.896446198691</v>
      </c>
      <c r="M79" s="105">
        <f t="shared" si="50"/>
        <v>-10341.616507403378</v>
      </c>
      <c r="N79" s="105">
        <f t="shared" si="50"/>
        <v>-10548.448837551521</v>
      </c>
      <c r="O79" s="105">
        <f t="shared" si="48"/>
        <v>-10759.417814302607</v>
      </c>
      <c r="P79" s="105">
        <f t="shared" si="48"/>
        <v>-10974.606170588639</v>
      </c>
    </row>
    <row r="80" spans="2:16" x14ac:dyDescent="0.25">
      <c r="B80" s="35" t="s">
        <v>161</v>
      </c>
      <c r="C80" s="99" t="str">
        <f>Summary!$E$172</f>
        <v>USD</v>
      </c>
      <c r="D80" s="114" t="s">
        <v>135</v>
      </c>
      <c r="E80" s="105">
        <f>D58-E58</f>
        <v>0</v>
      </c>
      <c r="F80" s="391">
        <f>'Financials Quarterly'!I72</f>
        <v>0</v>
      </c>
      <c r="G80" s="276">
        <f>'Financials Quarterly'!V72</f>
        <v>0</v>
      </c>
      <c r="H80" s="105">
        <f t="shared" si="49"/>
        <v>418740.1369863014</v>
      </c>
      <c r="I80" s="105">
        <f t="shared" si="49"/>
        <v>-8125.9863013698778</v>
      </c>
      <c r="J80" s="105">
        <f t="shared" si="49"/>
        <v>-8938.5849315068626</v>
      </c>
      <c r="K80" s="105">
        <f t="shared" si="50"/>
        <v>-4916.2217123287846</v>
      </c>
      <c r="L80" s="105">
        <f t="shared" si="50"/>
        <v>-5162.0327979452122</v>
      </c>
      <c r="M80" s="105">
        <f t="shared" si="50"/>
        <v>-2168.0537751369848</v>
      </c>
      <c r="N80" s="105">
        <f t="shared" si="50"/>
        <v>-2211.4148506397323</v>
      </c>
      <c r="O80" s="105">
        <f t="shared" si="48"/>
        <v>-2255.6431476525322</v>
      </c>
      <c r="P80" s="105">
        <f t="shared" si="48"/>
        <v>-2300.7560106055753</v>
      </c>
    </row>
    <row r="81" spans="2:16" x14ac:dyDescent="0.25">
      <c r="B81" s="35" t="s">
        <v>162</v>
      </c>
      <c r="C81" s="99" t="str">
        <f>Summary!$E$172</f>
        <v>USD</v>
      </c>
      <c r="D81" s="114" t="s">
        <v>135</v>
      </c>
      <c r="E81" s="105">
        <f>E63-D63</f>
        <v>0</v>
      </c>
      <c r="F81" s="391">
        <f>'Financials Quarterly'!I73</f>
        <v>0</v>
      </c>
      <c r="G81" s="276">
        <f>'Financials Quarterly'!V73</f>
        <v>100000</v>
      </c>
      <c r="H81" s="105">
        <f t="shared" ref="H81:J82" si="51">H63-G63</f>
        <v>-301344.81917808217</v>
      </c>
      <c r="I81" s="105">
        <f t="shared" si="51"/>
        <v>30228.669041095942</v>
      </c>
      <c r="J81" s="105">
        <f t="shared" si="51"/>
        <v>33787.851041095972</v>
      </c>
      <c r="K81" s="105">
        <f t="shared" ref="K81:P82" si="52">K63-J63</f>
        <v>15633.585045205487</v>
      </c>
      <c r="L81" s="105">
        <f t="shared" si="52"/>
        <v>16415.264297465736</v>
      </c>
      <c r="M81" s="105">
        <f t="shared" si="52"/>
        <v>6894.4110049356241</v>
      </c>
      <c r="N81" s="105">
        <f t="shared" si="52"/>
        <v>7032.2992250343668</v>
      </c>
      <c r="O81" s="105">
        <f t="shared" si="52"/>
        <v>7172.9452095350716</v>
      </c>
      <c r="P81" s="105">
        <f t="shared" si="52"/>
        <v>7316.4041137257009</v>
      </c>
    </row>
    <row r="82" spans="2:16" x14ac:dyDescent="0.25">
      <c r="B82" s="35" t="s">
        <v>393</v>
      </c>
      <c r="C82" s="99" t="str">
        <f>Summary!$E$172</f>
        <v>USD</v>
      </c>
      <c r="D82" s="114" t="s">
        <v>135</v>
      </c>
      <c r="E82" s="105">
        <f>E64-D64</f>
        <v>0</v>
      </c>
      <c r="F82" s="391">
        <f>'Financials Quarterly'!I74</f>
        <v>0</v>
      </c>
      <c r="G82" s="276">
        <f>'Financials Quarterly'!V74</f>
        <v>0</v>
      </c>
      <c r="H82" s="105">
        <f t="shared" si="51"/>
        <v>-117496.05479452055</v>
      </c>
      <c r="I82" s="105">
        <f t="shared" si="51"/>
        <v>3250.3945205479504</v>
      </c>
      <c r="J82" s="105">
        <f t="shared" si="51"/>
        <v>3575.4339726027465</v>
      </c>
      <c r="K82" s="105">
        <f t="shared" si="52"/>
        <v>1966.488684931508</v>
      </c>
      <c r="L82" s="105">
        <f t="shared" si="52"/>
        <v>2064.8131191780922</v>
      </c>
      <c r="M82" s="105">
        <f t="shared" si="52"/>
        <v>867.221510054791</v>
      </c>
      <c r="N82" s="105">
        <f t="shared" si="52"/>
        <v>884.56594025588856</v>
      </c>
      <c r="O82" s="105">
        <f t="shared" si="52"/>
        <v>902.25725906101434</v>
      </c>
      <c r="P82" s="105">
        <f t="shared" si="52"/>
        <v>920.30240424223302</v>
      </c>
    </row>
    <row r="83" spans="2:16" x14ac:dyDescent="0.25">
      <c r="B83" s="180" t="s">
        <v>394</v>
      </c>
      <c r="C83" s="101" t="str">
        <f>Summary!$E$172</f>
        <v>USD</v>
      </c>
      <c r="D83" s="232" t="s">
        <v>135</v>
      </c>
      <c r="E83" s="75">
        <f t="shared" ref="E83:P83" si="53">SUM(E75:E82)</f>
        <v>430000</v>
      </c>
      <c r="F83" s="394">
        <f t="shared" si="53"/>
        <v>616202.99</v>
      </c>
      <c r="G83" s="75">
        <f t="shared" ca="1" si="53"/>
        <v>951827.5</v>
      </c>
      <c r="H83" s="75">
        <f t="shared" ca="1" si="53"/>
        <v>690265.64965753397</v>
      </c>
      <c r="I83" s="75">
        <f t="shared" ca="1" si="53"/>
        <v>1005194.169486301</v>
      </c>
      <c r="J83" s="75">
        <f t="shared" ca="1" si="53"/>
        <v>1035289.0511369859</v>
      </c>
      <c r="K83" s="75">
        <f t="shared" ca="1" si="53"/>
        <v>1135934.2906390415</v>
      </c>
      <c r="L83" s="75">
        <f t="shared" ca="1" si="53"/>
        <v>1189791.0051709933</v>
      </c>
      <c r="M83" s="75">
        <f t="shared" ca="1" si="53"/>
        <v>1263178.0884798176</v>
      </c>
      <c r="N83" s="75">
        <f t="shared" ca="1" si="53"/>
        <v>1304413.1502494134</v>
      </c>
      <c r="O83" s="75">
        <f t="shared" ca="1" si="53"/>
        <v>1346264.1632544019</v>
      </c>
      <c r="P83" s="75">
        <f t="shared" ca="1" si="53"/>
        <v>1336689.6965194906</v>
      </c>
    </row>
    <row r="84" spans="2:16" x14ac:dyDescent="0.25">
      <c r="B84" s="35"/>
      <c r="C84" s="35"/>
      <c r="D84" s="105"/>
      <c r="E84" s="105"/>
      <c r="F84" s="374"/>
      <c r="G84" s="105"/>
      <c r="H84" s="105"/>
      <c r="I84" s="105"/>
      <c r="J84" s="105"/>
      <c r="K84" s="105"/>
      <c r="L84" s="105"/>
      <c r="M84" s="105"/>
      <c r="N84" s="105"/>
      <c r="O84" s="105"/>
      <c r="P84" s="105"/>
    </row>
    <row r="85" spans="2:16" x14ac:dyDescent="0.25">
      <c r="B85" s="89" t="s">
        <v>395</v>
      </c>
      <c r="C85" s="89"/>
      <c r="D85" s="105"/>
      <c r="E85" s="105"/>
      <c r="F85" s="374"/>
      <c r="G85" s="105"/>
      <c r="H85" s="105"/>
      <c r="I85" s="105"/>
      <c r="J85" s="105"/>
      <c r="K85" s="105"/>
      <c r="L85" s="105"/>
      <c r="M85" s="105"/>
      <c r="N85" s="105"/>
      <c r="O85" s="105"/>
      <c r="P85" s="105"/>
    </row>
    <row r="86" spans="2:16" x14ac:dyDescent="0.25">
      <c r="B86" s="35" t="s">
        <v>25</v>
      </c>
      <c r="C86" s="99" t="str">
        <f>Summary!$E$172</f>
        <v>USD</v>
      </c>
      <c r="D86" s="105"/>
      <c r="E86" s="300">
        <v>0</v>
      </c>
      <c r="F86" s="391">
        <f>'Financials Quarterly'!I78</f>
        <v>0</v>
      </c>
      <c r="G86" s="276">
        <f>'Financials Quarterly'!V78</f>
        <v>-1599544.4350000017</v>
      </c>
      <c r="H86" s="300">
        <v>0</v>
      </c>
      <c r="I86" s="300">
        <v>0</v>
      </c>
      <c r="J86" s="300">
        <v>0</v>
      </c>
      <c r="K86" s="300">
        <v>0</v>
      </c>
      <c r="L86" s="300">
        <v>0</v>
      </c>
      <c r="M86" s="300">
        <v>0</v>
      </c>
      <c r="N86" s="300">
        <v>0</v>
      </c>
      <c r="O86" s="300">
        <v>0</v>
      </c>
      <c r="P86" s="300">
        <v>0</v>
      </c>
    </row>
    <row r="87" spans="2:16" x14ac:dyDescent="0.25">
      <c r="B87" s="35" t="s">
        <v>334</v>
      </c>
      <c r="C87" s="99" t="str">
        <f>Summary!$E$172</f>
        <v>USD</v>
      </c>
      <c r="D87" s="114" t="s">
        <v>138</v>
      </c>
      <c r="E87" s="300">
        <v>-75000</v>
      </c>
      <c r="F87" s="391">
        <f>'Financials Quarterly'!I79</f>
        <v>-700000</v>
      </c>
      <c r="G87" s="276">
        <f>'Financials Quarterly'!V79</f>
        <v>-600000</v>
      </c>
      <c r="H87" s="105">
        <f t="shared" ref="H87:P87" si="54">-H389</f>
        <v>-1500000</v>
      </c>
      <c r="I87" s="105">
        <f t="shared" si="54"/>
        <v>-400000</v>
      </c>
      <c r="J87" s="105">
        <f t="shared" si="54"/>
        <v>-400000</v>
      </c>
      <c r="K87" s="105">
        <f t="shared" si="54"/>
        <v>-400000</v>
      </c>
      <c r="L87" s="105">
        <f t="shared" si="54"/>
        <v>-800000</v>
      </c>
      <c r="M87" s="105">
        <f t="shared" si="54"/>
        <v>-800000</v>
      </c>
      <c r="N87" s="105">
        <f t="shared" si="54"/>
        <v>-800000</v>
      </c>
      <c r="O87" s="105">
        <f t="shared" si="54"/>
        <v>-800000</v>
      </c>
      <c r="P87" s="105">
        <f t="shared" si="54"/>
        <v>-800000</v>
      </c>
    </row>
    <row r="88" spans="2:16" x14ac:dyDescent="0.25">
      <c r="B88" s="180" t="s">
        <v>335</v>
      </c>
      <c r="C88" s="101" t="str">
        <f>Summary!$E$172</f>
        <v>USD</v>
      </c>
      <c r="D88" s="232" t="s">
        <v>139</v>
      </c>
      <c r="E88" s="75">
        <f>SUM(E86:E87)</f>
        <v>-75000</v>
      </c>
      <c r="F88" s="394">
        <f>SUM(F86:F87)</f>
        <v>-700000</v>
      </c>
      <c r="G88" s="75">
        <f>SUM(G86:G87)</f>
        <v>-2199544.4350000015</v>
      </c>
      <c r="H88" s="75">
        <f t="shared" ref="H88:P88" si="55">SUM(H86:H87)</f>
        <v>-1500000</v>
      </c>
      <c r="I88" s="75">
        <f t="shared" si="55"/>
        <v>-400000</v>
      </c>
      <c r="J88" s="75">
        <f t="shared" si="55"/>
        <v>-400000</v>
      </c>
      <c r="K88" s="75">
        <f t="shared" si="55"/>
        <v>-400000</v>
      </c>
      <c r="L88" s="75">
        <f t="shared" si="55"/>
        <v>-800000</v>
      </c>
      <c r="M88" s="75">
        <f t="shared" si="55"/>
        <v>-800000</v>
      </c>
      <c r="N88" s="75">
        <f t="shared" si="55"/>
        <v>-800000</v>
      </c>
      <c r="O88" s="75">
        <f t="shared" si="55"/>
        <v>-800000</v>
      </c>
      <c r="P88" s="75">
        <f t="shared" si="55"/>
        <v>-800000</v>
      </c>
    </row>
    <row r="89" spans="2:16" x14ac:dyDescent="0.25">
      <c r="B89" s="35"/>
      <c r="C89" s="35"/>
      <c r="D89" s="105"/>
      <c r="E89" s="105"/>
      <c r="F89" s="374"/>
      <c r="G89" s="105"/>
      <c r="H89" s="105"/>
      <c r="I89" s="105"/>
      <c r="J89" s="105"/>
      <c r="K89" s="105"/>
      <c r="L89" s="105"/>
      <c r="M89" s="105"/>
      <c r="N89" s="105"/>
      <c r="O89" s="105"/>
      <c r="P89" s="105"/>
    </row>
    <row r="90" spans="2:16" x14ac:dyDescent="0.25">
      <c r="B90" s="89" t="s">
        <v>336</v>
      </c>
      <c r="C90" s="89"/>
      <c r="D90" s="105"/>
      <c r="E90" s="105"/>
      <c r="F90" s="374"/>
      <c r="G90" s="105"/>
      <c r="H90" s="105"/>
      <c r="I90" s="105"/>
      <c r="J90" s="105"/>
      <c r="K90" s="105"/>
      <c r="L90" s="105"/>
      <c r="M90" s="105"/>
      <c r="N90" s="105"/>
      <c r="O90" s="105"/>
      <c r="P90" s="105"/>
    </row>
    <row r="91" spans="2:16" x14ac:dyDescent="0.25">
      <c r="B91" s="35" t="s">
        <v>337</v>
      </c>
      <c r="C91" s="99" t="str">
        <f>Summary!$E$172</f>
        <v>USD</v>
      </c>
      <c r="D91" s="114" t="s">
        <v>135</v>
      </c>
      <c r="E91" s="78">
        <f>SUM(E65:E66)-SUM(D65:D66)</f>
        <v>0</v>
      </c>
      <c r="F91" s="391">
        <f>'Financials Quarterly'!I83</f>
        <v>0</v>
      </c>
      <c r="G91" s="276">
        <f ca="1">'Financials Quarterly'!V83</f>
        <v>1400000</v>
      </c>
      <c r="H91" s="78">
        <f t="shared" ref="H91:O91" ca="1" si="56">SUM(H65:H66)-SUM(G65:G66)</f>
        <v>-610000</v>
      </c>
      <c r="I91" s="78">
        <f t="shared" ca="1" si="56"/>
        <v>-1105000</v>
      </c>
      <c r="J91" s="78">
        <f t="shared" ca="1" si="56"/>
        <v>-580000</v>
      </c>
      <c r="K91" s="78">
        <f t="shared" ca="1" si="56"/>
        <v>-680000</v>
      </c>
      <c r="L91" s="78">
        <f t="shared" ca="1" si="56"/>
        <v>-375000</v>
      </c>
      <c r="M91" s="78">
        <f t="shared" ca="1" si="56"/>
        <v>-50000</v>
      </c>
      <c r="N91" s="78">
        <f t="shared" ca="1" si="56"/>
        <v>0</v>
      </c>
      <c r="O91" s="78">
        <f t="shared" ca="1" si="56"/>
        <v>0</v>
      </c>
      <c r="P91" s="78">
        <f ca="1">SUM(P65:P66)-SUM(O65:O66)</f>
        <v>0</v>
      </c>
    </row>
    <row r="92" spans="2:16" x14ac:dyDescent="0.25">
      <c r="B92" s="25" t="s">
        <v>338</v>
      </c>
      <c r="C92" s="99" t="str">
        <f>Summary!$E$172</f>
        <v>USD</v>
      </c>
      <c r="D92" s="114" t="s">
        <v>135</v>
      </c>
      <c r="E92" s="92">
        <f>-E76</f>
        <v>-60000</v>
      </c>
      <c r="F92" s="391">
        <f>'Financials Quarterly'!I84</f>
        <v>-27000</v>
      </c>
      <c r="G92" s="276">
        <f ca="1">'Financials Quarterly'!V84</f>
        <v>-201125</v>
      </c>
      <c r="H92" s="92">
        <f t="shared" ref="H92:P92" ca="1" si="57">-H76</f>
        <v>-119200</v>
      </c>
      <c r="I92" s="92">
        <f t="shared" ca="1" si="57"/>
        <v>-88000</v>
      </c>
      <c r="J92" s="92">
        <f t="shared" ca="1" si="57"/>
        <v>-48250</v>
      </c>
      <c r="K92" s="92">
        <f t="shared" ca="1" si="57"/>
        <v>-25250</v>
      </c>
      <c r="L92" s="92">
        <f t="shared" ca="1" si="57"/>
        <v>-7125</v>
      </c>
      <c r="M92" s="92">
        <f t="shared" ca="1" si="57"/>
        <v>-750</v>
      </c>
      <c r="N92" s="92">
        <f t="shared" ca="1" si="57"/>
        <v>0</v>
      </c>
      <c r="O92" s="92">
        <f t="shared" ca="1" si="57"/>
        <v>0</v>
      </c>
      <c r="P92" s="92">
        <f t="shared" ca="1" si="57"/>
        <v>0</v>
      </c>
    </row>
    <row r="93" spans="2:16" x14ac:dyDescent="0.25">
      <c r="B93" s="25" t="s">
        <v>339</v>
      </c>
      <c r="C93" s="99" t="str">
        <f>Summary!$E$172</f>
        <v>USD</v>
      </c>
      <c r="D93" s="114" t="s">
        <v>135</v>
      </c>
      <c r="E93" s="90">
        <v>0</v>
      </c>
      <c r="F93" s="391">
        <f>'Financials Quarterly'!I85</f>
        <v>0</v>
      </c>
      <c r="G93" s="276">
        <f>'Financials Quarterly'!V85</f>
        <v>1599544.4350000017</v>
      </c>
      <c r="H93" s="90">
        <f t="shared" ref="H93:P93" si="58">H128+H133+H134</f>
        <v>0</v>
      </c>
      <c r="I93" s="90">
        <f t="shared" si="58"/>
        <v>0</v>
      </c>
      <c r="J93" s="90">
        <f t="shared" si="58"/>
        <v>0</v>
      </c>
      <c r="K93" s="90">
        <f t="shared" si="58"/>
        <v>0</v>
      </c>
      <c r="L93" s="90">
        <f t="shared" si="58"/>
        <v>0</v>
      </c>
      <c r="M93" s="90">
        <f t="shared" si="58"/>
        <v>0</v>
      </c>
      <c r="N93" s="90">
        <f t="shared" si="58"/>
        <v>0</v>
      </c>
      <c r="O93" s="90">
        <f t="shared" si="58"/>
        <v>0</v>
      </c>
      <c r="P93" s="90">
        <f t="shared" si="58"/>
        <v>0</v>
      </c>
    </row>
    <row r="94" spans="2:16" x14ac:dyDescent="0.25">
      <c r="B94" s="25" t="s">
        <v>340</v>
      </c>
      <c r="C94" s="99" t="str">
        <f>Summary!$E$172</f>
        <v>USD</v>
      </c>
      <c r="D94" s="114" t="s">
        <v>135</v>
      </c>
      <c r="E94" s="90">
        <v>0</v>
      </c>
      <c r="F94" s="391">
        <f>'Financials Quarterly'!I86</f>
        <v>0</v>
      </c>
      <c r="G94" s="276">
        <f ca="1">'Financials Quarterly'!V86</f>
        <v>-86963.625</v>
      </c>
      <c r="H94" s="90">
        <f t="shared" ref="H94:P94" ca="1" si="59">H120</f>
        <v>-166781.58749999997</v>
      </c>
      <c r="I94" s="90">
        <f t="shared" ca="1" si="59"/>
        <v>0</v>
      </c>
      <c r="J94" s="90">
        <f t="shared" ca="1" si="59"/>
        <v>0</v>
      </c>
      <c r="K94" s="90">
        <f t="shared" ca="1" si="59"/>
        <v>0</v>
      </c>
      <c r="L94" s="90">
        <f t="shared" ca="1" si="59"/>
        <v>0</v>
      </c>
      <c r="M94" s="90">
        <f t="shared" ca="1" si="59"/>
        <v>0</v>
      </c>
      <c r="N94" s="90">
        <f t="shared" ca="1" si="59"/>
        <v>-240854.44121403596</v>
      </c>
      <c r="O94" s="90">
        <f t="shared" ca="1" si="59"/>
        <v>-222027.40503831685</v>
      </c>
      <c r="P94" s="90">
        <f t="shared" ca="1" si="59"/>
        <v>-281217.57813908346</v>
      </c>
    </row>
    <row r="95" spans="2:16" x14ac:dyDescent="0.25">
      <c r="B95" s="180" t="s">
        <v>335</v>
      </c>
      <c r="C95" s="101" t="str">
        <f>Summary!$E$172</f>
        <v>USD</v>
      </c>
      <c r="D95" s="232" t="s">
        <v>139</v>
      </c>
      <c r="E95" s="75">
        <f t="shared" ref="E95:P95" si="60">SUM(E91:E94)</f>
        <v>-60000</v>
      </c>
      <c r="F95" s="394">
        <f t="shared" si="60"/>
        <v>-27000</v>
      </c>
      <c r="G95" s="75">
        <f t="shared" ca="1" si="60"/>
        <v>2711455.8100000015</v>
      </c>
      <c r="H95" s="75">
        <f ca="1">SUM(H91:H94)</f>
        <v>-895981.58749999991</v>
      </c>
      <c r="I95" s="75">
        <f t="shared" ca="1" si="60"/>
        <v>-1193000</v>
      </c>
      <c r="J95" s="75">
        <f t="shared" ca="1" si="60"/>
        <v>-628250</v>
      </c>
      <c r="K95" s="75">
        <f t="shared" ca="1" si="60"/>
        <v>-705250</v>
      </c>
      <c r="L95" s="75">
        <f t="shared" ca="1" si="60"/>
        <v>-382125</v>
      </c>
      <c r="M95" s="75">
        <f t="shared" ca="1" si="60"/>
        <v>-50750</v>
      </c>
      <c r="N95" s="75">
        <f t="shared" ca="1" si="60"/>
        <v>-240854.44121403596</v>
      </c>
      <c r="O95" s="75">
        <f t="shared" ca="1" si="60"/>
        <v>-222027.40503831685</v>
      </c>
      <c r="P95" s="75">
        <f t="shared" ca="1" si="60"/>
        <v>-281217.57813908346</v>
      </c>
    </row>
    <row r="96" spans="2:16" x14ac:dyDescent="0.25">
      <c r="B96" s="35"/>
      <c r="C96" s="35"/>
      <c r="D96" s="105"/>
      <c r="E96" s="105"/>
      <c r="F96" s="374"/>
      <c r="G96" s="105"/>
      <c r="H96" s="105"/>
      <c r="I96" s="105"/>
      <c r="J96" s="105"/>
      <c r="K96" s="105"/>
      <c r="L96" s="105"/>
      <c r="M96" s="105"/>
      <c r="N96" s="105"/>
      <c r="O96" s="105"/>
      <c r="P96" s="105"/>
    </row>
    <row r="97" spans="2:16" x14ac:dyDescent="0.25">
      <c r="B97" s="180" t="s">
        <v>341</v>
      </c>
      <c r="C97" s="101" t="str">
        <f>Summary!$E$172</f>
        <v>USD</v>
      </c>
      <c r="D97" s="232" t="s">
        <v>135</v>
      </c>
      <c r="E97" s="75">
        <f>E83+E88+E95</f>
        <v>295000</v>
      </c>
      <c r="F97" s="394">
        <f>F83+F88+F95</f>
        <v>-110797.01000000001</v>
      </c>
      <c r="G97" s="75">
        <f ca="1">G83+G88+G95</f>
        <v>1463738.875</v>
      </c>
      <c r="H97" s="75">
        <f ca="1">H83+H88+H95</f>
        <v>-1705715.9378424659</v>
      </c>
      <c r="I97" s="75">
        <f t="shared" ref="I97:P97" ca="1" si="61">I83+I88+I95</f>
        <v>-587805.83051369898</v>
      </c>
      <c r="J97" s="75">
        <f t="shared" ca="1" si="61"/>
        <v>7039.0511369858868</v>
      </c>
      <c r="K97" s="75">
        <f t="shared" ca="1" si="61"/>
        <v>30684.290639041457</v>
      </c>
      <c r="L97" s="75">
        <f t="shared" ca="1" si="61"/>
        <v>7666.0051709932741</v>
      </c>
      <c r="M97" s="75">
        <f t="shared" ca="1" si="61"/>
        <v>412428.08847981761</v>
      </c>
      <c r="N97" s="75">
        <f t="shared" ca="1" si="61"/>
        <v>263558.70903537748</v>
      </c>
      <c r="O97" s="75">
        <f t="shared" ca="1" si="61"/>
        <v>324236.75821608503</v>
      </c>
      <c r="P97" s="75">
        <f t="shared" ca="1" si="61"/>
        <v>255472.1183804071</v>
      </c>
    </row>
    <row r="98" spans="2:16" x14ac:dyDescent="0.25">
      <c r="B98" s="34"/>
      <c r="C98" s="35"/>
      <c r="D98" s="105"/>
      <c r="E98" s="105"/>
      <c r="F98" s="374"/>
      <c r="G98" s="105"/>
      <c r="H98" s="105"/>
      <c r="I98" s="105"/>
      <c r="J98" s="105"/>
      <c r="K98" s="105"/>
      <c r="L98" s="105"/>
      <c r="M98" s="105"/>
      <c r="N98" s="105"/>
      <c r="O98" s="105"/>
      <c r="P98" s="105"/>
    </row>
    <row r="99" spans="2:16" x14ac:dyDescent="0.25">
      <c r="B99" s="25" t="s">
        <v>277</v>
      </c>
      <c r="C99" s="99" t="str">
        <f>Summary!$E$172</f>
        <v>USD</v>
      </c>
      <c r="D99" s="105"/>
      <c r="E99" s="105">
        <f t="shared" ref="E99:P99" si="62">D100</f>
        <v>200000</v>
      </c>
      <c r="F99" s="374">
        <f t="shared" si="62"/>
        <v>495000</v>
      </c>
      <c r="G99" s="105">
        <f t="shared" si="62"/>
        <v>384202.99</v>
      </c>
      <c r="H99" s="105">
        <f t="shared" ca="1" si="62"/>
        <v>1847941.865</v>
      </c>
      <c r="I99" s="105">
        <f t="shared" ca="1" si="62"/>
        <v>142225.92715753405</v>
      </c>
      <c r="J99" s="105">
        <f t="shared" ca="1" si="62"/>
        <v>-445579.90335616493</v>
      </c>
      <c r="K99" s="105">
        <f t="shared" ca="1" si="62"/>
        <v>-438540.85221917904</v>
      </c>
      <c r="L99" s="105">
        <f t="shared" ca="1" si="62"/>
        <v>-407856.56158013758</v>
      </c>
      <c r="M99" s="105">
        <f t="shared" ca="1" si="62"/>
        <v>-400190.55640914431</v>
      </c>
      <c r="N99" s="105">
        <f t="shared" ca="1" si="62"/>
        <v>12237.532070673304</v>
      </c>
      <c r="O99" s="105">
        <f t="shared" ca="1" si="62"/>
        <v>275796.24110605079</v>
      </c>
      <c r="P99" s="105">
        <f t="shared" ca="1" si="62"/>
        <v>600032.99932213582</v>
      </c>
    </row>
    <row r="100" spans="2:16" x14ac:dyDescent="0.25">
      <c r="B100" s="180" t="s">
        <v>137</v>
      </c>
      <c r="C100" s="101" t="str">
        <f>Summary!$E$172</f>
        <v>USD</v>
      </c>
      <c r="D100" s="75">
        <f>D55</f>
        <v>200000</v>
      </c>
      <c r="E100" s="75">
        <f t="shared" ref="E100:P100" si="63">E97+E99</f>
        <v>495000</v>
      </c>
      <c r="F100" s="394">
        <f t="shared" si="63"/>
        <v>384202.99</v>
      </c>
      <c r="G100" s="75">
        <f t="shared" ca="1" si="63"/>
        <v>1847941.865</v>
      </c>
      <c r="H100" s="75">
        <f t="shared" ca="1" si="63"/>
        <v>142225.92715753405</v>
      </c>
      <c r="I100" s="75">
        <f t="shared" ca="1" si="63"/>
        <v>-445579.90335616493</v>
      </c>
      <c r="J100" s="75">
        <f t="shared" ca="1" si="63"/>
        <v>-438540.85221917904</v>
      </c>
      <c r="K100" s="75">
        <f t="shared" ca="1" si="63"/>
        <v>-407856.56158013758</v>
      </c>
      <c r="L100" s="75">
        <f t="shared" ca="1" si="63"/>
        <v>-400190.55640914431</v>
      </c>
      <c r="M100" s="75">
        <f t="shared" ca="1" si="63"/>
        <v>12237.532070673304</v>
      </c>
      <c r="N100" s="75">
        <f t="shared" ca="1" si="63"/>
        <v>275796.24110605079</v>
      </c>
      <c r="O100" s="75">
        <f t="shared" ca="1" si="63"/>
        <v>600032.99932213582</v>
      </c>
      <c r="P100" s="75">
        <f t="shared" ca="1" si="63"/>
        <v>855505.11770254292</v>
      </c>
    </row>
    <row r="101" spans="2:16" ht="13" x14ac:dyDescent="0.3">
      <c r="B101" s="298" t="s">
        <v>177</v>
      </c>
      <c r="G101" s="243">
        <f ca="1">G100-'Financials Quarterly'!V92</f>
        <v>0</v>
      </c>
    </row>
    <row r="103" spans="2:16" x14ac:dyDescent="0.25">
      <c r="G103" s="220"/>
    </row>
    <row r="104" spans="2:16" ht="15.5" x14ac:dyDescent="0.35">
      <c r="B104" s="31" t="str">
        <f>"All amounts in "&amp;Summary!$E$172</f>
        <v>All amounts in USD</v>
      </c>
      <c r="C104" s="31"/>
      <c r="D104" s="31"/>
      <c r="E104" s="31"/>
      <c r="F104" s="13"/>
      <c r="G104" s="13"/>
      <c r="H104" s="13"/>
      <c r="I104" s="13"/>
      <c r="J104" s="13"/>
      <c r="K104" s="13"/>
      <c r="L104" s="13"/>
      <c r="M104" s="13"/>
      <c r="N104" s="13"/>
      <c r="O104" s="13"/>
      <c r="P104" s="13"/>
    </row>
    <row r="105" spans="2:16" ht="15.5" x14ac:dyDescent="0.35">
      <c r="B105" s="52" t="s">
        <v>31</v>
      </c>
      <c r="C105" s="52" t="s">
        <v>378</v>
      </c>
      <c r="D105" s="111"/>
      <c r="E105" s="111"/>
      <c r="F105" s="407" t="s">
        <v>41</v>
      </c>
      <c r="G105" s="70">
        <f t="shared" ref="G105:P105" ca="1" si="64">G$52</f>
        <v>2020</v>
      </c>
      <c r="H105" s="70">
        <f t="shared" ca="1" si="64"/>
        <v>2021</v>
      </c>
      <c r="I105" s="70">
        <f t="shared" ca="1" si="64"/>
        <v>2022</v>
      </c>
      <c r="J105" s="70">
        <f t="shared" ca="1" si="64"/>
        <v>2023</v>
      </c>
      <c r="K105" s="70">
        <f t="shared" ca="1" si="64"/>
        <v>2024</v>
      </c>
      <c r="L105" s="70">
        <f t="shared" ca="1" si="64"/>
        <v>2025</v>
      </c>
      <c r="M105" s="70">
        <f t="shared" ca="1" si="64"/>
        <v>2026</v>
      </c>
      <c r="N105" s="70">
        <f t="shared" ca="1" si="64"/>
        <v>2027</v>
      </c>
      <c r="O105" s="70">
        <f t="shared" ca="1" si="64"/>
        <v>2028</v>
      </c>
      <c r="P105" s="70">
        <f t="shared" ca="1" si="64"/>
        <v>2029</v>
      </c>
    </row>
    <row r="106" spans="2:16" ht="15.5" x14ac:dyDescent="0.35">
      <c r="B106" s="52"/>
      <c r="C106" s="52"/>
      <c r="D106" s="125"/>
      <c r="E106" s="125"/>
      <c r="F106" s="408">
        <f ca="1">Summary!E132</f>
        <v>42550</v>
      </c>
      <c r="G106" s="168">
        <f t="shared" ref="G106:P106" ca="1" si="65">G$53</f>
        <v>43099</v>
      </c>
      <c r="H106" s="168">
        <f t="shared" ca="1" si="65"/>
        <v>43464</v>
      </c>
      <c r="I106" s="125">
        <f t="shared" ca="1" si="65"/>
        <v>43829</v>
      </c>
      <c r="J106" s="125">
        <f t="shared" ca="1" si="65"/>
        <v>44195</v>
      </c>
      <c r="K106" s="125">
        <f t="shared" ca="1" si="65"/>
        <v>44560</v>
      </c>
      <c r="L106" s="125">
        <f t="shared" ca="1" si="65"/>
        <v>44925</v>
      </c>
      <c r="M106" s="125">
        <f t="shared" ca="1" si="65"/>
        <v>45290</v>
      </c>
      <c r="N106" s="125">
        <f t="shared" ca="1" si="65"/>
        <v>45656</v>
      </c>
      <c r="O106" s="125">
        <f t="shared" ca="1" si="65"/>
        <v>46021</v>
      </c>
      <c r="P106" s="125">
        <f t="shared" ca="1" si="65"/>
        <v>46386</v>
      </c>
    </row>
    <row r="107" spans="2:16" x14ac:dyDescent="0.25">
      <c r="B107" s="25"/>
      <c r="C107" s="25"/>
      <c r="D107" s="25"/>
      <c r="E107" s="25"/>
      <c r="F107" s="35"/>
      <c r="G107" s="88"/>
      <c r="H107" s="88"/>
      <c r="I107" s="88"/>
      <c r="J107" s="88"/>
      <c r="K107" s="88"/>
      <c r="L107" s="88"/>
      <c r="M107" s="88"/>
      <c r="N107" s="88"/>
      <c r="O107" s="88"/>
      <c r="P107" s="88"/>
    </row>
    <row r="108" spans="2:16" x14ac:dyDescent="0.25">
      <c r="B108" s="18" t="s">
        <v>56</v>
      </c>
      <c r="C108" s="18"/>
      <c r="D108" s="18"/>
      <c r="E108" s="18"/>
      <c r="F108" s="28"/>
      <c r="G108" s="87"/>
      <c r="H108" s="87"/>
      <c r="I108" s="87"/>
      <c r="J108" s="87"/>
      <c r="K108" s="87"/>
      <c r="L108" s="87"/>
      <c r="M108" s="87"/>
      <c r="N108" s="87"/>
      <c r="O108" s="87"/>
      <c r="P108" s="87"/>
    </row>
    <row r="109" spans="2:16" x14ac:dyDescent="0.25">
      <c r="B109" s="25" t="s">
        <v>49</v>
      </c>
      <c r="C109" s="25" t="s">
        <v>326</v>
      </c>
      <c r="D109" s="25"/>
      <c r="E109" s="25"/>
      <c r="F109" s="88">
        <f>Summary!K121</f>
        <v>1000</v>
      </c>
      <c r="G109" s="105">
        <f>F111</f>
        <v>1076</v>
      </c>
      <c r="H109" s="105">
        <f>G111</f>
        <v>1076</v>
      </c>
      <c r="I109" s="105">
        <f t="shared" ref="I109:P109" si="66">H111</f>
        <v>1076</v>
      </c>
      <c r="J109" s="105">
        <f t="shared" si="66"/>
        <v>1076</v>
      </c>
      <c r="K109" s="105">
        <f t="shared" si="66"/>
        <v>1076</v>
      </c>
      <c r="L109" s="105">
        <f t="shared" si="66"/>
        <v>1076</v>
      </c>
      <c r="M109" s="105">
        <f t="shared" si="66"/>
        <v>1076</v>
      </c>
      <c r="N109" s="105">
        <f t="shared" si="66"/>
        <v>1076</v>
      </c>
      <c r="O109" s="105">
        <f t="shared" si="66"/>
        <v>1076</v>
      </c>
      <c r="P109" s="105">
        <f t="shared" si="66"/>
        <v>1076</v>
      </c>
    </row>
    <row r="110" spans="2:16" x14ac:dyDescent="0.25">
      <c r="B110" s="25" t="s">
        <v>57</v>
      </c>
      <c r="C110" s="25" t="s">
        <v>327</v>
      </c>
      <c r="D110" s="25"/>
      <c r="E110" s="25"/>
      <c r="F110" s="105">
        <f>Summary!E152</f>
        <v>76</v>
      </c>
      <c r="G110" s="88"/>
      <c r="H110" s="88"/>
      <c r="I110" s="88"/>
      <c r="J110" s="88"/>
      <c r="K110" s="88"/>
      <c r="L110" s="88"/>
      <c r="M110" s="88"/>
      <c r="N110" s="88"/>
      <c r="O110" s="88"/>
      <c r="P110" s="88"/>
    </row>
    <row r="111" spans="2:16" x14ac:dyDescent="0.25">
      <c r="B111" s="210" t="s">
        <v>58</v>
      </c>
      <c r="C111" s="210" t="s">
        <v>328</v>
      </c>
      <c r="D111" s="210"/>
      <c r="E111" s="210"/>
      <c r="F111" s="211">
        <f>SUM(F109:F110)</f>
        <v>1076</v>
      </c>
      <c r="G111" s="211">
        <f>SUM(G109:G110)</f>
        <v>1076</v>
      </c>
      <c r="H111" s="211">
        <f>SUM(H109:H110)</f>
        <v>1076</v>
      </c>
      <c r="I111" s="211">
        <f>SUM(I109:I110)</f>
        <v>1076</v>
      </c>
      <c r="J111" s="211">
        <f t="shared" ref="J111:P111" si="67">SUM(J109:J110)</f>
        <v>1076</v>
      </c>
      <c r="K111" s="211">
        <f t="shared" si="67"/>
        <v>1076</v>
      </c>
      <c r="L111" s="211">
        <f t="shared" si="67"/>
        <v>1076</v>
      </c>
      <c r="M111" s="211">
        <f t="shared" si="67"/>
        <v>1076</v>
      </c>
      <c r="N111" s="211">
        <f t="shared" si="67"/>
        <v>1076</v>
      </c>
      <c r="O111" s="211">
        <f t="shared" si="67"/>
        <v>1076</v>
      </c>
      <c r="P111" s="211">
        <f t="shared" si="67"/>
        <v>1076</v>
      </c>
    </row>
    <row r="112" spans="2:16" x14ac:dyDescent="0.25">
      <c r="B112" s="25"/>
      <c r="C112" s="25"/>
      <c r="D112" s="25"/>
      <c r="E112" s="25"/>
      <c r="F112" s="35"/>
      <c r="G112" s="88"/>
      <c r="H112" s="88"/>
      <c r="I112" s="88"/>
      <c r="J112" s="88"/>
      <c r="K112" s="88"/>
      <c r="L112" s="88"/>
      <c r="M112" s="88"/>
      <c r="N112" s="88"/>
      <c r="O112" s="88"/>
      <c r="P112" s="88"/>
    </row>
    <row r="113" spans="2:16" ht="13" x14ac:dyDescent="0.3">
      <c r="B113" s="204" t="s">
        <v>84</v>
      </c>
      <c r="C113" s="18"/>
      <c r="D113" s="18"/>
      <c r="E113" s="18"/>
      <c r="F113" s="28"/>
      <c r="G113" s="87"/>
      <c r="H113" s="87"/>
      <c r="I113" s="87"/>
      <c r="J113" s="87"/>
      <c r="K113" s="87"/>
      <c r="L113" s="87"/>
      <c r="M113" s="87"/>
      <c r="N113" s="87"/>
      <c r="O113" s="87"/>
      <c r="P113" s="87"/>
    </row>
    <row r="114" spans="2:16" x14ac:dyDescent="0.25">
      <c r="B114" s="25" t="s">
        <v>142</v>
      </c>
      <c r="C114" s="25" t="s">
        <v>187</v>
      </c>
      <c r="D114" s="25"/>
      <c r="E114" s="25"/>
      <c r="F114" s="217">
        <f>Summary!K181</f>
        <v>0.5</v>
      </c>
      <c r="G114" s="218">
        <f>F114</f>
        <v>0.5</v>
      </c>
      <c r="H114" s="218">
        <f>G114</f>
        <v>0.5</v>
      </c>
      <c r="I114" s="218">
        <f t="shared" ref="I114:P114" si="68">H114</f>
        <v>0.5</v>
      </c>
      <c r="J114" s="218">
        <f t="shared" si="68"/>
        <v>0.5</v>
      </c>
      <c r="K114" s="218">
        <f t="shared" si="68"/>
        <v>0.5</v>
      </c>
      <c r="L114" s="218">
        <f t="shared" si="68"/>
        <v>0.5</v>
      </c>
      <c r="M114" s="218">
        <f t="shared" si="68"/>
        <v>0.5</v>
      </c>
      <c r="N114" s="218">
        <f t="shared" si="68"/>
        <v>0.5</v>
      </c>
      <c r="O114" s="218">
        <f t="shared" si="68"/>
        <v>0.5</v>
      </c>
      <c r="P114" s="218">
        <f t="shared" si="68"/>
        <v>0.5</v>
      </c>
    </row>
    <row r="115" spans="2:16" x14ac:dyDescent="0.25">
      <c r="B115" s="58" t="s">
        <v>112</v>
      </c>
      <c r="C115" s="99" t="str">
        <f>Summary!$E$172</f>
        <v>USD</v>
      </c>
      <c r="D115" s="25"/>
      <c r="E115" s="25"/>
      <c r="F115" s="105">
        <f t="shared" ref="F115:P115" si="69">F46</f>
        <v>338702.99000000022</v>
      </c>
      <c r="G115" s="105">
        <f t="shared" ca="1" si="69"/>
        <v>193252.5</v>
      </c>
      <c r="H115" s="105">
        <f t="shared" ca="1" si="69"/>
        <v>358037.92499999993</v>
      </c>
      <c r="I115" s="105">
        <f t="shared" ca="1" si="69"/>
        <v>442867.97249999992</v>
      </c>
      <c r="J115" s="105">
        <f t="shared" ca="1" si="69"/>
        <v>482293.39200000011</v>
      </c>
      <c r="K115" s="105">
        <f t="shared" ca="1" si="69"/>
        <v>518246.81160000013</v>
      </c>
      <c r="L115" s="105">
        <f t="shared" ca="1" si="69"/>
        <v>552979.15218000021</v>
      </c>
      <c r="M115" s="105">
        <f t="shared" ca="1" si="69"/>
        <v>519238.61022360041</v>
      </c>
      <c r="N115" s="105">
        <f t="shared" ca="1" si="69"/>
        <v>481708.88242807193</v>
      </c>
      <c r="O115" s="105">
        <f t="shared" ca="1" si="69"/>
        <v>444054.8100766337</v>
      </c>
      <c r="P115" s="105">
        <f t="shared" ca="1" si="69"/>
        <v>562435.15627816692</v>
      </c>
    </row>
    <row r="116" spans="2:16" x14ac:dyDescent="0.25">
      <c r="B116" s="45" t="s">
        <v>224</v>
      </c>
      <c r="C116" s="101" t="str">
        <f>Summary!$E$172</f>
        <v>USD</v>
      </c>
      <c r="D116" s="45"/>
      <c r="E116" s="45"/>
      <c r="F116" s="219">
        <f>-F141</f>
        <v>0</v>
      </c>
      <c r="G116" s="219">
        <f ca="1">-G141</f>
        <v>-19325.25</v>
      </c>
      <c r="H116" s="219">
        <f ca="1">-H141</f>
        <v>-24474.75</v>
      </c>
      <c r="I116" s="219">
        <f ca="1">-I141</f>
        <v>0</v>
      </c>
      <c r="J116" s="219">
        <f ca="1">-J141</f>
        <v>0</v>
      </c>
      <c r="K116" s="219">
        <f t="shared" ref="K116:P116" ca="1" si="70">-K141</f>
        <v>0</v>
      </c>
      <c r="L116" s="219">
        <f t="shared" ca="1" si="70"/>
        <v>0</v>
      </c>
      <c r="M116" s="219">
        <f t="shared" ca="1" si="70"/>
        <v>0</v>
      </c>
      <c r="N116" s="219">
        <f t="shared" ca="1" si="70"/>
        <v>0</v>
      </c>
      <c r="O116" s="219">
        <f t="shared" ca="1" si="70"/>
        <v>0</v>
      </c>
      <c r="P116" s="219">
        <f t="shared" ca="1" si="70"/>
        <v>0</v>
      </c>
    </row>
    <row r="117" spans="2:16" x14ac:dyDescent="0.25">
      <c r="B117" s="58" t="s">
        <v>225</v>
      </c>
      <c r="C117" s="99" t="str">
        <f>Summary!$E$172</f>
        <v>USD</v>
      </c>
      <c r="G117" s="212">
        <f ca="1">SUM(G115:G116)</f>
        <v>173927.25</v>
      </c>
      <c r="H117" s="212">
        <f ca="1">SUM(H115:H116)</f>
        <v>333563.17499999993</v>
      </c>
      <c r="I117" s="212">
        <f ca="1">SUM(I115:I116)</f>
        <v>442867.97249999992</v>
      </c>
      <c r="J117" s="212">
        <f ca="1">SUM(J115:J116)</f>
        <v>482293.39200000011</v>
      </c>
      <c r="K117" s="212">
        <f t="shared" ref="K117:P117" ca="1" si="71">SUM(K115:K116)</f>
        <v>518246.81160000013</v>
      </c>
      <c r="L117" s="212">
        <f t="shared" ca="1" si="71"/>
        <v>552979.15218000021</v>
      </c>
      <c r="M117" s="212">
        <f t="shared" ca="1" si="71"/>
        <v>519238.61022360041</v>
      </c>
      <c r="N117" s="212">
        <f t="shared" ca="1" si="71"/>
        <v>481708.88242807193</v>
      </c>
      <c r="O117" s="212">
        <f t="shared" ca="1" si="71"/>
        <v>444054.8100766337</v>
      </c>
      <c r="P117" s="212">
        <f t="shared" ca="1" si="71"/>
        <v>562435.15627816692</v>
      </c>
    </row>
    <row r="118" spans="2:16" x14ac:dyDescent="0.25">
      <c r="C118" s="99"/>
      <c r="G118" s="212"/>
      <c r="H118" s="212"/>
      <c r="I118" s="212"/>
      <c r="J118" s="212"/>
      <c r="K118" s="212"/>
      <c r="L118" s="212"/>
      <c r="M118" s="212"/>
      <c r="N118" s="212"/>
      <c r="O118" s="212"/>
      <c r="P118" s="212"/>
    </row>
    <row r="119" spans="2:16" s="13" customFormat="1" x14ac:dyDescent="0.25">
      <c r="B119" s="35" t="s">
        <v>140</v>
      </c>
      <c r="C119" s="35" t="s">
        <v>212</v>
      </c>
      <c r="D119" s="88"/>
      <c r="E119" s="88"/>
      <c r="F119" s="88"/>
      <c r="G119" s="105">
        <f ca="1">G99+G83+G88+G92+G91+G93</f>
        <v>1934905.4900000002</v>
      </c>
      <c r="H119" s="105">
        <f t="shared" ref="H119:P119" ca="1" si="72">H99+H83+H88+H92+H91+H93</f>
        <v>309007.51465753373</v>
      </c>
      <c r="I119" s="105">
        <f t="shared" ca="1" si="72"/>
        <v>-445579.90335616493</v>
      </c>
      <c r="J119" s="105">
        <f t="shared" ca="1" si="72"/>
        <v>-438540.85221917904</v>
      </c>
      <c r="K119" s="105">
        <f t="shared" ca="1" si="72"/>
        <v>-407856.56158013758</v>
      </c>
      <c r="L119" s="105">
        <f t="shared" ca="1" si="72"/>
        <v>-400190.55640914431</v>
      </c>
      <c r="M119" s="105">
        <f t="shared" ca="1" si="72"/>
        <v>12237.532070673304</v>
      </c>
      <c r="N119" s="105">
        <f t="shared" ca="1" si="72"/>
        <v>516650.68232008675</v>
      </c>
      <c r="O119" s="105">
        <f t="shared" ca="1" si="72"/>
        <v>822060.40436045267</v>
      </c>
      <c r="P119" s="105">
        <f t="shared" ca="1" si="72"/>
        <v>1136722.6958416263</v>
      </c>
    </row>
    <row r="120" spans="2:16" x14ac:dyDescent="0.25">
      <c r="B120" s="58" t="s">
        <v>205</v>
      </c>
      <c r="C120" s="99" t="str">
        <f>Summary!$E$172</f>
        <v>USD</v>
      </c>
      <c r="G120" s="212">
        <f t="shared" ref="G120" ca="1" si="73">IF(G117&gt;0,IF(G119&gt;G$114*G117,-G$114*G117,0))</f>
        <v>-86963.625</v>
      </c>
      <c r="H120" s="212">
        <f t="shared" ref="H120" ca="1" si="74">IF(H117&gt;0,IF(H119&gt;H$114*H117,-H$114*H117,0))</f>
        <v>-166781.58749999997</v>
      </c>
      <c r="I120" s="212">
        <f t="shared" ref="I120" ca="1" si="75">IF(I117&gt;0,IF(I119&gt;I$114*I117,-I$114*I117,0))</f>
        <v>0</v>
      </c>
      <c r="J120" s="212">
        <f t="shared" ref="J120" ca="1" si="76">IF(J117&gt;0,IF(J119&gt;J$114*J117,-J$114*J117,0))</f>
        <v>0</v>
      </c>
      <c r="K120" s="212">
        <f t="shared" ref="K120" ca="1" si="77">IF(K117&gt;0,IF(K119&gt;K$114*K117,-K$114*K117,0))</f>
        <v>0</v>
      </c>
      <c r="L120" s="212">
        <f t="shared" ref="L120" ca="1" si="78">IF(L117&gt;0,IF(L119&gt;L$114*L117,-L$114*L117,0))</f>
        <v>0</v>
      </c>
      <c r="M120" s="212">
        <f t="shared" ref="M120" ca="1" si="79">IF(M117&gt;0,IF(M119&gt;M$114*M117,-M$114*M117,0))</f>
        <v>0</v>
      </c>
      <c r="N120" s="212">
        <f t="shared" ref="N120" ca="1" si="80">IF(N117&gt;0,IF(N119&gt;N$114*N117,-N$114*N117,0))</f>
        <v>-240854.44121403596</v>
      </c>
      <c r="O120" s="212">
        <f t="shared" ref="O120" ca="1" si="81">IF(O117&gt;0,IF(O119&gt;O$114*O117,-O$114*O117,0))</f>
        <v>-222027.40503831685</v>
      </c>
      <c r="P120" s="212">
        <f t="shared" ref="P120" ca="1" si="82">IF(P117&gt;0,IF(P119&gt;P$114*P117,-P$114*P117,0))</f>
        <v>-281217.57813908346</v>
      </c>
    </row>
    <row r="121" spans="2:16" x14ac:dyDescent="0.25">
      <c r="B121" s="58" t="s">
        <v>147</v>
      </c>
      <c r="C121" s="99" t="str">
        <f>Summary!$E$172</f>
        <v>USD</v>
      </c>
      <c r="G121" s="212">
        <f ca="1">-(G117+G120)</f>
        <v>-86963.625</v>
      </c>
      <c r="H121" s="212">
        <f ca="1">-(H117+H120)</f>
        <v>-166781.58749999997</v>
      </c>
      <c r="I121" s="212">
        <f ca="1">-(I117+I120)</f>
        <v>-442867.97249999992</v>
      </c>
      <c r="J121" s="212">
        <f ca="1">-(J117+J120)</f>
        <v>-482293.39200000011</v>
      </c>
      <c r="K121" s="212">
        <f t="shared" ref="K121:P121" ca="1" si="83">-(K117+K120)</f>
        <v>-518246.81160000013</v>
      </c>
      <c r="L121" s="212">
        <f t="shared" ca="1" si="83"/>
        <v>-552979.15218000021</v>
      </c>
      <c r="M121" s="212">
        <f t="shared" ca="1" si="83"/>
        <v>-519238.61022360041</v>
      </c>
      <c r="N121" s="212">
        <f t="shared" ca="1" si="83"/>
        <v>-240854.44121403596</v>
      </c>
      <c r="O121" s="212">
        <f t="shared" ca="1" si="83"/>
        <v>-222027.40503831685</v>
      </c>
      <c r="P121" s="212">
        <f t="shared" ca="1" si="83"/>
        <v>-281217.57813908346</v>
      </c>
    </row>
    <row r="122" spans="2:16" x14ac:dyDescent="0.25">
      <c r="B122" s="233" t="s">
        <v>141</v>
      </c>
      <c r="C122" s="234" t="str">
        <f>Summary!$E$172</f>
        <v>USD</v>
      </c>
      <c r="D122" s="233"/>
      <c r="E122" s="233"/>
      <c r="F122" s="233"/>
      <c r="G122" s="235">
        <f ca="1">SUM(G117,G120:G121)</f>
        <v>0</v>
      </c>
      <c r="H122" s="235">
        <f t="shared" ref="H122:P122" ca="1" si="84">SUM(H117,H120:H121)</f>
        <v>0</v>
      </c>
      <c r="I122" s="235">
        <f t="shared" ca="1" si="84"/>
        <v>0</v>
      </c>
      <c r="J122" s="235">
        <f t="shared" ca="1" si="84"/>
        <v>0</v>
      </c>
      <c r="K122" s="235">
        <f t="shared" ca="1" si="84"/>
        <v>0</v>
      </c>
      <c r="L122" s="235">
        <f t="shared" ca="1" si="84"/>
        <v>0</v>
      </c>
      <c r="M122" s="235">
        <f t="shared" ca="1" si="84"/>
        <v>0</v>
      </c>
      <c r="N122" s="235">
        <f t="shared" ca="1" si="84"/>
        <v>0</v>
      </c>
      <c r="O122" s="235">
        <f t="shared" ca="1" si="84"/>
        <v>0</v>
      </c>
      <c r="P122" s="235">
        <f t="shared" ca="1" si="84"/>
        <v>0</v>
      </c>
    </row>
    <row r="124" spans="2:16" ht="13" x14ac:dyDescent="0.3">
      <c r="B124" s="204" t="s">
        <v>53</v>
      </c>
      <c r="C124" s="18"/>
      <c r="D124" s="18"/>
      <c r="E124" s="18"/>
      <c r="F124" s="28"/>
      <c r="G124" s="87"/>
      <c r="H124" s="87"/>
      <c r="I124" s="87"/>
      <c r="J124" s="87"/>
      <c r="K124" s="87"/>
      <c r="L124" s="87"/>
      <c r="M124" s="87"/>
      <c r="N124" s="87"/>
      <c r="O124" s="87"/>
      <c r="P124" s="87"/>
    </row>
    <row r="125" spans="2:16" x14ac:dyDescent="0.25">
      <c r="B125" s="25" t="s">
        <v>60</v>
      </c>
      <c r="C125" s="99" t="str">
        <f>Summary!$E$172&amp;" / share"</f>
        <v>USD / share</v>
      </c>
      <c r="D125" s="25"/>
      <c r="E125" s="25"/>
      <c r="F125" s="88">
        <f t="shared" ref="F125:P125" si="85">F127/F109</f>
        <v>100</v>
      </c>
      <c r="G125" s="88">
        <f t="shared" si="85"/>
        <v>100</v>
      </c>
      <c r="H125" s="88">
        <f t="shared" si="85"/>
        <v>100</v>
      </c>
      <c r="I125" s="88">
        <f t="shared" si="85"/>
        <v>100</v>
      </c>
      <c r="J125" s="88">
        <f t="shared" si="85"/>
        <v>100</v>
      </c>
      <c r="K125" s="88">
        <f t="shared" si="85"/>
        <v>100</v>
      </c>
      <c r="L125" s="88">
        <f t="shared" si="85"/>
        <v>100</v>
      </c>
      <c r="M125" s="88">
        <f t="shared" si="85"/>
        <v>100</v>
      </c>
      <c r="N125" s="88">
        <f t="shared" si="85"/>
        <v>100</v>
      </c>
      <c r="O125" s="88">
        <f t="shared" si="85"/>
        <v>100</v>
      </c>
      <c r="P125" s="88">
        <f t="shared" si="85"/>
        <v>100</v>
      </c>
    </row>
    <row r="126" spans="2:16" x14ac:dyDescent="0.25">
      <c r="B126" s="25"/>
      <c r="C126" s="99"/>
      <c r="D126" s="25"/>
      <c r="E126" s="25"/>
      <c r="F126" s="35"/>
      <c r="G126" s="88"/>
      <c r="H126" s="88"/>
      <c r="I126" s="88"/>
      <c r="J126" s="88"/>
      <c r="K126" s="88"/>
      <c r="L126" s="88"/>
      <c r="M126" s="88"/>
      <c r="N126" s="88"/>
      <c r="O126" s="88"/>
      <c r="P126" s="88"/>
    </row>
    <row r="127" spans="2:16" x14ac:dyDescent="0.25">
      <c r="B127" s="25" t="s">
        <v>49</v>
      </c>
      <c r="C127" s="99" t="str">
        <f>Summary!$E$172</f>
        <v>USD</v>
      </c>
      <c r="D127" s="25"/>
      <c r="E127" s="25"/>
      <c r="F127" s="209">
        <v>100000</v>
      </c>
      <c r="G127" s="88">
        <f>F129</f>
        <v>107600</v>
      </c>
      <c r="H127" s="88">
        <f>G129</f>
        <v>107600</v>
      </c>
      <c r="I127" s="88">
        <f t="shared" ref="I127:P127" si="86">H129</f>
        <v>107600</v>
      </c>
      <c r="J127" s="88">
        <f t="shared" si="86"/>
        <v>107600</v>
      </c>
      <c r="K127" s="88">
        <f t="shared" si="86"/>
        <v>107600</v>
      </c>
      <c r="L127" s="88">
        <f t="shared" si="86"/>
        <v>107600</v>
      </c>
      <c r="M127" s="88">
        <f t="shared" si="86"/>
        <v>107600</v>
      </c>
      <c r="N127" s="88">
        <f t="shared" si="86"/>
        <v>107600</v>
      </c>
      <c r="O127" s="88">
        <f t="shared" si="86"/>
        <v>107600</v>
      </c>
      <c r="P127" s="88">
        <f t="shared" si="86"/>
        <v>107600</v>
      </c>
    </row>
    <row r="128" spans="2:16" x14ac:dyDescent="0.25">
      <c r="B128" s="25" t="s">
        <v>54</v>
      </c>
      <c r="C128" s="99" t="str">
        <f>Summary!$E$172</f>
        <v>USD</v>
      </c>
      <c r="D128" s="25"/>
      <c r="E128" s="25"/>
      <c r="F128" s="88">
        <f>Summary!E152*F125</f>
        <v>7600</v>
      </c>
      <c r="G128" s="88"/>
      <c r="H128" s="88"/>
      <c r="I128" s="88"/>
      <c r="J128" s="88"/>
      <c r="K128" s="88"/>
      <c r="L128" s="88"/>
      <c r="M128" s="88"/>
      <c r="N128" s="88"/>
      <c r="O128" s="88"/>
      <c r="P128" s="88"/>
    </row>
    <row r="129" spans="2:16" x14ac:dyDescent="0.25">
      <c r="B129" s="210" t="s">
        <v>55</v>
      </c>
      <c r="C129" s="187" t="str">
        <f>Summary!$E$172</f>
        <v>USD</v>
      </c>
      <c r="D129" s="210"/>
      <c r="E129" s="210"/>
      <c r="F129" s="216">
        <f>SUM(F127:F128)</f>
        <v>107600</v>
      </c>
      <c r="G129" s="216">
        <f>SUM(G127:G128)</f>
        <v>107600</v>
      </c>
      <c r="H129" s="216">
        <f>SUM(H127:H128)</f>
        <v>107600</v>
      </c>
      <c r="I129" s="216">
        <f t="shared" ref="I129:P129" si="87">SUM(I127:I128)</f>
        <v>107600</v>
      </c>
      <c r="J129" s="216">
        <f t="shared" si="87"/>
        <v>107600</v>
      </c>
      <c r="K129" s="216">
        <f t="shared" si="87"/>
        <v>107600</v>
      </c>
      <c r="L129" s="216">
        <f t="shared" si="87"/>
        <v>107600</v>
      </c>
      <c r="M129" s="216">
        <f t="shared" si="87"/>
        <v>107600</v>
      </c>
      <c r="N129" s="216">
        <f t="shared" si="87"/>
        <v>107600</v>
      </c>
      <c r="O129" s="216">
        <f t="shared" si="87"/>
        <v>107600</v>
      </c>
      <c r="P129" s="216">
        <f t="shared" si="87"/>
        <v>107600</v>
      </c>
    </row>
    <row r="130" spans="2:16" x14ac:dyDescent="0.25">
      <c r="B130" s="25"/>
      <c r="C130" s="99"/>
      <c r="D130" s="25"/>
      <c r="E130" s="25"/>
      <c r="G130" s="88"/>
      <c r="H130" s="88"/>
      <c r="I130" s="88"/>
      <c r="J130" s="88"/>
      <c r="K130" s="88"/>
      <c r="L130" s="88"/>
      <c r="M130" s="88"/>
      <c r="N130" s="88"/>
      <c r="O130" s="88"/>
      <c r="P130" s="88"/>
    </row>
    <row r="131" spans="2:16" ht="13" x14ac:dyDescent="0.3">
      <c r="B131" s="215" t="s">
        <v>12</v>
      </c>
      <c r="C131" s="185"/>
      <c r="D131" s="18"/>
      <c r="E131" s="18"/>
      <c r="F131" s="60"/>
      <c r="G131" s="87"/>
      <c r="H131" s="87"/>
      <c r="I131" s="87"/>
      <c r="J131" s="87"/>
      <c r="K131" s="87"/>
      <c r="L131" s="87"/>
      <c r="M131" s="87"/>
      <c r="N131" s="87"/>
      <c r="O131" s="87"/>
      <c r="P131" s="87"/>
    </row>
    <row r="132" spans="2:16" x14ac:dyDescent="0.25">
      <c r="B132" s="25" t="s">
        <v>49</v>
      </c>
      <c r="C132" s="99" t="str">
        <f>Summary!$E$172</f>
        <v>USD</v>
      </c>
      <c r="D132" s="25"/>
      <c r="E132" s="25"/>
      <c r="F132" s="58">
        <v>0</v>
      </c>
      <c r="G132" s="88">
        <f>F135</f>
        <v>1591944.4350000017</v>
      </c>
      <c r="H132" s="88">
        <f>G135</f>
        <v>1591944.4350000017</v>
      </c>
      <c r="I132" s="88">
        <f t="shared" ref="I132:P132" si="88">H135</f>
        <v>1591944.4350000017</v>
      </c>
      <c r="J132" s="88">
        <f t="shared" si="88"/>
        <v>1591944.4350000017</v>
      </c>
      <c r="K132" s="88">
        <f t="shared" si="88"/>
        <v>1591944.4350000017</v>
      </c>
      <c r="L132" s="88">
        <f t="shared" si="88"/>
        <v>1591944.4350000017</v>
      </c>
      <c r="M132" s="88">
        <f t="shared" si="88"/>
        <v>1591944.4350000017</v>
      </c>
      <c r="N132" s="88">
        <f t="shared" si="88"/>
        <v>1591944.4350000017</v>
      </c>
      <c r="O132" s="88">
        <f t="shared" si="88"/>
        <v>1591944.4350000017</v>
      </c>
      <c r="P132" s="88">
        <f t="shared" si="88"/>
        <v>1591944.4350000017</v>
      </c>
    </row>
    <row r="133" spans="2:16" x14ac:dyDescent="0.25">
      <c r="B133" s="25" t="s">
        <v>104</v>
      </c>
      <c r="C133" s="99" t="str">
        <f>Summary!$E$172</f>
        <v>USD</v>
      </c>
      <c r="D133" s="25"/>
      <c r="E133" s="25"/>
      <c r="F133" s="220">
        <f>Summary!K142</f>
        <v>1399544.4350000017</v>
      </c>
      <c r="G133" s="88"/>
      <c r="H133" s="88"/>
      <c r="I133" s="88"/>
      <c r="J133" s="88"/>
      <c r="K133" s="88"/>
      <c r="L133" s="88"/>
      <c r="M133" s="88"/>
      <c r="N133" s="88"/>
      <c r="O133" s="88"/>
      <c r="P133" s="88"/>
    </row>
    <row r="134" spans="2:16" x14ac:dyDescent="0.25">
      <c r="B134" s="25" t="s">
        <v>103</v>
      </c>
      <c r="C134" s="99" t="str">
        <f>Summary!$E$172</f>
        <v>USD</v>
      </c>
      <c r="D134" s="25"/>
      <c r="E134" s="25"/>
      <c r="F134" s="212">
        <f>Summary!E150-F128</f>
        <v>192400</v>
      </c>
      <c r="G134" s="88"/>
      <c r="H134" s="88"/>
      <c r="I134" s="88"/>
      <c r="J134" s="88"/>
      <c r="K134" s="88"/>
      <c r="L134" s="88"/>
      <c r="M134" s="88"/>
      <c r="N134" s="88"/>
      <c r="O134" s="88"/>
      <c r="P134" s="88"/>
    </row>
    <row r="135" spans="2:16" x14ac:dyDescent="0.25">
      <c r="B135" s="210" t="s">
        <v>55</v>
      </c>
      <c r="C135" s="187" t="str">
        <f>Summary!$E$172</f>
        <v>USD</v>
      </c>
      <c r="D135" s="210"/>
      <c r="E135" s="210"/>
      <c r="F135" s="216">
        <f t="shared" ref="F135:P135" si="89">SUM(F132:F134)</f>
        <v>1591944.4350000017</v>
      </c>
      <c r="G135" s="216">
        <f t="shared" si="89"/>
        <v>1591944.4350000017</v>
      </c>
      <c r="H135" s="216">
        <f t="shared" si="89"/>
        <v>1591944.4350000017</v>
      </c>
      <c r="I135" s="216">
        <f t="shared" si="89"/>
        <v>1591944.4350000017</v>
      </c>
      <c r="J135" s="216">
        <f t="shared" si="89"/>
        <v>1591944.4350000017</v>
      </c>
      <c r="K135" s="216">
        <f t="shared" si="89"/>
        <v>1591944.4350000017</v>
      </c>
      <c r="L135" s="216">
        <f t="shared" si="89"/>
        <v>1591944.4350000017</v>
      </c>
      <c r="M135" s="216">
        <f t="shared" si="89"/>
        <v>1591944.4350000017</v>
      </c>
      <c r="N135" s="216">
        <f t="shared" si="89"/>
        <v>1591944.4350000017</v>
      </c>
      <c r="O135" s="216">
        <f t="shared" si="89"/>
        <v>1591944.4350000017</v>
      </c>
      <c r="P135" s="216">
        <f t="shared" si="89"/>
        <v>1591944.4350000017</v>
      </c>
    </row>
    <row r="136" spans="2:16" x14ac:dyDescent="0.25">
      <c r="B136" s="25"/>
      <c r="C136" s="99"/>
      <c r="D136" s="25"/>
      <c r="E136" s="25"/>
      <c r="F136" s="35"/>
      <c r="G136" s="88"/>
      <c r="H136" s="88"/>
      <c r="I136" s="88"/>
      <c r="J136" s="88"/>
      <c r="K136" s="88"/>
      <c r="L136" s="88"/>
      <c r="M136" s="88"/>
      <c r="N136" s="88"/>
      <c r="O136" s="88"/>
      <c r="P136" s="88"/>
    </row>
    <row r="137" spans="2:16" ht="13" x14ac:dyDescent="0.3">
      <c r="B137" s="204" t="s">
        <v>50</v>
      </c>
      <c r="C137" s="18"/>
      <c r="D137" s="18"/>
      <c r="E137" s="18"/>
      <c r="F137" s="28"/>
      <c r="G137" s="87"/>
      <c r="H137" s="87"/>
      <c r="I137" s="87"/>
      <c r="J137" s="87"/>
      <c r="K137" s="87"/>
      <c r="L137" s="87"/>
      <c r="M137" s="87"/>
      <c r="N137" s="87"/>
      <c r="O137" s="87"/>
      <c r="P137" s="87"/>
    </row>
    <row r="138" spans="2:16" x14ac:dyDescent="0.25">
      <c r="B138" s="25" t="str">
        <f>Summary!H179</f>
        <v>Reserves in % of Net Income</v>
      </c>
      <c r="C138" s="25" t="s">
        <v>329</v>
      </c>
      <c r="D138" s="25"/>
      <c r="F138" s="214">
        <f>Summary!K179</f>
        <v>0.1</v>
      </c>
      <c r="G138" s="88"/>
      <c r="H138" s="88"/>
      <c r="I138" s="88"/>
      <c r="J138" s="88"/>
      <c r="K138" s="88"/>
      <c r="L138" s="88"/>
      <c r="M138" s="88"/>
      <c r="N138" s="88"/>
      <c r="O138" s="88"/>
      <c r="P138" s="88"/>
    </row>
    <row r="139" spans="2:16" x14ac:dyDescent="0.25">
      <c r="B139" s="25" t="str">
        <f>Summary!H180</f>
        <v>Max reserves in % of nom. capital</v>
      </c>
      <c r="C139" s="25" t="s">
        <v>330</v>
      </c>
      <c r="D139" s="25"/>
      <c r="F139" s="214">
        <f>Summary!K180</f>
        <v>0.5</v>
      </c>
      <c r="G139" s="88"/>
      <c r="H139" s="88"/>
      <c r="I139" s="88"/>
      <c r="J139" s="88"/>
      <c r="K139" s="88"/>
      <c r="L139" s="88"/>
      <c r="M139" s="88"/>
      <c r="N139" s="88"/>
      <c r="O139" s="88"/>
      <c r="P139" s="88"/>
    </row>
    <row r="140" spans="2:16" x14ac:dyDescent="0.25">
      <c r="B140" s="25" t="s">
        <v>49</v>
      </c>
      <c r="C140" s="99" t="str">
        <f>Summary!$E$172</f>
        <v>USD</v>
      </c>
      <c r="D140" s="25"/>
      <c r="E140" s="25"/>
      <c r="F140" s="209">
        <v>10000</v>
      </c>
      <c r="G140" s="88">
        <f>F142</f>
        <v>10000</v>
      </c>
      <c r="H140" s="88">
        <f ca="1">G142</f>
        <v>29325.25</v>
      </c>
      <c r="I140" s="88">
        <f t="shared" ref="I140:P140" ca="1" si="90">H142</f>
        <v>53800</v>
      </c>
      <c r="J140" s="88">
        <f t="shared" ca="1" si="90"/>
        <v>53800</v>
      </c>
      <c r="K140" s="88">
        <f t="shared" ca="1" si="90"/>
        <v>53800</v>
      </c>
      <c r="L140" s="88">
        <f t="shared" ca="1" si="90"/>
        <v>53800</v>
      </c>
      <c r="M140" s="88">
        <f t="shared" ca="1" si="90"/>
        <v>53800</v>
      </c>
      <c r="N140" s="88">
        <f t="shared" ca="1" si="90"/>
        <v>53800</v>
      </c>
      <c r="O140" s="88">
        <f t="shared" ca="1" si="90"/>
        <v>53800</v>
      </c>
      <c r="P140" s="88">
        <f t="shared" ca="1" si="90"/>
        <v>53800</v>
      </c>
    </row>
    <row r="141" spans="2:16" x14ac:dyDescent="0.25">
      <c r="B141" s="25" t="s">
        <v>219</v>
      </c>
      <c r="C141" s="99" t="str">
        <f>Summary!$E$172</f>
        <v>USD</v>
      </c>
      <c r="D141" s="25"/>
      <c r="E141" s="25"/>
      <c r="F141" s="35"/>
      <c r="G141" s="88">
        <f t="shared" ref="G141:P141" ca="1" si="91">IF(G115&gt;0,IF(G140&gt;G129*$F$139,0,IF(G140+($F138*G$115)&gt;$F139*G$129,$F139*G$129-G140,$F$138*G$115)),0)</f>
        <v>19325.25</v>
      </c>
      <c r="H141" s="88">
        <f t="shared" ca="1" si="91"/>
        <v>24474.75</v>
      </c>
      <c r="I141" s="88">
        <f t="shared" ca="1" si="91"/>
        <v>0</v>
      </c>
      <c r="J141" s="88">
        <f t="shared" ca="1" si="91"/>
        <v>0</v>
      </c>
      <c r="K141" s="88">
        <f t="shared" ca="1" si="91"/>
        <v>0</v>
      </c>
      <c r="L141" s="88">
        <f t="shared" ca="1" si="91"/>
        <v>0</v>
      </c>
      <c r="M141" s="88">
        <f t="shared" ca="1" si="91"/>
        <v>0</v>
      </c>
      <c r="N141" s="88">
        <f t="shared" ca="1" si="91"/>
        <v>0</v>
      </c>
      <c r="O141" s="88">
        <f t="shared" ca="1" si="91"/>
        <v>0</v>
      </c>
      <c r="P141" s="88">
        <f t="shared" ca="1" si="91"/>
        <v>0</v>
      </c>
    </row>
    <row r="142" spans="2:16" x14ac:dyDescent="0.25">
      <c r="B142" s="210" t="s">
        <v>55</v>
      </c>
      <c r="C142" s="187" t="str">
        <f>Summary!$E$172</f>
        <v>USD</v>
      </c>
      <c r="D142" s="210"/>
      <c r="E142" s="210"/>
      <c r="F142" s="211">
        <f>SUM(F140:F141)</f>
        <v>10000</v>
      </c>
      <c r="G142" s="211">
        <f ca="1">SUM(G140:G141)</f>
        <v>29325.25</v>
      </c>
      <c r="H142" s="211">
        <f ca="1">SUM(H140:H141)</f>
        <v>53800</v>
      </c>
      <c r="I142" s="211">
        <f t="shared" ref="I142:P142" ca="1" si="92">SUM(I140:I141)</f>
        <v>53800</v>
      </c>
      <c r="J142" s="211">
        <f t="shared" ca="1" si="92"/>
        <v>53800</v>
      </c>
      <c r="K142" s="211">
        <f t="shared" ca="1" si="92"/>
        <v>53800</v>
      </c>
      <c r="L142" s="211">
        <f t="shared" ca="1" si="92"/>
        <v>53800</v>
      </c>
      <c r="M142" s="211">
        <f t="shared" ca="1" si="92"/>
        <v>53800</v>
      </c>
      <c r="N142" s="211">
        <f t="shared" ca="1" si="92"/>
        <v>53800</v>
      </c>
      <c r="O142" s="211">
        <f t="shared" ca="1" si="92"/>
        <v>53800</v>
      </c>
      <c r="P142" s="211">
        <f t="shared" ca="1" si="92"/>
        <v>53800</v>
      </c>
    </row>
    <row r="143" spans="2:16" x14ac:dyDescent="0.25">
      <c r="B143" s="25"/>
      <c r="C143" s="25"/>
      <c r="D143" s="25"/>
      <c r="E143" s="25"/>
      <c r="F143" s="35"/>
      <c r="G143" s="88"/>
      <c r="H143" s="88"/>
      <c r="I143" s="88"/>
      <c r="J143" s="88"/>
      <c r="K143" s="88"/>
      <c r="L143" s="88"/>
      <c r="M143" s="88"/>
      <c r="N143" s="88"/>
      <c r="O143" s="88"/>
      <c r="P143" s="88"/>
    </row>
    <row r="144" spans="2:16" ht="13" x14ac:dyDescent="0.3">
      <c r="B144" s="204" t="s">
        <v>223</v>
      </c>
      <c r="C144" s="18"/>
      <c r="D144" s="18"/>
      <c r="E144" s="18"/>
      <c r="F144" s="28"/>
      <c r="G144" s="87"/>
      <c r="H144" s="87"/>
      <c r="I144" s="87"/>
      <c r="J144" s="87"/>
      <c r="K144" s="87"/>
      <c r="L144" s="87"/>
      <c r="M144" s="87"/>
      <c r="N144" s="87"/>
      <c r="O144" s="87"/>
      <c r="P144" s="87"/>
    </row>
    <row r="145" spans="2:16" x14ac:dyDescent="0.25">
      <c r="B145" s="25" t="s">
        <v>49</v>
      </c>
      <c r="C145" s="99" t="str">
        <f>Summary!$E$172</f>
        <v>USD</v>
      </c>
      <c r="D145" s="25"/>
      <c r="E145" s="25"/>
      <c r="F145" s="220">
        <f>F67-F140-F132-F127</f>
        <v>948702.99000000022</v>
      </c>
      <c r="G145" s="88">
        <f>F147</f>
        <v>948702.99000000022</v>
      </c>
      <c r="H145" s="88">
        <f ca="1">G147</f>
        <v>1035666.6150000002</v>
      </c>
      <c r="I145" s="88">
        <f t="shared" ref="I145:P145" ca="1" si="93">H147</f>
        <v>1202448.2025000001</v>
      </c>
      <c r="J145" s="88">
        <f t="shared" ca="1" si="93"/>
        <v>1645316.175</v>
      </c>
      <c r="K145" s="88">
        <f t="shared" ca="1" si="93"/>
        <v>2127609.5670000003</v>
      </c>
      <c r="L145" s="88">
        <f t="shared" ca="1" si="93"/>
        <v>2645856.3786000004</v>
      </c>
      <c r="M145" s="88">
        <f t="shared" ca="1" si="93"/>
        <v>3198835.5307800006</v>
      </c>
      <c r="N145" s="88">
        <f t="shared" ca="1" si="93"/>
        <v>3718074.1410036013</v>
      </c>
      <c r="O145" s="88">
        <f t="shared" ca="1" si="93"/>
        <v>3958928.5822176374</v>
      </c>
      <c r="P145" s="88">
        <f t="shared" ca="1" si="93"/>
        <v>4180955.9872559542</v>
      </c>
    </row>
    <row r="146" spans="2:16" x14ac:dyDescent="0.25">
      <c r="B146" s="25" t="s">
        <v>83</v>
      </c>
      <c r="C146" s="99" t="str">
        <f>Summary!$E$172</f>
        <v>USD</v>
      </c>
      <c r="D146" s="25"/>
      <c r="E146" s="25"/>
      <c r="G146" s="220">
        <f ca="1">-G121</f>
        <v>86963.625</v>
      </c>
      <c r="H146" s="220">
        <f t="shared" ref="H146:P146" ca="1" si="94">-H121</f>
        <v>166781.58749999997</v>
      </c>
      <c r="I146" s="220">
        <f t="shared" ca="1" si="94"/>
        <v>442867.97249999992</v>
      </c>
      <c r="J146" s="220">
        <f t="shared" ca="1" si="94"/>
        <v>482293.39200000011</v>
      </c>
      <c r="K146" s="220">
        <f t="shared" ca="1" si="94"/>
        <v>518246.81160000013</v>
      </c>
      <c r="L146" s="220">
        <f t="shared" ca="1" si="94"/>
        <v>552979.15218000021</v>
      </c>
      <c r="M146" s="220">
        <f t="shared" ca="1" si="94"/>
        <v>519238.61022360041</v>
      </c>
      <c r="N146" s="220">
        <f t="shared" ca="1" si="94"/>
        <v>240854.44121403596</v>
      </c>
      <c r="O146" s="220">
        <f t="shared" ca="1" si="94"/>
        <v>222027.40503831685</v>
      </c>
      <c r="P146" s="220">
        <f t="shared" ca="1" si="94"/>
        <v>281217.57813908346</v>
      </c>
    </row>
    <row r="147" spans="2:16" x14ac:dyDescent="0.25">
      <c r="B147" s="210" t="s">
        <v>55</v>
      </c>
      <c r="C147" s="187" t="str">
        <f>Summary!$E$172</f>
        <v>USD</v>
      </c>
      <c r="D147" s="210"/>
      <c r="E147" s="210"/>
      <c r="F147" s="216">
        <f t="shared" ref="F147:P147" si="95">SUM(F145:F146)</f>
        <v>948702.99000000022</v>
      </c>
      <c r="G147" s="216">
        <f t="shared" ca="1" si="95"/>
        <v>1035666.6150000002</v>
      </c>
      <c r="H147" s="216">
        <f t="shared" ca="1" si="95"/>
        <v>1202448.2025000001</v>
      </c>
      <c r="I147" s="216">
        <f t="shared" ca="1" si="95"/>
        <v>1645316.175</v>
      </c>
      <c r="J147" s="216">
        <f t="shared" ca="1" si="95"/>
        <v>2127609.5670000003</v>
      </c>
      <c r="K147" s="216">
        <f t="shared" ca="1" si="95"/>
        <v>2645856.3786000004</v>
      </c>
      <c r="L147" s="216">
        <f t="shared" ca="1" si="95"/>
        <v>3198835.5307800006</v>
      </c>
      <c r="M147" s="216">
        <f t="shared" ca="1" si="95"/>
        <v>3718074.1410036013</v>
      </c>
      <c r="N147" s="216">
        <f t="shared" ca="1" si="95"/>
        <v>3958928.5822176374</v>
      </c>
      <c r="O147" s="216">
        <f t="shared" ca="1" si="95"/>
        <v>4180955.9872559542</v>
      </c>
      <c r="P147" s="216">
        <f t="shared" ca="1" si="95"/>
        <v>4462173.5653950376</v>
      </c>
    </row>
    <row r="148" spans="2:16" x14ac:dyDescent="0.25">
      <c r="B148" s="25"/>
      <c r="C148" s="25"/>
      <c r="D148" s="25"/>
      <c r="E148" s="25"/>
      <c r="F148" s="35"/>
      <c r="G148" s="88"/>
      <c r="H148" s="88"/>
      <c r="I148" s="88"/>
      <c r="J148" s="88"/>
      <c r="K148" s="88"/>
      <c r="L148" s="88"/>
      <c r="M148" s="88"/>
      <c r="N148" s="88"/>
      <c r="O148" s="88"/>
      <c r="P148" s="88"/>
    </row>
    <row r="149" spans="2:16" ht="13" x14ac:dyDescent="0.3">
      <c r="B149" s="204" t="s">
        <v>148</v>
      </c>
      <c r="C149" s="18"/>
      <c r="D149" s="18"/>
      <c r="E149" s="18"/>
      <c r="F149" s="28"/>
      <c r="G149" s="87"/>
      <c r="H149" s="87"/>
      <c r="I149" s="87"/>
      <c r="J149" s="87"/>
      <c r="K149" s="87"/>
      <c r="L149" s="87"/>
      <c r="M149" s="87"/>
      <c r="N149" s="87"/>
      <c r="O149" s="87"/>
      <c r="P149" s="87"/>
    </row>
    <row r="150" spans="2:16" x14ac:dyDescent="0.25">
      <c r="B150" s="25" t="s">
        <v>220</v>
      </c>
      <c r="C150" s="99" t="str">
        <f>Summary!$E$172</f>
        <v>USD</v>
      </c>
      <c r="D150" s="25"/>
      <c r="E150" s="25"/>
      <c r="F150" s="88">
        <f>F129</f>
        <v>107600</v>
      </c>
      <c r="G150" s="88">
        <f>G129</f>
        <v>107600</v>
      </c>
      <c r="H150" s="88">
        <f>H129</f>
        <v>107600</v>
      </c>
      <c r="I150" s="88">
        <f t="shared" ref="I150:P150" si="96">I129</f>
        <v>107600</v>
      </c>
      <c r="J150" s="88">
        <f t="shared" si="96"/>
        <v>107600</v>
      </c>
      <c r="K150" s="88">
        <f t="shared" si="96"/>
        <v>107600</v>
      </c>
      <c r="L150" s="88">
        <f t="shared" si="96"/>
        <v>107600</v>
      </c>
      <c r="M150" s="88">
        <f t="shared" si="96"/>
        <v>107600</v>
      </c>
      <c r="N150" s="88">
        <f t="shared" si="96"/>
        <v>107600</v>
      </c>
      <c r="O150" s="88">
        <f t="shared" si="96"/>
        <v>107600</v>
      </c>
      <c r="P150" s="88">
        <f t="shared" si="96"/>
        <v>107600</v>
      </c>
    </row>
    <row r="151" spans="2:16" x14ac:dyDescent="0.25">
      <c r="B151" s="25" t="s">
        <v>221</v>
      </c>
      <c r="C151" s="99" t="str">
        <f>Summary!$E$172</f>
        <v>USD</v>
      </c>
      <c r="D151" s="25"/>
      <c r="E151" s="25"/>
      <c r="F151" s="88">
        <f>F135</f>
        <v>1591944.4350000017</v>
      </c>
      <c r="G151" s="88">
        <f>G135</f>
        <v>1591944.4350000017</v>
      </c>
      <c r="H151" s="88">
        <f>H135</f>
        <v>1591944.4350000017</v>
      </c>
      <c r="I151" s="88">
        <f t="shared" ref="I151:P151" si="97">I135</f>
        <v>1591944.4350000017</v>
      </c>
      <c r="J151" s="88">
        <f t="shared" si="97"/>
        <v>1591944.4350000017</v>
      </c>
      <c r="K151" s="88">
        <f t="shared" si="97"/>
        <v>1591944.4350000017</v>
      </c>
      <c r="L151" s="88">
        <f t="shared" si="97"/>
        <v>1591944.4350000017</v>
      </c>
      <c r="M151" s="88">
        <f t="shared" si="97"/>
        <v>1591944.4350000017</v>
      </c>
      <c r="N151" s="88">
        <f t="shared" si="97"/>
        <v>1591944.4350000017</v>
      </c>
      <c r="O151" s="88">
        <f t="shared" si="97"/>
        <v>1591944.4350000017</v>
      </c>
      <c r="P151" s="88">
        <f t="shared" si="97"/>
        <v>1591944.4350000017</v>
      </c>
    </row>
    <row r="152" spans="2:16" x14ac:dyDescent="0.25">
      <c r="B152" s="25" t="s">
        <v>113</v>
      </c>
      <c r="C152" s="99" t="str">
        <f>Summary!$E$172</f>
        <v>USD</v>
      </c>
      <c r="D152" s="25"/>
      <c r="E152" s="25"/>
      <c r="F152" s="88">
        <f>F142</f>
        <v>10000</v>
      </c>
      <c r="G152" s="88">
        <f ca="1">G142</f>
        <v>29325.25</v>
      </c>
      <c r="H152" s="88">
        <f ca="1">H142</f>
        <v>53800</v>
      </c>
      <c r="I152" s="88">
        <f t="shared" ref="I152:P152" ca="1" si="98">I142</f>
        <v>53800</v>
      </c>
      <c r="J152" s="88">
        <f t="shared" ca="1" si="98"/>
        <v>53800</v>
      </c>
      <c r="K152" s="88">
        <f t="shared" ca="1" si="98"/>
        <v>53800</v>
      </c>
      <c r="L152" s="88">
        <f t="shared" ca="1" si="98"/>
        <v>53800</v>
      </c>
      <c r="M152" s="88">
        <f t="shared" ca="1" si="98"/>
        <v>53800</v>
      </c>
      <c r="N152" s="88">
        <f t="shared" ca="1" si="98"/>
        <v>53800</v>
      </c>
      <c r="O152" s="88">
        <f t="shared" ca="1" si="98"/>
        <v>53800</v>
      </c>
      <c r="P152" s="88">
        <f t="shared" ca="1" si="98"/>
        <v>53800</v>
      </c>
    </row>
    <row r="153" spans="2:16" x14ac:dyDescent="0.25">
      <c r="B153" s="25" t="s">
        <v>222</v>
      </c>
      <c r="C153" s="99" t="str">
        <f>Summary!$E$172</f>
        <v>USD</v>
      </c>
      <c r="D153" s="25"/>
      <c r="E153" s="25"/>
      <c r="F153" s="88">
        <f>F147</f>
        <v>948702.99000000022</v>
      </c>
      <c r="G153" s="88">
        <f ca="1">G147</f>
        <v>1035666.6150000002</v>
      </c>
      <c r="H153" s="88">
        <f ca="1">H147</f>
        <v>1202448.2025000001</v>
      </c>
      <c r="I153" s="88">
        <f t="shared" ref="I153:P153" ca="1" si="99">I147</f>
        <v>1645316.175</v>
      </c>
      <c r="J153" s="88">
        <f t="shared" ca="1" si="99"/>
        <v>2127609.5670000003</v>
      </c>
      <c r="K153" s="88">
        <f t="shared" ca="1" si="99"/>
        <v>2645856.3786000004</v>
      </c>
      <c r="L153" s="88">
        <f t="shared" ca="1" si="99"/>
        <v>3198835.5307800006</v>
      </c>
      <c r="M153" s="88">
        <f t="shared" ca="1" si="99"/>
        <v>3718074.1410036013</v>
      </c>
      <c r="N153" s="88">
        <f t="shared" ca="1" si="99"/>
        <v>3958928.5822176374</v>
      </c>
      <c r="O153" s="88">
        <f t="shared" ca="1" si="99"/>
        <v>4180955.9872559542</v>
      </c>
      <c r="P153" s="88">
        <f t="shared" ca="1" si="99"/>
        <v>4462173.5653950376</v>
      </c>
    </row>
    <row r="154" spans="2:16" x14ac:dyDescent="0.25">
      <c r="B154" s="210" t="s">
        <v>28</v>
      </c>
      <c r="C154" s="187" t="str">
        <f>Summary!$E$172</f>
        <v>USD</v>
      </c>
      <c r="D154" s="210"/>
      <c r="E154" s="210"/>
      <c r="F154" s="211">
        <f>SUM(F150:F153)</f>
        <v>2658247.4250000017</v>
      </c>
      <c r="G154" s="211">
        <f ca="1">SUM(G150:G153)</f>
        <v>2764536.3000000017</v>
      </c>
      <c r="H154" s="211">
        <f ca="1">SUM(H150:H153)</f>
        <v>2955792.637500002</v>
      </c>
      <c r="I154" s="211">
        <f t="shared" ref="I154:P154" ca="1" si="100">SUM(I150:I153)</f>
        <v>3398660.6100000017</v>
      </c>
      <c r="J154" s="211">
        <f t="shared" ca="1" si="100"/>
        <v>3880954.0020000022</v>
      </c>
      <c r="K154" s="211">
        <f t="shared" ca="1" si="100"/>
        <v>4399200.8136000019</v>
      </c>
      <c r="L154" s="211">
        <f t="shared" ca="1" si="100"/>
        <v>4952179.9657800021</v>
      </c>
      <c r="M154" s="211">
        <f t="shared" ca="1" si="100"/>
        <v>5471418.5760036027</v>
      </c>
      <c r="N154" s="211">
        <f t="shared" ca="1" si="100"/>
        <v>5712273.0172176389</v>
      </c>
      <c r="O154" s="211">
        <f t="shared" ca="1" si="100"/>
        <v>5934300.4222559556</v>
      </c>
      <c r="P154" s="211">
        <f t="shared" ca="1" si="100"/>
        <v>6215518.0003950391</v>
      </c>
    </row>
    <row r="155" spans="2:16" x14ac:dyDescent="0.25">
      <c r="B155" s="25" t="s">
        <v>107</v>
      </c>
      <c r="C155" s="99" t="str">
        <f>Summary!$E$172</f>
        <v>USD</v>
      </c>
      <c r="D155" s="25"/>
      <c r="E155" s="25"/>
      <c r="F155" s="88">
        <f>SUM(F133:F134)+F128</f>
        <v>1599544.4350000017</v>
      </c>
      <c r="G155" s="88"/>
      <c r="H155" s="88"/>
      <c r="I155" s="88"/>
      <c r="J155" s="88"/>
      <c r="K155" s="88"/>
      <c r="L155" s="88"/>
      <c r="M155" s="88"/>
      <c r="N155" s="88"/>
      <c r="O155" s="88"/>
      <c r="P155" s="88"/>
    </row>
    <row r="157" spans="2:16" x14ac:dyDescent="0.25">
      <c r="B157" s="25"/>
      <c r="C157" s="25"/>
      <c r="D157" s="25"/>
      <c r="E157" s="25"/>
      <c r="F157" s="35"/>
      <c r="G157" s="88"/>
      <c r="H157" s="88"/>
      <c r="I157" s="88"/>
      <c r="J157" s="88"/>
      <c r="K157" s="88"/>
      <c r="L157" s="88"/>
      <c r="M157" s="88"/>
      <c r="N157" s="88"/>
      <c r="O157" s="88"/>
      <c r="P157" s="88"/>
    </row>
    <row r="159" spans="2:16" ht="15.5" x14ac:dyDescent="0.35">
      <c r="B159" s="31" t="str">
        <f>"All amounts in "&amp;Summary!$E$172</f>
        <v>All amounts in USD</v>
      </c>
      <c r="C159" s="31"/>
      <c r="D159" s="31"/>
      <c r="E159" s="31"/>
      <c r="F159" s="13"/>
      <c r="G159" s="13"/>
      <c r="H159" s="13"/>
      <c r="I159" s="13"/>
      <c r="J159" s="13"/>
      <c r="K159" s="13"/>
      <c r="L159" s="13"/>
      <c r="M159" s="13"/>
      <c r="N159" s="13"/>
      <c r="O159" s="13"/>
      <c r="P159" s="13"/>
    </row>
    <row r="160" spans="2:16" ht="15.5" x14ac:dyDescent="0.35">
      <c r="B160" s="52" t="s">
        <v>377</v>
      </c>
      <c r="C160" s="52"/>
      <c r="D160" s="111">
        <f t="shared" ref="D160:P160" ca="1" si="101">D$20</f>
        <v>2017</v>
      </c>
      <c r="E160" s="111">
        <f t="shared" ca="1" si="101"/>
        <v>2018</v>
      </c>
      <c r="F160" s="111">
        <f t="shared" ca="1" si="101"/>
        <v>2019</v>
      </c>
      <c r="G160" s="312">
        <f t="shared" ca="1" si="101"/>
        <v>2020</v>
      </c>
      <c r="H160" s="70">
        <f t="shared" ca="1" si="101"/>
        <v>2021</v>
      </c>
      <c r="I160" s="70">
        <f t="shared" ca="1" si="101"/>
        <v>2022</v>
      </c>
      <c r="J160" s="70">
        <f t="shared" ca="1" si="101"/>
        <v>2023</v>
      </c>
      <c r="K160" s="70">
        <f t="shared" ca="1" si="101"/>
        <v>2024</v>
      </c>
      <c r="L160" s="70">
        <f t="shared" ca="1" si="101"/>
        <v>2025</v>
      </c>
      <c r="M160" s="70">
        <f t="shared" ca="1" si="101"/>
        <v>2026</v>
      </c>
      <c r="N160" s="70">
        <f t="shared" ca="1" si="101"/>
        <v>2027</v>
      </c>
      <c r="O160" s="70">
        <f t="shared" ca="1" si="101"/>
        <v>2028</v>
      </c>
      <c r="P160" s="70">
        <f t="shared" ca="1" si="101"/>
        <v>2029</v>
      </c>
    </row>
    <row r="161" spans="2:16" ht="12" customHeight="1" x14ac:dyDescent="0.35">
      <c r="B161" s="118"/>
      <c r="C161" s="118"/>
      <c r="D161" s="142"/>
      <c r="E161" s="142"/>
      <c r="F161" s="142"/>
      <c r="G161" s="142"/>
      <c r="H161" s="142"/>
      <c r="I161" s="142"/>
      <c r="J161" s="142"/>
      <c r="K161" s="142"/>
      <c r="L161" s="142"/>
      <c r="M161" s="142"/>
      <c r="N161" s="142"/>
      <c r="O161" s="142"/>
      <c r="P161" s="142"/>
    </row>
    <row r="162" spans="2:16" ht="12" customHeight="1" x14ac:dyDescent="0.35">
      <c r="B162" s="170" t="s">
        <v>123</v>
      </c>
      <c r="C162" s="185"/>
      <c r="D162" s="186"/>
      <c r="E162" s="186"/>
      <c r="F162" s="186"/>
      <c r="G162" s="186"/>
      <c r="H162" s="186"/>
      <c r="I162" s="186"/>
      <c r="J162" s="186"/>
      <c r="K162" s="186"/>
      <c r="L162" s="186"/>
      <c r="M162" s="186"/>
      <c r="N162" s="186"/>
      <c r="O162" s="186"/>
      <c r="P162" s="186"/>
    </row>
    <row r="163" spans="2:16" ht="12" customHeight="1" x14ac:dyDescent="0.25">
      <c r="B163" s="35" t="s">
        <v>29</v>
      </c>
      <c r="C163" s="99" t="str">
        <f>Summary!$E$172</f>
        <v>USD</v>
      </c>
      <c r="D163" s="90">
        <f>SUM(D56:D58)-SUM(D63:D64)</f>
        <v>900000</v>
      </c>
      <c r="E163" s="90">
        <f>SUM(E56:E58)-SUM(E63:E64)</f>
        <v>900000</v>
      </c>
      <c r="F163" s="90">
        <f>SUM(F56:F58)-SUM(F63:F64)</f>
        <v>900000</v>
      </c>
      <c r="G163" s="90">
        <f>SUM(G56:G58)-SUM(G63:G64)</f>
        <v>700000</v>
      </c>
      <c r="H163" s="90">
        <f>SUM(H56:H58)-SUM(H63:H64)</f>
        <v>904422.27534246584</v>
      </c>
      <c r="I163" s="90">
        <f t="shared" ref="I163:P163" si="102">SUM(I56:I58)-SUM(I63:I64)</f>
        <v>997546.07835616462</v>
      </c>
      <c r="J163" s="90">
        <f t="shared" si="102"/>
        <v>1100250.4192191786</v>
      </c>
      <c r="K163" s="90">
        <f t="shared" si="102"/>
        <v>1155262.9401801373</v>
      </c>
      <c r="L163" s="90">
        <f t="shared" si="102"/>
        <v>1213026.0871891445</v>
      </c>
      <c r="M163" s="90">
        <f t="shared" si="102"/>
        <v>1237286.6089329275</v>
      </c>
      <c r="N163" s="90">
        <f t="shared" si="102"/>
        <v>1262032.341111586</v>
      </c>
      <c r="O163" s="90">
        <f t="shared" si="102"/>
        <v>1287272.9879338176</v>
      </c>
      <c r="P163" s="205">
        <f t="shared" si="102"/>
        <v>1313018.4476924941</v>
      </c>
    </row>
    <row r="164" spans="2:16" ht="12" customHeight="1" x14ac:dyDescent="0.25">
      <c r="B164" s="35" t="s">
        <v>0</v>
      </c>
      <c r="C164" s="99" t="str">
        <f>Summary!$E$172</f>
        <v>USD</v>
      </c>
      <c r="D164" s="90">
        <f t="shared" ref="D164:P164" si="103">D59</f>
        <v>0</v>
      </c>
      <c r="E164" s="90">
        <f t="shared" si="103"/>
        <v>0</v>
      </c>
      <c r="F164" s="90">
        <f t="shared" si="103"/>
        <v>0</v>
      </c>
      <c r="G164" s="90">
        <f t="shared" si="103"/>
        <v>1599544.4350000017</v>
      </c>
      <c r="H164" s="90">
        <f t="shared" si="103"/>
        <v>1599544.4350000017</v>
      </c>
      <c r="I164" s="90">
        <f t="shared" si="103"/>
        <v>1599544.4350000017</v>
      </c>
      <c r="J164" s="90">
        <f t="shared" si="103"/>
        <v>1599544.4350000017</v>
      </c>
      <c r="K164" s="90">
        <f t="shared" si="103"/>
        <v>1599544.4350000017</v>
      </c>
      <c r="L164" s="90">
        <f t="shared" si="103"/>
        <v>1599544.4350000017</v>
      </c>
      <c r="M164" s="90">
        <f t="shared" si="103"/>
        <v>1599544.4350000017</v>
      </c>
      <c r="N164" s="90">
        <f t="shared" si="103"/>
        <v>1599544.4350000017</v>
      </c>
      <c r="O164" s="90">
        <f t="shared" si="103"/>
        <v>1599544.4350000017</v>
      </c>
      <c r="P164" s="90">
        <f t="shared" si="103"/>
        <v>1599544.4350000017</v>
      </c>
    </row>
    <row r="165" spans="2:16" ht="12" customHeight="1" x14ac:dyDescent="0.25">
      <c r="B165" s="35" t="s">
        <v>30</v>
      </c>
      <c r="C165" s="101" t="str">
        <f>Summary!$E$172</f>
        <v>USD</v>
      </c>
      <c r="D165" s="90">
        <f>D60</f>
        <v>1500000</v>
      </c>
      <c r="E165" s="90">
        <f>E60</f>
        <v>1325000</v>
      </c>
      <c r="F165" s="90">
        <f>F60</f>
        <v>1774500</v>
      </c>
      <c r="G165" s="90">
        <f>G60</f>
        <v>2095775</v>
      </c>
      <c r="H165" s="90">
        <f>H60</f>
        <v>3099600</v>
      </c>
      <c r="I165" s="90">
        <f t="shared" ref="I165:P165" si="104">I60</f>
        <v>2932150</v>
      </c>
      <c r="J165" s="90">
        <f t="shared" si="104"/>
        <v>2724700</v>
      </c>
      <c r="K165" s="90">
        <f t="shared" si="104"/>
        <v>2477250</v>
      </c>
      <c r="L165" s="90">
        <f t="shared" si="104"/>
        <v>2589800</v>
      </c>
      <c r="M165" s="90">
        <f t="shared" si="104"/>
        <v>2622350</v>
      </c>
      <c r="N165" s="90">
        <f t="shared" si="104"/>
        <v>2574900</v>
      </c>
      <c r="O165" s="90">
        <f t="shared" si="104"/>
        <v>2447450</v>
      </c>
      <c r="P165" s="206">
        <f t="shared" si="104"/>
        <v>2447450</v>
      </c>
    </row>
    <row r="166" spans="2:16" ht="12" customHeight="1" x14ac:dyDescent="0.25">
      <c r="B166" s="162" t="s">
        <v>124</v>
      </c>
      <c r="C166" s="99" t="str">
        <f>Summary!$E$172</f>
        <v>USD</v>
      </c>
      <c r="D166" s="188">
        <f>SUM(D163:D165)</f>
        <v>2400000</v>
      </c>
      <c r="E166" s="188">
        <f>SUM(E163:E165)</f>
        <v>2225000</v>
      </c>
      <c r="F166" s="188">
        <f>SUM(F163:F165)</f>
        <v>2674500</v>
      </c>
      <c r="G166" s="188">
        <f>SUM(G163:G165)</f>
        <v>4395319.4350000015</v>
      </c>
      <c r="H166" s="188">
        <f>SUM(H163:H165)</f>
        <v>5603566.7103424678</v>
      </c>
      <c r="I166" s="188">
        <f t="shared" ref="I166:P166" si="105">SUM(I163:I165)</f>
        <v>5529240.513356166</v>
      </c>
      <c r="J166" s="188">
        <f t="shared" si="105"/>
        <v>5424494.8542191805</v>
      </c>
      <c r="K166" s="188">
        <f t="shared" si="105"/>
        <v>5232057.3751801392</v>
      </c>
      <c r="L166" s="188">
        <f t="shared" si="105"/>
        <v>5402370.5221891459</v>
      </c>
      <c r="M166" s="188">
        <f t="shared" si="105"/>
        <v>5459181.0439329296</v>
      </c>
      <c r="N166" s="188">
        <f t="shared" si="105"/>
        <v>5436476.7761115879</v>
      </c>
      <c r="O166" s="188">
        <f t="shared" si="105"/>
        <v>5334267.4229338188</v>
      </c>
      <c r="P166" s="90">
        <f t="shared" si="105"/>
        <v>5360012.8826924954</v>
      </c>
    </row>
    <row r="167" spans="2:16" ht="12" customHeight="1" x14ac:dyDescent="0.35">
      <c r="B167" s="35"/>
      <c r="C167" s="99"/>
      <c r="D167" s="142"/>
      <c r="E167" s="142"/>
      <c r="F167" s="142"/>
      <c r="G167" s="142"/>
      <c r="H167" s="142"/>
      <c r="I167" s="142"/>
      <c r="J167" s="142"/>
      <c r="K167" s="142"/>
      <c r="L167" s="142"/>
      <c r="M167" s="142"/>
      <c r="N167" s="142"/>
      <c r="O167" s="142"/>
      <c r="P167" s="142"/>
    </row>
    <row r="168" spans="2:16" ht="12" customHeight="1" x14ac:dyDescent="0.35">
      <c r="B168" s="170" t="s">
        <v>125</v>
      </c>
      <c r="C168" s="185"/>
      <c r="D168" s="186"/>
      <c r="E168" s="186"/>
      <c r="F168" s="186"/>
      <c r="G168" s="186"/>
      <c r="H168" s="186"/>
      <c r="I168" s="186"/>
      <c r="J168" s="186"/>
      <c r="K168" s="186"/>
      <c r="L168" s="186"/>
      <c r="M168" s="186"/>
      <c r="N168" s="186"/>
      <c r="O168" s="186"/>
      <c r="P168" s="186"/>
    </row>
    <row r="169" spans="2:16" ht="12" customHeight="1" x14ac:dyDescent="0.25">
      <c r="B169" s="35" t="s">
        <v>126</v>
      </c>
      <c r="C169" s="99" t="str">
        <f>Summary!$E$172</f>
        <v>USD</v>
      </c>
      <c r="D169" s="90">
        <f>D67</f>
        <v>600000</v>
      </c>
      <c r="E169" s="90">
        <f>E67</f>
        <v>720000</v>
      </c>
      <c r="F169" s="90">
        <f>F67</f>
        <v>1058702.9900000002</v>
      </c>
      <c r="G169" s="90">
        <f>G67</f>
        <v>2831767.4250000017</v>
      </c>
      <c r="H169" s="90">
        <f ca="1">H67</f>
        <v>2955792.637500002</v>
      </c>
      <c r="I169" s="90">
        <f t="shared" ref="I169:O169" ca="1" si="106">I67</f>
        <v>3398660.6100000017</v>
      </c>
      <c r="J169" s="90">
        <f t="shared" ca="1" si="106"/>
        <v>3880954.0020000022</v>
      </c>
      <c r="K169" s="90">
        <f t="shared" ca="1" si="106"/>
        <v>4399200.8136000019</v>
      </c>
      <c r="L169" s="90">
        <f t="shared" ca="1" si="106"/>
        <v>4952179.9657800021</v>
      </c>
      <c r="M169" s="90">
        <f t="shared" ca="1" si="106"/>
        <v>5471418.5760036027</v>
      </c>
      <c r="N169" s="90">
        <f t="shared" ca="1" si="106"/>
        <v>5712273.0172176389</v>
      </c>
      <c r="O169" s="90">
        <f t="shared" ca="1" si="106"/>
        <v>5934300.4222559556</v>
      </c>
      <c r="P169" s="90">
        <f ca="1">P67</f>
        <v>6215518.0003950391</v>
      </c>
    </row>
    <row r="170" spans="2:16" ht="12" customHeight="1" x14ac:dyDescent="0.25">
      <c r="B170" s="35" t="s">
        <v>127</v>
      </c>
      <c r="C170" s="101" t="str">
        <f>Summary!$E$172</f>
        <v>USD</v>
      </c>
      <c r="D170" s="90">
        <f>D66+D65-D55</f>
        <v>1800000</v>
      </c>
      <c r="E170" s="90">
        <f>E66+E65-E55</f>
        <v>1505000</v>
      </c>
      <c r="F170" s="90">
        <f>F66+F65-F55</f>
        <v>1615797.01</v>
      </c>
      <c r="G170" s="90">
        <f ca="1">G66+G65-G55</f>
        <v>1563552.01</v>
      </c>
      <c r="H170" s="90">
        <f ca="1">H66+H65-H55</f>
        <v>2647774.0728424657</v>
      </c>
      <c r="I170" s="90">
        <f t="shared" ref="I170:O170" ca="1" si="107">I66+I65-I55</f>
        <v>2130579.9033561647</v>
      </c>
      <c r="J170" s="90">
        <f t="shared" ca="1" si="107"/>
        <v>1543540.852219179</v>
      </c>
      <c r="K170" s="90">
        <f t="shared" ca="1" si="107"/>
        <v>832856.56158013758</v>
      </c>
      <c r="L170" s="90">
        <f t="shared" ca="1" si="107"/>
        <v>450190.55640914431</v>
      </c>
      <c r="M170" s="90">
        <f t="shared" ca="1" si="107"/>
        <v>-12237.532070673304</v>
      </c>
      <c r="N170" s="90">
        <f t="shared" ca="1" si="107"/>
        <v>-275796.24110605079</v>
      </c>
      <c r="O170" s="90">
        <f t="shared" ca="1" si="107"/>
        <v>-600032.99932213582</v>
      </c>
      <c r="P170" s="90">
        <f ca="1">P66+P65-P55</f>
        <v>-855505.11770254292</v>
      </c>
    </row>
    <row r="171" spans="2:16" ht="12" customHeight="1" x14ac:dyDescent="0.25">
      <c r="B171" s="162" t="s">
        <v>124</v>
      </c>
      <c r="C171" s="99" t="str">
        <f>Summary!$E$172</f>
        <v>USD</v>
      </c>
      <c r="D171" s="188">
        <f t="shared" ref="D171:P171" si="108">SUM(D168:D170)</f>
        <v>2400000</v>
      </c>
      <c r="E171" s="188">
        <f t="shared" si="108"/>
        <v>2225000</v>
      </c>
      <c r="F171" s="188">
        <f t="shared" si="108"/>
        <v>2674500</v>
      </c>
      <c r="G171" s="188">
        <f t="shared" ca="1" si="108"/>
        <v>4395319.4350000015</v>
      </c>
      <c r="H171" s="188">
        <f t="shared" ca="1" si="108"/>
        <v>5603566.7103424678</v>
      </c>
      <c r="I171" s="188">
        <f t="shared" ca="1" si="108"/>
        <v>5529240.513356166</v>
      </c>
      <c r="J171" s="188">
        <f t="shared" ca="1" si="108"/>
        <v>5424494.8542191815</v>
      </c>
      <c r="K171" s="188">
        <f t="shared" ca="1" si="108"/>
        <v>5232057.3751801392</v>
      </c>
      <c r="L171" s="188">
        <f t="shared" ca="1" si="108"/>
        <v>5402370.5221891459</v>
      </c>
      <c r="M171" s="188">
        <f t="shared" ca="1" si="108"/>
        <v>5459181.0439329296</v>
      </c>
      <c r="N171" s="188">
        <f t="shared" ca="1" si="108"/>
        <v>5436476.7761115879</v>
      </c>
      <c r="O171" s="188">
        <f t="shared" ca="1" si="108"/>
        <v>5334267.4229338197</v>
      </c>
      <c r="P171" s="90">
        <f t="shared" ca="1" si="108"/>
        <v>5360012.8826924963</v>
      </c>
    </row>
    <row r="172" spans="2:16" s="233" customFormat="1" ht="12" customHeight="1" x14ac:dyDescent="0.35">
      <c r="B172" s="238" t="s">
        <v>144</v>
      </c>
      <c r="C172" s="239"/>
      <c r="D172" s="240">
        <f t="shared" ref="D172:P172" si="109">D166-D171</f>
        <v>0</v>
      </c>
      <c r="E172" s="240">
        <f t="shared" si="109"/>
        <v>0</v>
      </c>
      <c r="F172" s="240">
        <f t="shared" si="109"/>
        <v>0</v>
      </c>
      <c r="G172" s="240">
        <f t="shared" ca="1" si="109"/>
        <v>0</v>
      </c>
      <c r="H172" s="240">
        <f t="shared" ca="1" si="109"/>
        <v>0</v>
      </c>
      <c r="I172" s="240">
        <f t="shared" ca="1" si="109"/>
        <v>0</v>
      </c>
      <c r="J172" s="240">
        <f t="shared" ca="1" si="109"/>
        <v>0</v>
      </c>
      <c r="K172" s="240">
        <f t="shared" ca="1" si="109"/>
        <v>0</v>
      </c>
      <c r="L172" s="240">
        <f t="shared" ca="1" si="109"/>
        <v>0</v>
      </c>
      <c r="M172" s="240">
        <f t="shared" ca="1" si="109"/>
        <v>0</v>
      </c>
      <c r="N172" s="240">
        <f t="shared" ca="1" si="109"/>
        <v>0</v>
      </c>
      <c r="O172" s="240">
        <f t="shared" ca="1" si="109"/>
        <v>0</v>
      </c>
      <c r="P172" s="240">
        <f t="shared" ca="1" si="109"/>
        <v>0</v>
      </c>
    </row>
    <row r="173" spans="2:16" ht="12" customHeight="1" x14ac:dyDescent="0.35">
      <c r="B173" s="118"/>
      <c r="C173" s="118"/>
      <c r="D173" s="142"/>
      <c r="E173" s="142"/>
      <c r="F173" s="142"/>
      <c r="G173" s="142"/>
      <c r="H173" s="142"/>
      <c r="I173" s="142"/>
      <c r="J173" s="142"/>
      <c r="K173" s="142"/>
      <c r="L173" s="142"/>
      <c r="M173" s="142"/>
      <c r="N173" s="142"/>
      <c r="O173" s="142"/>
      <c r="P173" s="142"/>
    </row>
    <row r="174" spans="2:16" ht="12" customHeight="1" x14ac:dyDescent="0.25">
      <c r="B174" s="35" t="s">
        <v>349</v>
      </c>
      <c r="C174" s="99" t="str">
        <f>Summary!$E$172</f>
        <v>USD</v>
      </c>
      <c r="D174" s="90">
        <f>SUM(D65:D66)</f>
        <v>2000000</v>
      </c>
      <c r="E174" s="90">
        <f t="shared" ref="E174:P174" si="110">SUM(E65:E66)</f>
        <v>2000000</v>
      </c>
      <c r="F174" s="90">
        <f t="shared" si="110"/>
        <v>2000000</v>
      </c>
      <c r="G174" s="90">
        <f t="shared" ca="1" si="110"/>
        <v>3400000</v>
      </c>
      <c r="H174" s="90">
        <f t="shared" ca="1" si="110"/>
        <v>2790000</v>
      </c>
      <c r="I174" s="90">
        <f t="shared" ca="1" si="110"/>
        <v>1685000</v>
      </c>
      <c r="J174" s="90">
        <f t="shared" ca="1" si="110"/>
        <v>1105000</v>
      </c>
      <c r="K174" s="90">
        <f t="shared" ca="1" si="110"/>
        <v>425000</v>
      </c>
      <c r="L174" s="90">
        <f t="shared" ca="1" si="110"/>
        <v>50000</v>
      </c>
      <c r="M174" s="90">
        <f t="shared" ca="1" si="110"/>
        <v>0</v>
      </c>
      <c r="N174" s="90">
        <f t="shared" ca="1" si="110"/>
        <v>0</v>
      </c>
      <c r="O174" s="90">
        <f t="shared" ca="1" si="110"/>
        <v>0</v>
      </c>
      <c r="P174" s="90">
        <f t="shared" ca="1" si="110"/>
        <v>0</v>
      </c>
    </row>
    <row r="175" spans="2:16" ht="12" customHeight="1" x14ac:dyDescent="0.25">
      <c r="B175" s="35" t="s">
        <v>301</v>
      </c>
      <c r="C175" s="35" t="s">
        <v>332</v>
      </c>
      <c r="D175" s="189">
        <f t="shared" ref="D175:P175" si="111">IF(ISERR((D174)/D33),"NA",(D174)/D33)</f>
        <v>4</v>
      </c>
      <c r="E175" s="189">
        <f t="shared" si="111"/>
        <v>3.5087719298245612</v>
      </c>
      <c r="F175" s="189">
        <f t="shared" si="111"/>
        <v>2.9576917428300624</v>
      </c>
      <c r="G175" s="189">
        <f t="shared" ca="1" si="111"/>
        <v>4.1654160209250897</v>
      </c>
      <c r="H175" s="189">
        <f t="shared" ca="1" si="111"/>
        <v>2.7513873056906681</v>
      </c>
      <c r="I175" s="189">
        <f t="shared" ca="1" si="111"/>
        <v>1.3523918872442584</v>
      </c>
      <c r="J175" s="189">
        <f t="shared" ca="1" si="111"/>
        <v>0.85081294784483663</v>
      </c>
      <c r="K175" s="189">
        <f t="shared" ca="1" si="111"/>
        <v>0.31165309444865813</v>
      </c>
      <c r="L175" s="189">
        <f t="shared" ca="1" si="111"/>
        <v>3.4919114223939285E-2</v>
      </c>
      <c r="M175" s="189">
        <f t="shared" ca="1" si="111"/>
        <v>0</v>
      </c>
      <c r="N175" s="189">
        <f t="shared" ca="1" si="111"/>
        <v>0</v>
      </c>
      <c r="O175" s="189">
        <f t="shared" ca="1" si="111"/>
        <v>0</v>
      </c>
      <c r="P175" s="189">
        <f t="shared" ca="1" si="111"/>
        <v>0</v>
      </c>
    </row>
    <row r="176" spans="2:16" ht="12" customHeight="1" x14ac:dyDescent="0.25">
      <c r="B176" s="35" t="s">
        <v>66</v>
      </c>
      <c r="C176" s="35" t="s">
        <v>333</v>
      </c>
      <c r="D176" s="189">
        <f>IF(ISERR(D170/D$33),"NA",D170/D$33)</f>
        <v>3.6</v>
      </c>
      <c r="E176" s="189">
        <f t="shared" ref="E176:P176" si="112">IF(ISERR(E170/E$33),"NA",E170/E$33)</f>
        <v>2.6403508771929824</v>
      </c>
      <c r="F176" s="189">
        <f t="shared" si="112"/>
        <v>2.3895147372832519</v>
      </c>
      <c r="G176" s="189">
        <f ca="1">IF(ISERR(G170/G$33),"NA",G170/G$33)</f>
        <v>1.91554252705989</v>
      </c>
      <c r="H176" s="189">
        <f ca="1">IF(ISERR(H170/H$33),"NA",H170/H$33)</f>
        <v>2.6111297391955692</v>
      </c>
      <c r="I176" s="189">
        <f t="shared" ca="1" si="112"/>
        <v>1.7100171966911175</v>
      </c>
      <c r="J176" s="189">
        <f t="shared" ca="1" si="112"/>
        <v>1.1884746991814761</v>
      </c>
      <c r="K176" s="189">
        <f t="shared" ca="1" si="112"/>
        <v>0.61073488152545707</v>
      </c>
      <c r="L176" s="189">
        <f t="shared" ca="1" si="112"/>
        <v>0.31440510923579379</v>
      </c>
      <c r="M176" s="189">
        <f t="shared" ca="1" si="112"/>
        <v>-8.3788976508815931E-3</v>
      </c>
      <c r="N176" s="189">
        <f t="shared" ca="1" si="112"/>
        <v>-0.18513188092493826</v>
      </c>
      <c r="O176" s="189">
        <f t="shared" ca="1" si="112"/>
        <v>-0.39488245172412084</v>
      </c>
      <c r="P176" s="189">
        <f t="shared" ca="1" si="112"/>
        <v>-0.55196957422661386</v>
      </c>
    </row>
    <row r="177" spans="1:16" ht="12" customHeight="1" x14ac:dyDescent="0.25">
      <c r="B177" s="25" t="s">
        <v>315</v>
      </c>
      <c r="C177" s="35" t="s">
        <v>332</v>
      </c>
      <c r="D177" s="112" t="s">
        <v>135</v>
      </c>
      <c r="E177" s="112" t="s">
        <v>135</v>
      </c>
      <c r="F177" s="112" t="s">
        <v>135</v>
      </c>
      <c r="G177" s="112" t="str">
        <f t="shared" ref="G177:P177" ca="1" si="113">IF(-G91-G92&lt;=0,"NA",G206/(-(G91+G92)))</f>
        <v>NA</v>
      </c>
      <c r="H177" s="112">
        <f t="shared" ca="1" si="113"/>
        <v>-1.151308763497622</v>
      </c>
      <c r="I177" s="112">
        <f t="shared" ca="1" si="113"/>
        <v>0.48884674726429267</v>
      </c>
      <c r="J177" s="112">
        <f t="shared" ca="1" si="113"/>
        <v>0.99200406070351954</v>
      </c>
      <c r="K177" s="112">
        <f t="shared" ca="1" si="113"/>
        <v>1.0345576613102321</v>
      </c>
      <c r="L177" s="112">
        <f t="shared" ca="1" si="113"/>
        <v>1.0154000789558209</v>
      </c>
      <c r="M177" s="112">
        <f t="shared" ca="1" si="113"/>
        <v>9.1229672606860621</v>
      </c>
      <c r="N177" s="112" t="str">
        <f t="shared" ca="1" si="113"/>
        <v>NA</v>
      </c>
      <c r="O177" s="112" t="str">
        <f t="shared" ca="1" si="113"/>
        <v>NA</v>
      </c>
      <c r="P177" s="112" t="str">
        <f t="shared" ca="1" si="113"/>
        <v>NA</v>
      </c>
    </row>
    <row r="178" spans="1:16" ht="12" customHeight="1" x14ac:dyDescent="0.25">
      <c r="B178" s="25" t="s">
        <v>316</v>
      </c>
      <c r="C178" s="35" t="s">
        <v>332</v>
      </c>
      <c r="D178" s="112">
        <f t="shared" ref="D178:P178" si="114">IF(-D40&lt;=0,"NA",-D37/D40)</f>
        <v>4.166666666666667</v>
      </c>
      <c r="E178" s="112">
        <f t="shared" si="114"/>
        <v>5.333333333333333</v>
      </c>
      <c r="F178" s="112">
        <f t="shared" si="114"/>
        <v>15.766777407407416</v>
      </c>
      <c r="G178" s="112">
        <f t="shared" ca="1" si="114"/>
        <v>2.2811435674331881</v>
      </c>
      <c r="H178" s="112">
        <f t="shared" ca="1" si="114"/>
        <v>5.0048984899328852</v>
      </c>
      <c r="I178" s="112">
        <f t="shared" ca="1" si="114"/>
        <v>7.7101207954545439</v>
      </c>
      <c r="J178" s="112">
        <f t="shared" ca="1" si="114"/>
        <v>14.327623958549227</v>
      </c>
      <c r="K178" s="112">
        <f t="shared" ca="1" si="114"/>
        <v>28.366168269306936</v>
      </c>
      <c r="L178" s="112">
        <f t="shared" ca="1" si="114"/>
        <v>104.48147877052635</v>
      </c>
      <c r="M178" s="112">
        <f t="shared" ca="1" si="114"/>
        <v>924.09086261973403</v>
      </c>
      <c r="N178" s="112" t="str">
        <f t="shared" ca="1" si="114"/>
        <v>NA</v>
      </c>
      <c r="O178" s="112" t="str">
        <f t="shared" ca="1" si="114"/>
        <v>NA</v>
      </c>
      <c r="P178" s="112" t="str">
        <f t="shared" ca="1" si="114"/>
        <v>NA</v>
      </c>
    </row>
    <row r="179" spans="1:16" ht="12" customHeight="1" x14ac:dyDescent="0.25">
      <c r="B179" s="25" t="s">
        <v>348</v>
      </c>
      <c r="C179" s="35" t="s">
        <v>347</v>
      </c>
      <c r="D179" s="308">
        <f t="shared" ref="D179:O179" si="115">IF(ISERR(-D40/AVERAGE(C174:D174)),"NA",-D40/AVERAGE(C174:D174))</f>
        <v>0.03</v>
      </c>
      <c r="E179" s="308">
        <f t="shared" si="115"/>
        <v>0.03</v>
      </c>
      <c r="F179" s="308">
        <f t="shared" si="115"/>
        <v>1.35E-2</v>
      </c>
      <c r="G179" s="308">
        <f t="shared" ca="1" si="115"/>
        <v>7.4490740740740746E-2</v>
      </c>
      <c r="H179" s="308">
        <f t="shared" ca="1" si="115"/>
        <v>3.851373182552504E-2</v>
      </c>
      <c r="I179" s="308">
        <f t="shared" ca="1" si="115"/>
        <v>3.9329608938547485E-2</v>
      </c>
      <c r="J179" s="308">
        <f t="shared" ca="1" si="115"/>
        <v>3.4587813620071683E-2</v>
      </c>
      <c r="K179" s="308">
        <f t="shared" ca="1" si="115"/>
        <v>3.3006535947712419E-2</v>
      </c>
      <c r="L179" s="308">
        <f t="shared" ca="1" si="115"/>
        <v>0.03</v>
      </c>
      <c r="M179" s="308">
        <f t="shared" ca="1" si="115"/>
        <v>0.03</v>
      </c>
      <c r="N179" s="308" t="str">
        <f t="shared" ca="1" si="115"/>
        <v>NA</v>
      </c>
      <c r="O179" s="308" t="str">
        <f t="shared" ca="1" si="115"/>
        <v>NA</v>
      </c>
      <c r="P179" s="308" t="str">
        <f ca="1">IF(ISERR(-P40/AVERAGE(O174:P174)),"NA",-P40/AVERAGE(O174:P174))</f>
        <v>NA</v>
      </c>
    </row>
    <row r="180" spans="1:16" ht="12" customHeight="1" x14ac:dyDescent="0.25">
      <c r="B180" s="35"/>
      <c r="C180" s="35"/>
      <c r="D180" s="53"/>
      <c r="E180" s="53"/>
      <c r="F180" s="53"/>
      <c r="G180" s="53"/>
      <c r="H180" s="53"/>
      <c r="I180" s="53"/>
      <c r="J180" s="53"/>
      <c r="K180" s="53"/>
      <c r="L180" s="53"/>
      <c r="M180" s="53"/>
      <c r="N180" s="53"/>
      <c r="O180" s="53"/>
      <c r="P180" s="53"/>
    </row>
    <row r="181" spans="1:16" ht="12" customHeight="1" x14ac:dyDescent="0.25">
      <c r="B181" s="25" t="s">
        <v>317</v>
      </c>
      <c r="C181" s="35" t="s">
        <v>332</v>
      </c>
      <c r="D181" s="112">
        <f>IF(ISERR(SUM(D55:D58)/SUM(D63:D65)),"NA",SUM(D55:D58)/SUM(D63:D65))</f>
        <v>2.8333333333333335</v>
      </c>
      <c r="E181" s="112">
        <f>IF(ISERR(SUM(E55:E58)/SUM(E63:E65)),"NA",SUM(E55:E58)/SUM(E63:E65))</f>
        <v>3.3250000000000002</v>
      </c>
      <c r="F181" s="112">
        <f>IF(ISERR(SUM(F55:F58)/SUM(F63:F65)),"NA",SUM(F55:F58)/SUM(F63:F65))</f>
        <v>3.1403383166666665</v>
      </c>
      <c r="G181" s="112">
        <f ca="1">IF(ISERR(SUM(G55:G58)/SUM(G63:G65)),"NA",SUM(G55:G58)/SUM(G63:G65))</f>
        <v>3.3889507748691101</v>
      </c>
      <c r="H181" s="112">
        <f ca="1">IF(ISERR(SUM(H55:H58)/SUM(H63:H65)),"NA",SUM(H55:H58)/SUM(H63:H65))</f>
        <v>0.94764920262271068</v>
      </c>
      <c r="I181" s="112">
        <f t="shared" ref="I181:P181" ca="1" si="116">IF(ISERR(SUM(I55:I58)/SUM(I63:I65)),"NA",SUM(I55:I58)/SUM(I63:I65))</f>
        <v>0.96866462294340705</v>
      </c>
      <c r="J181" s="112">
        <f t="shared" ca="1" si="116"/>
        <v>0.9822767375336926</v>
      </c>
      <c r="K181" s="112">
        <f t="shared" ca="1" si="116"/>
        <v>1.5001418267713758</v>
      </c>
      <c r="L181" s="112">
        <f t="shared" ca="1" si="116"/>
        <v>2.7413091212735821</v>
      </c>
      <c r="M181" s="112">
        <f t="shared" ca="1" si="116"/>
        <v>4.1566134193667157</v>
      </c>
      <c r="N181" s="112">
        <f t="shared" ca="1" si="116"/>
        <v>4.8087678623493559</v>
      </c>
      <c r="O181" s="112">
        <f t="shared" ca="1" si="116"/>
        <v>5.58267144310385</v>
      </c>
      <c r="P181" s="112">
        <f t="shared" ca="1" si="116"/>
        <v>6.1622659878619306</v>
      </c>
    </row>
    <row r="182" spans="1:16" ht="12" customHeight="1" x14ac:dyDescent="0.25">
      <c r="A182" s="113"/>
      <c r="B182" s="35" t="s">
        <v>278</v>
      </c>
      <c r="C182" s="35" t="s">
        <v>388</v>
      </c>
      <c r="D182" s="114">
        <f t="shared" ref="D182:P182" si="117">D56/D22*365</f>
        <v>37.628865979381445</v>
      </c>
      <c r="E182" s="114">
        <f t="shared" si="117"/>
        <v>37.09349593495935</v>
      </c>
      <c r="F182" s="114">
        <f t="shared" si="117"/>
        <v>34.903860424339136</v>
      </c>
      <c r="G182" s="114">
        <f t="shared" si="117"/>
        <v>27.073636582787842</v>
      </c>
      <c r="H182" s="114">
        <f t="shared" si="117"/>
        <v>45</v>
      </c>
      <c r="I182" s="114">
        <f t="shared" si="117"/>
        <v>45</v>
      </c>
      <c r="J182" s="114">
        <f t="shared" si="117"/>
        <v>45</v>
      </c>
      <c r="K182" s="114">
        <f t="shared" si="117"/>
        <v>45</v>
      </c>
      <c r="L182" s="114">
        <f t="shared" si="117"/>
        <v>45</v>
      </c>
      <c r="M182" s="114">
        <f t="shared" si="117"/>
        <v>45</v>
      </c>
      <c r="N182" s="114">
        <f t="shared" si="117"/>
        <v>45</v>
      </c>
      <c r="O182" s="114">
        <f t="shared" si="117"/>
        <v>45</v>
      </c>
      <c r="P182" s="114">
        <f t="shared" si="117"/>
        <v>45</v>
      </c>
    </row>
    <row r="183" spans="1:16" ht="12" customHeight="1" x14ac:dyDescent="0.25">
      <c r="A183" s="113"/>
      <c r="B183" s="35" t="s">
        <v>81</v>
      </c>
      <c r="C183" s="35" t="s">
        <v>388</v>
      </c>
      <c r="D183" s="114">
        <f t="shared" ref="D183:P183" si="118">-D57/D25*365</f>
        <v>70.192307692307693</v>
      </c>
      <c r="E183" s="114">
        <f t="shared" si="118"/>
        <v>70.192307692307693</v>
      </c>
      <c r="F183" s="114">
        <f t="shared" si="118"/>
        <v>69.761316643516167</v>
      </c>
      <c r="G183" s="114">
        <f t="shared" si="118"/>
        <v>67.740618388330063</v>
      </c>
      <c r="H183" s="114">
        <f t="shared" si="118"/>
        <v>45</v>
      </c>
      <c r="I183" s="114">
        <f t="shared" si="118"/>
        <v>45</v>
      </c>
      <c r="J183" s="114">
        <f t="shared" si="118"/>
        <v>44.999999999999993</v>
      </c>
      <c r="K183" s="114">
        <f t="shared" si="118"/>
        <v>45</v>
      </c>
      <c r="L183" s="114">
        <f t="shared" si="118"/>
        <v>45</v>
      </c>
      <c r="M183" s="114">
        <f t="shared" si="118"/>
        <v>45</v>
      </c>
      <c r="N183" s="114">
        <f t="shared" si="118"/>
        <v>44.999999999999993</v>
      </c>
      <c r="O183" s="114">
        <f t="shared" si="118"/>
        <v>45</v>
      </c>
      <c r="P183" s="114">
        <f t="shared" si="118"/>
        <v>45</v>
      </c>
    </row>
    <row r="184" spans="1:16" ht="12" customHeight="1" x14ac:dyDescent="0.25">
      <c r="A184" s="113"/>
      <c r="B184" s="35" t="s">
        <v>282</v>
      </c>
      <c r="C184" s="35" t="s">
        <v>388</v>
      </c>
      <c r="D184" s="114">
        <f t="shared" ref="D184:P184" si="119">-D63/D25*365</f>
        <v>63.17307692307692</v>
      </c>
      <c r="E184" s="114">
        <f t="shared" si="119"/>
        <v>63.17307692307692</v>
      </c>
      <c r="F184" s="114">
        <f t="shared" si="119"/>
        <v>62.785184979164555</v>
      </c>
      <c r="G184" s="114">
        <f t="shared" si="119"/>
        <v>74.514680227163055</v>
      </c>
      <c r="H184" s="114">
        <f t="shared" si="119"/>
        <v>30</v>
      </c>
      <c r="I184" s="114">
        <f t="shared" si="119"/>
        <v>30</v>
      </c>
      <c r="J184" s="114">
        <f t="shared" si="119"/>
        <v>30</v>
      </c>
      <c r="K184" s="114">
        <f t="shared" si="119"/>
        <v>30</v>
      </c>
      <c r="L184" s="114">
        <f t="shared" si="119"/>
        <v>30</v>
      </c>
      <c r="M184" s="114">
        <f t="shared" si="119"/>
        <v>30</v>
      </c>
      <c r="N184" s="114">
        <f t="shared" si="119"/>
        <v>30</v>
      </c>
      <c r="O184" s="114">
        <f t="shared" si="119"/>
        <v>30</v>
      </c>
      <c r="P184" s="114">
        <f t="shared" si="119"/>
        <v>30</v>
      </c>
    </row>
    <row r="185" spans="1:16" ht="12" customHeight="1" x14ac:dyDescent="0.25">
      <c r="B185" s="35" t="s">
        <v>401</v>
      </c>
      <c r="C185" s="35"/>
      <c r="D185" s="90">
        <f t="shared" ref="D185:O185" si="120">SUM(D78:D82)</f>
        <v>0</v>
      </c>
      <c r="E185" s="90">
        <f t="shared" si="120"/>
        <v>0</v>
      </c>
      <c r="F185" s="90">
        <f t="shared" si="120"/>
        <v>0</v>
      </c>
      <c r="G185" s="90">
        <f t="shared" si="120"/>
        <v>200000</v>
      </c>
      <c r="H185" s="90">
        <f t="shared" si="120"/>
        <v>-204422.27534246584</v>
      </c>
      <c r="I185" s="90">
        <f t="shared" si="120"/>
        <v>-93123.803013698795</v>
      </c>
      <c r="J185" s="90">
        <f t="shared" si="120"/>
        <v>-102704.34086301381</v>
      </c>
      <c r="K185" s="90">
        <f t="shared" si="120"/>
        <v>-55012.520960958936</v>
      </c>
      <c r="L185" s="90">
        <f t="shared" si="120"/>
        <v>-57763.147009007087</v>
      </c>
      <c r="M185" s="90">
        <f t="shared" si="120"/>
        <v>-24260.521743782767</v>
      </c>
      <c r="N185" s="90">
        <f t="shared" si="120"/>
        <v>-24745.732178658618</v>
      </c>
      <c r="O185" s="90">
        <f t="shared" si="120"/>
        <v>-25240.646822231814</v>
      </c>
      <c r="P185" s="90">
        <f>SUM(P78:P82)</f>
        <v>-25745.459758676603</v>
      </c>
    </row>
    <row r="186" spans="1:16" ht="12" customHeight="1" x14ac:dyDescent="0.25">
      <c r="B186" s="35"/>
      <c r="C186" s="35"/>
      <c r="D186" s="53"/>
      <c r="E186" s="53"/>
      <c r="F186" s="53"/>
      <c r="G186" s="53"/>
      <c r="H186" s="53"/>
      <c r="I186" s="53"/>
      <c r="J186" s="53"/>
      <c r="K186" s="53"/>
      <c r="L186" s="53"/>
      <c r="M186" s="53"/>
      <c r="N186" s="53"/>
      <c r="O186" s="53"/>
      <c r="P186" s="90"/>
    </row>
    <row r="187" spans="1:16" ht="12" customHeight="1" x14ac:dyDescent="0.25">
      <c r="B187" s="35" t="s">
        <v>318</v>
      </c>
      <c r="C187" s="25" t="s">
        <v>330</v>
      </c>
      <c r="D187" s="53">
        <f>D34</f>
        <v>0.10309278350515463</v>
      </c>
      <c r="E187" s="53">
        <f>E34</f>
        <v>0.11585365853658537</v>
      </c>
      <c r="F187" s="53">
        <f>F34</f>
        <v>0.12932654674784003</v>
      </c>
      <c r="G187" s="53">
        <f>G34</f>
        <v>0.1513610992638196</v>
      </c>
      <c r="H187" s="53">
        <f>H34</f>
        <v>0.17094386856305743</v>
      </c>
      <c r="I187" s="53">
        <f t="shared" ref="I187:O187" si="121">I34</f>
        <v>0.1909438685630574</v>
      </c>
      <c r="J187" s="53">
        <f t="shared" si="121"/>
        <v>0.18094386856305741</v>
      </c>
      <c r="K187" s="53">
        <f t="shared" si="121"/>
        <v>0.18094386856305741</v>
      </c>
      <c r="L187" s="53">
        <f t="shared" si="121"/>
        <v>0.18094386856305741</v>
      </c>
      <c r="M187" s="53">
        <f t="shared" si="121"/>
        <v>0.18094386856305744</v>
      </c>
      <c r="N187" s="53">
        <f t="shared" si="121"/>
        <v>0.18094386856305736</v>
      </c>
      <c r="O187" s="53">
        <f t="shared" si="121"/>
        <v>0.18094386856305739</v>
      </c>
      <c r="P187" s="53">
        <f>P34</f>
        <v>0.18094386856305747</v>
      </c>
    </row>
    <row r="188" spans="1:16" ht="12" customHeight="1" x14ac:dyDescent="0.25">
      <c r="B188" s="35" t="s">
        <v>265</v>
      </c>
      <c r="C188" s="25" t="s">
        <v>330</v>
      </c>
      <c r="D188" s="108" t="str">
        <f>D23</f>
        <v>NA</v>
      </c>
      <c r="E188" s="108">
        <f>E23</f>
        <v>1.4432989690721598E-2</v>
      </c>
      <c r="F188" s="108">
        <f>F23</f>
        <v>6.2733333333333308E-2</v>
      </c>
      <c r="G188" s="108">
        <f>G23</f>
        <v>3.1375606084020236E-2</v>
      </c>
      <c r="H188" s="108">
        <f>H23</f>
        <v>0.10000000000000009</v>
      </c>
      <c r="I188" s="108">
        <f t="shared" ref="I188:P188" si="122">I23</f>
        <v>0.10000000000000009</v>
      </c>
      <c r="J188" s="108">
        <f t="shared" si="122"/>
        <v>0.10000000000000009</v>
      </c>
      <c r="K188" s="108">
        <f t="shared" si="122"/>
        <v>5.0000000000000044E-2</v>
      </c>
      <c r="L188" s="108">
        <f t="shared" si="122"/>
        <v>5.0000000000000044E-2</v>
      </c>
      <c r="M188" s="108">
        <f t="shared" si="122"/>
        <v>2.0000000000000018E-2</v>
      </c>
      <c r="N188" s="108">
        <f t="shared" si="122"/>
        <v>2.0000000000000018E-2</v>
      </c>
      <c r="O188" s="108">
        <f t="shared" si="122"/>
        <v>2.0000000000000018E-2</v>
      </c>
      <c r="P188" s="108">
        <f t="shared" si="122"/>
        <v>0.03</v>
      </c>
    </row>
    <row r="189" spans="1:16" ht="12" customHeight="1" x14ac:dyDescent="0.25">
      <c r="B189" s="25" t="s">
        <v>319</v>
      </c>
      <c r="C189" s="25" t="s">
        <v>330</v>
      </c>
      <c r="D189" s="108" t="s">
        <v>135</v>
      </c>
      <c r="E189" s="108" t="s">
        <v>135</v>
      </c>
      <c r="F189" s="108" t="s">
        <v>135</v>
      </c>
      <c r="G189" s="53">
        <f t="shared" ref="G189:P189" ca="1" si="123">(G201+G202)/AVERAGE(F171:G171)</f>
        <v>5.7556279016905319E-2</v>
      </c>
      <c r="H189" s="53">
        <f t="shared" ca="1" si="123"/>
        <v>8.9497553726705592E-2</v>
      </c>
      <c r="I189" s="53">
        <f t="shared" ca="1" si="123"/>
        <v>9.1417728210861721E-2</v>
      </c>
      <c r="J189" s="53">
        <f t="shared" ca="1" si="123"/>
        <v>9.4667412458179168E-2</v>
      </c>
      <c r="K189" s="53">
        <f t="shared" ca="1" si="123"/>
        <v>0.10081765659966736</v>
      </c>
      <c r="L189" s="53">
        <f t="shared" ca="1" si="123"/>
        <v>0.10500290331896775</v>
      </c>
      <c r="M189" s="53">
        <f t="shared" ca="1" si="123"/>
        <v>9.5713969971821661E-2</v>
      </c>
      <c r="N189" s="53">
        <f t="shared" ca="1" si="123"/>
        <v>8.8422175215870313E-2</v>
      </c>
      <c r="O189" s="53">
        <f t="shared" ca="1" si="123"/>
        <v>8.2455734138777423E-2</v>
      </c>
      <c r="P189" s="53">
        <f t="shared" ca="1" si="123"/>
        <v>0.10518429294999251</v>
      </c>
    </row>
    <row r="190" spans="1:16" ht="12" customHeight="1" x14ac:dyDescent="0.25">
      <c r="B190" s="25" t="s">
        <v>320</v>
      </c>
      <c r="C190" s="25" t="s">
        <v>330</v>
      </c>
      <c r="D190" s="53">
        <f t="shared" ref="D190:P190" si="124">D46/AVERAGE(C67:D67)</f>
        <v>0.28333333333333333</v>
      </c>
      <c r="E190" s="53">
        <f t="shared" si="124"/>
        <v>0.18181818181818182</v>
      </c>
      <c r="F190" s="53">
        <f t="shared" si="124"/>
        <v>0.38084266108980924</v>
      </c>
      <c r="G190" s="53">
        <f t="shared" ca="1" si="124"/>
        <v>9.9346597910062714E-2</v>
      </c>
      <c r="H190" s="53">
        <f t="shared" ca="1" si="124"/>
        <v>0.12372672460710198</v>
      </c>
      <c r="I190" s="53">
        <f t="shared" ca="1" si="124"/>
        <v>0.13938822279453703</v>
      </c>
      <c r="J190" s="53">
        <f t="shared" ca="1" si="124"/>
        <v>0.13250519916396911</v>
      </c>
      <c r="K190" s="53">
        <f t="shared" ca="1" si="124"/>
        <v>0.12517804875426028</v>
      </c>
      <c r="L190" s="53">
        <f t="shared" ca="1" si="124"/>
        <v>0.11826684534102837</v>
      </c>
      <c r="M190" s="53">
        <f t="shared" ca="1" si="124"/>
        <v>9.9627515035657227E-2</v>
      </c>
      <c r="N190" s="53">
        <f t="shared" ca="1" si="124"/>
        <v>8.6144879517251638E-2</v>
      </c>
      <c r="O190" s="53">
        <f t="shared" ca="1" si="124"/>
        <v>7.6255013954851972E-2</v>
      </c>
      <c r="P190" s="53">
        <f t="shared" ca="1" si="124"/>
        <v>9.2583302352834337E-2</v>
      </c>
    </row>
    <row r="191" spans="1:16" ht="12" customHeight="1" x14ac:dyDescent="0.25">
      <c r="B191" s="25" t="s">
        <v>321</v>
      </c>
      <c r="C191" s="25" t="s">
        <v>389</v>
      </c>
      <c r="D191" s="93">
        <f t="shared" ref="D191:P191" si="125">D22/D61</f>
        <v>1.515625</v>
      </c>
      <c r="E191" s="93">
        <f t="shared" si="125"/>
        <v>1.4819277108433735</v>
      </c>
      <c r="F191" s="93">
        <f t="shared" si="125"/>
        <v>1.4290987856327741</v>
      </c>
      <c r="G191" s="93">
        <f t="shared" si="125"/>
        <v>0.77796897520692543</v>
      </c>
      <c r="H191" s="93">
        <f t="shared" ca="1" si="125"/>
        <v>0.98424049714447892</v>
      </c>
      <c r="I191" s="93">
        <f t="shared" ca="1" si="125"/>
        <v>1.2087450588131106</v>
      </c>
      <c r="J191" s="93">
        <f t="shared" ca="1" si="125"/>
        <v>1.3446503500190543</v>
      </c>
      <c r="K191" s="93">
        <f t="shared" ca="1" si="125"/>
        <v>1.451069440038389</v>
      </c>
      <c r="L191" s="93">
        <f t="shared" ca="1" si="125"/>
        <v>1.4680913244888596</v>
      </c>
      <c r="M191" s="93">
        <f t="shared" ca="1" si="125"/>
        <v>1.3757122884293214</v>
      </c>
      <c r="N191" s="93">
        <f t="shared" ca="1" si="125"/>
        <v>1.3461499144296909</v>
      </c>
      <c r="O191" s="93">
        <f t="shared" ca="1" si="125"/>
        <v>1.3232870792517575</v>
      </c>
      <c r="P191" s="93">
        <f t="shared" ca="1" si="125"/>
        <v>1.2908745997159468</v>
      </c>
    </row>
    <row r="194" spans="2:16" ht="15.5" x14ac:dyDescent="0.35">
      <c r="B194" s="31" t="str">
        <f>"All amounts in "&amp;Summary!$E$172</f>
        <v>All amounts in USD</v>
      </c>
    </row>
    <row r="195" spans="2:16" ht="15.5" x14ac:dyDescent="0.35">
      <c r="B195" s="33" t="s">
        <v>88</v>
      </c>
      <c r="C195" s="33"/>
      <c r="D195" s="33"/>
      <c r="E195" s="33"/>
      <c r="F195" s="111"/>
      <c r="G195" s="407" t="s">
        <v>37</v>
      </c>
      <c r="H195" s="70">
        <f t="shared" ref="H195:P195" ca="1" si="126">H$20</f>
        <v>2021</v>
      </c>
      <c r="I195" s="70">
        <f t="shared" ca="1" si="126"/>
        <v>2022</v>
      </c>
      <c r="J195" s="70">
        <f t="shared" ca="1" si="126"/>
        <v>2023</v>
      </c>
      <c r="K195" s="70">
        <f t="shared" ca="1" si="126"/>
        <v>2024</v>
      </c>
      <c r="L195" s="70">
        <f t="shared" ca="1" si="126"/>
        <v>2025</v>
      </c>
      <c r="M195" s="70">
        <f t="shared" ca="1" si="126"/>
        <v>2026</v>
      </c>
      <c r="N195" s="70">
        <f t="shared" ca="1" si="126"/>
        <v>2027</v>
      </c>
      <c r="O195" s="70">
        <f t="shared" ca="1" si="126"/>
        <v>2028</v>
      </c>
      <c r="P195" s="70">
        <f t="shared" ca="1" si="126"/>
        <v>2029</v>
      </c>
    </row>
    <row r="196" spans="2:16" x14ac:dyDescent="0.25">
      <c r="B196" s="34"/>
      <c r="C196" s="34"/>
      <c r="D196" s="34"/>
      <c r="E196" s="34"/>
      <c r="F196" s="34"/>
      <c r="G196" s="34"/>
      <c r="H196" s="34"/>
      <c r="I196" s="34"/>
      <c r="J196" s="34"/>
      <c r="K196" s="34"/>
      <c r="L196" s="34"/>
      <c r="M196" s="34"/>
      <c r="N196" s="34"/>
      <c r="O196" s="34"/>
      <c r="P196" s="34"/>
    </row>
    <row r="197" spans="2:16" ht="13" x14ac:dyDescent="0.3">
      <c r="B197" s="170" t="s">
        <v>247</v>
      </c>
      <c r="C197" s="170"/>
      <c r="D197" s="170"/>
      <c r="E197" s="170"/>
      <c r="F197" s="28"/>
      <c r="G197" s="28"/>
      <c r="H197" s="28"/>
      <c r="I197" s="28"/>
      <c r="J197" s="28"/>
      <c r="K197" s="28"/>
      <c r="L197" s="28"/>
      <c r="M197" s="28"/>
      <c r="N197" s="28"/>
      <c r="O197" s="28"/>
      <c r="P197" s="28"/>
    </row>
    <row r="198" spans="2:16" x14ac:dyDescent="0.25">
      <c r="B198" s="34" t="s">
        <v>133</v>
      </c>
      <c r="C198" s="58" t="s">
        <v>390</v>
      </c>
      <c r="D198" s="146">
        <f>Summary!E180</f>
        <v>0.12</v>
      </c>
      <c r="E198" s="34"/>
      <c r="F198" s="34"/>
      <c r="G198" s="35"/>
      <c r="H198" s="35"/>
      <c r="I198" s="35"/>
      <c r="J198" s="35"/>
      <c r="K198" s="35"/>
      <c r="L198" s="35"/>
      <c r="M198" s="35"/>
      <c r="N198" s="35"/>
      <c r="O198" s="35"/>
      <c r="P198" s="35"/>
    </row>
    <row r="199" spans="2:16" x14ac:dyDescent="0.25">
      <c r="B199" s="34" t="s">
        <v>257</v>
      </c>
      <c r="C199" s="58" t="s">
        <v>390</v>
      </c>
      <c r="D199" s="146">
        <f>Summary!E181</f>
        <v>0.03</v>
      </c>
      <c r="E199" s="34"/>
      <c r="F199" s="34"/>
      <c r="G199" s="35"/>
      <c r="H199" s="35"/>
      <c r="I199" s="35"/>
      <c r="J199" s="35"/>
      <c r="K199" s="35"/>
      <c r="L199" s="35"/>
      <c r="M199" s="35"/>
      <c r="N199" s="35"/>
      <c r="O199" s="35"/>
      <c r="P199" s="35"/>
    </row>
    <row r="200" spans="2:16" ht="13" x14ac:dyDescent="0.3">
      <c r="B200" s="73"/>
      <c r="C200" s="73"/>
      <c r="D200" s="73"/>
      <c r="E200" s="73"/>
      <c r="F200" s="35"/>
      <c r="G200" s="35"/>
      <c r="H200" s="35"/>
      <c r="I200" s="35"/>
      <c r="J200" s="35"/>
      <c r="K200" s="35"/>
      <c r="L200" s="35"/>
      <c r="M200" s="35"/>
      <c r="N200" s="35"/>
      <c r="O200" s="35"/>
      <c r="P200" s="35"/>
    </row>
    <row r="201" spans="2:16" x14ac:dyDescent="0.25">
      <c r="B201" s="35" t="s">
        <v>460</v>
      </c>
      <c r="C201" s="99" t="str">
        <f>Summary!$E$172</f>
        <v>USD</v>
      </c>
      <c r="D201" s="59"/>
      <c r="E201" s="59"/>
      <c r="F201" s="105"/>
      <c r="G201" s="304">
        <f>'Financials Quarterly'!U24</f>
        <v>271275</v>
      </c>
      <c r="H201" s="105">
        <f t="shared" ref="H201:P201" si="127">H37</f>
        <v>596583.89999999991</v>
      </c>
      <c r="I201" s="105">
        <f t="shared" si="127"/>
        <v>678490.62999999989</v>
      </c>
      <c r="J201" s="105">
        <f t="shared" si="127"/>
        <v>691307.85600000015</v>
      </c>
      <c r="K201" s="105">
        <f t="shared" si="127"/>
        <v>716245.74880000018</v>
      </c>
      <c r="L201" s="105">
        <f t="shared" si="127"/>
        <v>744430.53624000028</v>
      </c>
      <c r="M201" s="105">
        <f t="shared" si="127"/>
        <v>693068.14696480054</v>
      </c>
      <c r="N201" s="105">
        <f t="shared" si="127"/>
        <v>642278.5099040959</v>
      </c>
      <c r="O201" s="105">
        <f t="shared" si="127"/>
        <v>592073.08010217827</v>
      </c>
      <c r="P201" s="105">
        <f t="shared" si="127"/>
        <v>749913.54170422256</v>
      </c>
    </row>
    <row r="202" spans="2:16" x14ac:dyDescent="0.25">
      <c r="B202" s="35" t="s">
        <v>376</v>
      </c>
      <c r="C202" s="99" t="str">
        <f>Summary!$E$172</f>
        <v>USD</v>
      </c>
      <c r="D202" s="59"/>
      <c r="E202" s="59"/>
      <c r="F202" s="105"/>
      <c r="G202" s="90">
        <f>IF(G201&lt;0,0,-G201*Summary!$P$180)</f>
        <v>-67818.75</v>
      </c>
      <c r="H202" s="105">
        <f t="shared" ref="H202:P202" si="128">IF(H201&lt;0,0,-H201*H44)</f>
        <v>-149145.97499999998</v>
      </c>
      <c r="I202" s="105">
        <f t="shared" si="128"/>
        <v>-169622.65749999997</v>
      </c>
      <c r="J202" s="105">
        <f t="shared" si="128"/>
        <v>-172826.96400000004</v>
      </c>
      <c r="K202" s="105">
        <f t="shared" si="128"/>
        <v>-179061.43720000004</v>
      </c>
      <c r="L202" s="105">
        <f t="shared" si="128"/>
        <v>-186107.63406000007</v>
      </c>
      <c r="M202" s="105">
        <f t="shared" si="128"/>
        <v>-173267.03674120014</v>
      </c>
      <c r="N202" s="105">
        <f t="shared" si="128"/>
        <v>-160569.62747602398</v>
      </c>
      <c r="O202" s="105">
        <f t="shared" si="128"/>
        <v>-148018.27002554457</v>
      </c>
      <c r="P202" s="105">
        <f t="shared" si="128"/>
        <v>-187478.38542605564</v>
      </c>
    </row>
    <row r="203" spans="2:16" x14ac:dyDescent="0.25">
      <c r="B203" s="35" t="s">
        <v>256</v>
      </c>
      <c r="C203" s="99" t="str">
        <f>Summary!$E$172</f>
        <v>USD</v>
      </c>
      <c r="D203" s="59"/>
      <c r="E203" s="59"/>
      <c r="F203" s="105"/>
      <c r="G203" s="305">
        <f>'Financials Quarterly'!U23</f>
        <v>-178725</v>
      </c>
      <c r="H203" s="105">
        <f>H77</f>
        <v>417450</v>
      </c>
      <c r="I203" s="105">
        <f>I77</f>
        <v>567450</v>
      </c>
      <c r="J203" s="105">
        <f>J77</f>
        <v>607450</v>
      </c>
      <c r="K203" s="105">
        <f t="shared" ref="K203:P203" si="129">K77</f>
        <v>647450</v>
      </c>
      <c r="L203" s="105">
        <f t="shared" si="129"/>
        <v>687450</v>
      </c>
      <c r="M203" s="105">
        <f t="shared" si="129"/>
        <v>767450</v>
      </c>
      <c r="N203" s="105">
        <f t="shared" si="129"/>
        <v>847450</v>
      </c>
      <c r="O203" s="105">
        <f t="shared" si="129"/>
        <v>927450</v>
      </c>
      <c r="P203" s="105">
        <f t="shared" si="129"/>
        <v>800000</v>
      </c>
    </row>
    <row r="204" spans="2:16" x14ac:dyDescent="0.25">
      <c r="B204" s="35" t="s">
        <v>300</v>
      </c>
      <c r="C204" s="99" t="str">
        <f>Summary!$E$172</f>
        <v>USD</v>
      </c>
      <c r="D204" s="59"/>
      <c r="E204" s="59"/>
      <c r="F204" s="105"/>
      <c r="G204" s="280">
        <f>SUM('Financials Quarterly'!U70:U74)</f>
        <v>0</v>
      </c>
      <c r="H204" s="105">
        <f t="shared" ref="H204:O204" si="130">H185</f>
        <v>-204422.27534246584</v>
      </c>
      <c r="I204" s="105">
        <f t="shared" si="130"/>
        <v>-93123.803013698795</v>
      </c>
      <c r="J204" s="105">
        <f t="shared" si="130"/>
        <v>-102704.34086301381</v>
      </c>
      <c r="K204" s="105">
        <f t="shared" si="130"/>
        <v>-55012.520960958936</v>
      </c>
      <c r="L204" s="105">
        <f t="shared" si="130"/>
        <v>-57763.147009007087</v>
      </c>
      <c r="M204" s="105">
        <f t="shared" si="130"/>
        <v>-24260.521743782767</v>
      </c>
      <c r="N204" s="105">
        <f t="shared" si="130"/>
        <v>-24745.732178658618</v>
      </c>
      <c r="O204" s="105">
        <f t="shared" si="130"/>
        <v>-25240.646822231814</v>
      </c>
      <c r="P204" s="105">
        <f>P185</f>
        <v>-25745.459758676603</v>
      </c>
    </row>
    <row r="205" spans="2:16" x14ac:dyDescent="0.25">
      <c r="B205" s="35" t="s">
        <v>100</v>
      </c>
      <c r="C205" s="99" t="str">
        <f>Summary!$E$172</f>
        <v>USD</v>
      </c>
      <c r="D205" s="59"/>
      <c r="E205" s="59"/>
      <c r="F205" s="105"/>
      <c r="G205" s="281">
        <f>'Financials Quarterly'!U79</f>
        <v>-100000</v>
      </c>
      <c r="H205" s="105">
        <f>H88</f>
        <v>-1500000</v>
      </c>
      <c r="I205" s="105">
        <f>I88</f>
        <v>-400000</v>
      </c>
      <c r="J205" s="105">
        <f>J88</f>
        <v>-400000</v>
      </c>
      <c r="K205" s="105">
        <f t="shared" ref="K205:P205" si="131">K88</f>
        <v>-400000</v>
      </c>
      <c r="L205" s="105">
        <f t="shared" si="131"/>
        <v>-800000</v>
      </c>
      <c r="M205" s="105">
        <f t="shared" si="131"/>
        <v>-800000</v>
      </c>
      <c r="N205" s="105">
        <f t="shared" si="131"/>
        <v>-800000</v>
      </c>
      <c r="O205" s="105">
        <f t="shared" si="131"/>
        <v>-800000</v>
      </c>
      <c r="P205" s="105">
        <f t="shared" si="131"/>
        <v>-800000</v>
      </c>
    </row>
    <row r="206" spans="2:16" x14ac:dyDescent="0.25">
      <c r="B206" s="180" t="s">
        <v>132</v>
      </c>
      <c r="C206" s="101" t="str">
        <f>Summary!$E$172</f>
        <v>USD</v>
      </c>
      <c r="D206" s="75"/>
      <c r="E206" s="75"/>
      <c r="F206" s="75"/>
      <c r="G206" s="306">
        <f t="shared" ref="G206:P206" si="132">SUM(G201:G205)</f>
        <v>-75268.75</v>
      </c>
      <c r="H206" s="75">
        <f t="shared" si="132"/>
        <v>-839534.35034246591</v>
      </c>
      <c r="I206" s="75">
        <f t="shared" si="132"/>
        <v>583194.16948630114</v>
      </c>
      <c r="J206" s="75">
        <f t="shared" si="132"/>
        <v>623226.55113698612</v>
      </c>
      <c r="K206" s="75">
        <f t="shared" si="132"/>
        <v>729621.79063904122</v>
      </c>
      <c r="L206" s="75">
        <f t="shared" si="132"/>
        <v>388009.75517099304</v>
      </c>
      <c r="M206" s="75">
        <f t="shared" si="132"/>
        <v>462990.58847981761</v>
      </c>
      <c r="N206" s="75">
        <f t="shared" si="132"/>
        <v>504413.15024941321</v>
      </c>
      <c r="O206" s="75">
        <f t="shared" si="132"/>
        <v>546264.16325440188</v>
      </c>
      <c r="P206" s="75">
        <f t="shared" si="132"/>
        <v>536689.69651949033</v>
      </c>
    </row>
    <row r="207" spans="2:16" x14ac:dyDescent="0.25">
      <c r="B207" s="34" t="s">
        <v>455</v>
      </c>
      <c r="C207" s="99" t="str">
        <f>Summary!$E$172</f>
        <v>USD</v>
      </c>
      <c r="D207" s="34"/>
      <c r="E207" s="34"/>
      <c r="F207" s="34"/>
      <c r="G207" s="63"/>
      <c r="H207" s="63"/>
      <c r="I207" s="63"/>
      <c r="J207" s="63"/>
      <c r="K207" s="63"/>
      <c r="L207" s="63"/>
      <c r="M207" s="63"/>
      <c r="N207" s="63"/>
      <c r="O207" s="63"/>
      <c r="P207" s="181">
        <f>P206/(D198-D199)</f>
        <v>5963218.8502165591</v>
      </c>
    </row>
    <row r="208" spans="2:16" x14ac:dyDescent="0.25">
      <c r="G208" s="63"/>
      <c r="H208" s="63"/>
      <c r="I208" s="63"/>
      <c r="J208" s="63"/>
      <c r="K208" s="63"/>
      <c r="L208" s="63"/>
      <c r="M208" s="63"/>
      <c r="N208" s="63"/>
      <c r="O208" s="63"/>
      <c r="P208" s="121"/>
    </row>
    <row r="209" spans="2:16" x14ac:dyDescent="0.25">
      <c r="B209" s="58" t="s">
        <v>38</v>
      </c>
      <c r="G209" s="405">
        <f ca="1">DAYS360(F106,G106)</f>
        <v>540</v>
      </c>
      <c r="H209" s="405">
        <v>360</v>
      </c>
      <c r="I209" s="303">
        <f>H209</f>
        <v>360</v>
      </c>
      <c r="J209" s="303">
        <f t="shared" ref="J209:P209" si="133">I209</f>
        <v>360</v>
      </c>
      <c r="K209" s="303">
        <f t="shared" si="133"/>
        <v>360</v>
      </c>
      <c r="L209" s="303">
        <f t="shared" si="133"/>
        <v>360</v>
      </c>
      <c r="M209" s="303">
        <f t="shared" si="133"/>
        <v>360</v>
      </c>
      <c r="N209" s="303">
        <f t="shared" si="133"/>
        <v>360</v>
      </c>
      <c r="O209" s="303">
        <f t="shared" si="133"/>
        <v>360</v>
      </c>
      <c r="P209" s="303">
        <f t="shared" si="133"/>
        <v>360</v>
      </c>
    </row>
    <row r="210" spans="2:16" x14ac:dyDescent="0.25">
      <c r="B210" s="34" t="s">
        <v>130</v>
      </c>
      <c r="C210" s="34" t="s">
        <v>332</v>
      </c>
      <c r="D210" s="34"/>
      <c r="E210" s="34"/>
      <c r="F210" s="34"/>
      <c r="G210" s="145">
        <f ca="1">1/(1+$D198)^(G209/360)</f>
        <v>0.84367069868131062</v>
      </c>
      <c r="H210" s="145">
        <f ca="1">G210/(1+$D198)</f>
        <v>0.75327740953688438</v>
      </c>
      <c r="I210" s="145">
        <f t="shared" ref="I210:P210" ca="1" si="134">H210/(1+$D198)</f>
        <v>0.67256911565793243</v>
      </c>
      <c r="J210" s="145">
        <f t="shared" ca="1" si="134"/>
        <v>0.60050813898029676</v>
      </c>
      <c r="K210" s="145">
        <f t="shared" ca="1" si="134"/>
        <v>0.53616798123240772</v>
      </c>
      <c r="L210" s="145">
        <f t="shared" ca="1" si="134"/>
        <v>0.47872141181464972</v>
      </c>
      <c r="M210" s="145">
        <f t="shared" ca="1" si="134"/>
        <v>0.42742983197736578</v>
      </c>
      <c r="N210" s="145">
        <f t="shared" ca="1" si="134"/>
        <v>0.38163377855121944</v>
      </c>
      <c r="O210" s="145">
        <f t="shared" ca="1" si="134"/>
        <v>0.34074444513501734</v>
      </c>
      <c r="P210" s="145">
        <f t="shared" ca="1" si="134"/>
        <v>0.30423611172769405</v>
      </c>
    </row>
    <row r="211" spans="2:16" ht="13" thickBot="1" x14ac:dyDescent="0.3">
      <c r="B211" s="34" t="s">
        <v>131</v>
      </c>
      <c r="C211" s="244" t="s">
        <v>212</v>
      </c>
      <c r="D211" s="105"/>
      <c r="E211" s="105"/>
      <c r="F211" s="105"/>
      <c r="G211" s="105">
        <f ca="1">G206*G210</f>
        <v>-63502.038901368898</v>
      </c>
      <c r="H211" s="105">
        <f t="shared" ref="H211:O211" ca="1" si="135">H206*H210</f>
        <v>-632402.26064320386</v>
      </c>
      <c r="I211" s="105">
        <f t="shared" ca="1" si="135"/>
        <v>392238.38682826393</v>
      </c>
      <c r="J211" s="105">
        <f t="shared" ca="1" si="135"/>
        <v>374252.61638638028</v>
      </c>
      <c r="K211" s="105">
        <f t="shared" ca="1" si="135"/>
        <v>391199.8425501092</v>
      </c>
      <c r="L211" s="105">
        <f t="shared" ca="1" si="135"/>
        <v>185748.57779331438</v>
      </c>
      <c r="M211" s="105">
        <f t="shared" ca="1" si="135"/>
        <v>197895.98944103013</v>
      </c>
      <c r="N211" s="105">
        <f t="shared" ca="1" si="135"/>
        <v>192501.09648060755</v>
      </c>
      <c r="O211" s="105">
        <f t="shared" ca="1" si="135"/>
        <v>186136.4792052657</v>
      </c>
      <c r="P211" s="105">
        <f ca="1">(P206+P207)*P210</f>
        <v>1977506.9028445822</v>
      </c>
    </row>
    <row r="212" spans="2:16" ht="13" thickBot="1" x14ac:dyDescent="0.3">
      <c r="B212" s="182" t="s">
        <v>297</v>
      </c>
      <c r="C212" s="245" t="s">
        <v>212</v>
      </c>
      <c r="D212" s="183">
        <f ca="1">SUM(G211:P211)</f>
        <v>3201575.5919849807</v>
      </c>
      <c r="G212" s="34"/>
      <c r="H212" s="34"/>
      <c r="I212" s="34"/>
      <c r="J212" s="34"/>
      <c r="K212" s="34"/>
      <c r="L212" s="34"/>
      <c r="M212" s="34"/>
      <c r="N212" s="34"/>
      <c r="O212" s="34"/>
      <c r="P212" s="34"/>
    </row>
    <row r="213" spans="2:16" x14ac:dyDescent="0.25">
      <c r="B213" s="34"/>
      <c r="D213" s="34"/>
      <c r="G213" s="34"/>
      <c r="H213" s="34"/>
      <c r="I213" s="34"/>
      <c r="J213" s="34"/>
      <c r="K213" s="34"/>
      <c r="L213" s="34"/>
      <c r="M213" s="34"/>
      <c r="N213" s="34"/>
      <c r="O213" s="34"/>
      <c r="P213" s="34"/>
    </row>
    <row r="214" spans="2:16" x14ac:dyDescent="0.25">
      <c r="B214" s="34" t="s">
        <v>167</v>
      </c>
      <c r="C214" s="244" t="s">
        <v>212</v>
      </c>
      <c r="D214" s="106">
        <f>'Financials Quarterly'!N44</f>
        <v>236447.99</v>
      </c>
      <c r="G214" s="121"/>
      <c r="H214" s="34"/>
      <c r="I214" s="34"/>
      <c r="J214" s="34"/>
      <c r="K214" s="34"/>
      <c r="L214" s="34"/>
      <c r="M214" s="34"/>
      <c r="N214" s="34"/>
      <c r="O214" s="34"/>
      <c r="P214" s="34"/>
    </row>
    <row r="215" spans="2:16" ht="13" thickBot="1" x14ac:dyDescent="0.3">
      <c r="B215" s="34" t="s">
        <v>168</v>
      </c>
      <c r="C215" s="244" t="s">
        <v>212</v>
      </c>
      <c r="D215" s="106">
        <f>-('Financials Quarterly'!N54+'Financials Quarterly'!N55)</f>
        <v>-2000000</v>
      </c>
      <c r="G215" s="121"/>
      <c r="H215" s="34"/>
      <c r="I215" s="34"/>
      <c r="J215" s="34"/>
      <c r="K215" s="34"/>
      <c r="L215" s="34"/>
      <c r="M215" s="34"/>
      <c r="N215" s="34"/>
      <c r="O215" s="34"/>
      <c r="P215" s="34"/>
    </row>
    <row r="216" spans="2:16" ht="13" thickBot="1" x14ac:dyDescent="0.3">
      <c r="B216" s="182" t="s">
        <v>169</v>
      </c>
      <c r="C216" s="245" t="s">
        <v>212</v>
      </c>
      <c r="D216" s="184">
        <f ca="1">SUM(D212:D215)</f>
        <v>1438023.581984981</v>
      </c>
      <c r="G216" s="121"/>
      <c r="H216" s="34"/>
      <c r="I216" s="34"/>
      <c r="J216" s="34"/>
      <c r="K216" s="34"/>
      <c r="L216" s="34"/>
      <c r="M216" s="34"/>
      <c r="N216" s="34"/>
      <c r="O216" s="34"/>
      <c r="P216" s="34"/>
    </row>
    <row r="217" spans="2:16" x14ac:dyDescent="0.25">
      <c r="B217" s="34"/>
      <c r="C217" s="59"/>
      <c r="D217" s="59"/>
      <c r="E217" s="59"/>
      <c r="F217" s="34"/>
      <c r="G217" s="121"/>
      <c r="H217" s="34"/>
      <c r="I217" s="34"/>
      <c r="J217" s="34"/>
      <c r="K217" s="34"/>
      <c r="L217" s="34"/>
      <c r="M217" s="34"/>
      <c r="N217" s="34"/>
      <c r="O217" s="34"/>
      <c r="P217" s="34"/>
    </row>
    <row r="218" spans="2:16" x14ac:dyDescent="0.25">
      <c r="B218" s="34"/>
      <c r="C218" s="34"/>
      <c r="D218" s="34"/>
      <c r="E218" s="34"/>
      <c r="F218" s="34"/>
      <c r="G218" s="34"/>
      <c r="H218" s="34"/>
      <c r="I218" s="34"/>
      <c r="J218" s="34"/>
      <c r="K218" s="34"/>
      <c r="L218" s="34"/>
      <c r="M218" s="34"/>
      <c r="N218" s="34"/>
      <c r="O218" s="34"/>
      <c r="P218" s="34"/>
    </row>
    <row r="221" spans="2:16" ht="15.5" x14ac:dyDescent="0.35">
      <c r="B221" s="31" t="str">
        <f>"All amounts in "&amp;Summary!$E$172</f>
        <v>All amounts in USD</v>
      </c>
    </row>
    <row r="222" spans="2:16" ht="15.5" x14ac:dyDescent="0.35">
      <c r="B222" s="33" t="s">
        <v>398</v>
      </c>
      <c r="C222" s="33"/>
      <c r="D222" s="33"/>
      <c r="E222" s="33"/>
      <c r="F222" s="111"/>
      <c r="G222" s="70"/>
      <c r="H222" s="70"/>
      <c r="I222" s="70"/>
      <c r="J222" s="70"/>
      <c r="K222" s="70"/>
      <c r="L222" s="70"/>
      <c r="M222" s="70"/>
      <c r="N222" s="70"/>
      <c r="O222" s="70"/>
      <c r="P222" s="70"/>
    </row>
    <row r="223" spans="2:16" x14ac:dyDescent="0.25">
      <c r="B223" s="71"/>
      <c r="C223" s="62"/>
      <c r="D223" s="62"/>
      <c r="E223" s="62"/>
      <c r="F223" s="62"/>
      <c r="G223" s="62"/>
      <c r="H223" s="62"/>
      <c r="I223" s="62"/>
      <c r="J223" s="62"/>
      <c r="K223" s="62"/>
      <c r="L223" s="62"/>
      <c r="M223" s="62"/>
      <c r="N223" s="62"/>
      <c r="O223" s="62"/>
      <c r="P223" s="131"/>
    </row>
    <row r="224" spans="2:16" x14ac:dyDescent="0.25">
      <c r="B224" s="44"/>
      <c r="C224" s="34"/>
      <c r="D224" s="45"/>
      <c r="E224" s="45" t="s">
        <v>233</v>
      </c>
      <c r="F224" s="45"/>
      <c r="G224" s="177" t="s">
        <v>42</v>
      </c>
      <c r="H224" s="34"/>
      <c r="I224" s="34"/>
      <c r="J224" s="34"/>
      <c r="K224" s="34"/>
      <c r="L224" s="34"/>
      <c r="M224" s="34"/>
      <c r="N224" s="34"/>
      <c r="O224" s="34"/>
      <c r="P224" s="46"/>
    </row>
    <row r="225" spans="2:16" ht="13" x14ac:dyDescent="0.3">
      <c r="B225" s="109"/>
      <c r="C225" s="91"/>
      <c r="D225" s="164" t="s">
        <v>236</v>
      </c>
      <c r="E225" s="164" t="s">
        <v>234</v>
      </c>
      <c r="F225" s="164" t="s">
        <v>235</v>
      </c>
      <c r="G225" s="178" t="str">
        <f>Summary!F157</f>
        <v>Full Dilution</v>
      </c>
      <c r="H225" s="34"/>
      <c r="I225" s="34"/>
      <c r="J225" s="34"/>
      <c r="K225" s="34"/>
      <c r="L225" s="34"/>
      <c r="M225" s="34"/>
      <c r="N225" s="34"/>
      <c r="O225" s="34"/>
      <c r="P225" s="46"/>
    </row>
    <row r="226" spans="2:16" x14ac:dyDescent="0.25">
      <c r="B226" s="37" t="str">
        <f>Summary!B158</f>
        <v>PE Firm</v>
      </c>
      <c r="C226" s="13" t="s">
        <v>330</v>
      </c>
      <c r="D226" s="155">
        <f>Summary!C158</f>
        <v>0.9</v>
      </c>
      <c r="E226" s="156">
        <f>Summary!D158</f>
        <v>0.873</v>
      </c>
      <c r="F226" s="155">
        <f>Summary!E158</f>
        <v>0.77300000000000002</v>
      </c>
      <c r="G226" s="174">
        <f>Summary!F158</f>
        <v>0.77300000000000002</v>
      </c>
      <c r="H226" s="34"/>
      <c r="I226" s="34"/>
      <c r="J226" s="34"/>
      <c r="K226" s="34"/>
      <c r="L226" s="34"/>
      <c r="M226" s="34"/>
      <c r="N226" s="34"/>
      <c r="O226" s="34"/>
      <c r="P226" s="46"/>
    </row>
    <row r="227" spans="2:16" x14ac:dyDescent="0.25">
      <c r="B227" s="37" t="str">
        <f>Summary!B159</f>
        <v>Mgmt</v>
      </c>
      <c r="C227" s="13" t="s">
        <v>391</v>
      </c>
      <c r="D227" s="155">
        <f>Summary!C159</f>
        <v>0.1</v>
      </c>
      <c r="E227" s="156">
        <f>Summary!D159</f>
        <v>9.7000000000000003E-2</v>
      </c>
      <c r="F227" s="155">
        <f>Summary!E159</f>
        <v>9.7000000000000003E-2</v>
      </c>
      <c r="G227" s="175">
        <f>Summary!F159</f>
        <v>9.7000000000000003E-2</v>
      </c>
      <c r="H227" s="34"/>
      <c r="I227" s="34"/>
      <c r="J227" s="34"/>
      <c r="K227" s="34"/>
      <c r="L227" s="34"/>
      <c r="M227" s="34"/>
      <c r="N227" s="34"/>
      <c r="O227" s="34"/>
      <c r="P227" s="46"/>
    </row>
    <row r="228" spans="2:16" x14ac:dyDescent="0.25">
      <c r="B228" s="37" t="s">
        <v>2</v>
      </c>
      <c r="C228" s="13" t="s">
        <v>330</v>
      </c>
      <c r="D228" s="155">
        <f>Summary!C160</f>
        <v>0</v>
      </c>
      <c r="E228" s="155">
        <f>Summary!D160</f>
        <v>0.01</v>
      </c>
      <c r="F228" s="155">
        <f>Summary!E160</f>
        <v>0.01</v>
      </c>
      <c r="G228" s="175">
        <f>Summary!F160</f>
        <v>0.01</v>
      </c>
      <c r="H228" s="34"/>
      <c r="I228" s="34"/>
      <c r="J228" s="34"/>
      <c r="K228" s="34"/>
      <c r="L228" s="34"/>
      <c r="M228" s="34"/>
      <c r="N228" s="34"/>
      <c r="O228" s="34"/>
      <c r="P228" s="46"/>
    </row>
    <row r="229" spans="2:16" x14ac:dyDescent="0.25">
      <c r="B229" s="37" t="s">
        <v>3</v>
      </c>
      <c r="C229" s="13" t="s">
        <v>330</v>
      </c>
      <c r="D229" s="155">
        <f>Summary!C161</f>
        <v>0</v>
      </c>
      <c r="E229" s="155">
        <f>Summary!D161</f>
        <v>0.02</v>
      </c>
      <c r="F229" s="155">
        <f>Summary!E161</f>
        <v>0.02</v>
      </c>
      <c r="G229" s="175">
        <f>Summary!F161</f>
        <v>0.02</v>
      </c>
      <c r="H229" s="34"/>
      <c r="I229" s="34"/>
      <c r="J229" s="34"/>
      <c r="K229" s="34"/>
      <c r="L229" s="34"/>
      <c r="M229" s="34"/>
      <c r="N229" s="34"/>
      <c r="O229" s="34"/>
      <c r="P229" s="46"/>
    </row>
    <row r="230" spans="2:16" x14ac:dyDescent="0.25">
      <c r="B230" s="37" t="str">
        <f>Summary!B162</f>
        <v>Mgmt Performance</v>
      </c>
      <c r="C230" s="13" t="s">
        <v>392</v>
      </c>
      <c r="D230" s="155">
        <f>Summary!C162</f>
        <v>0</v>
      </c>
      <c r="E230" s="155">
        <f>Summary!D162</f>
        <v>0</v>
      </c>
      <c r="F230" s="155">
        <f>Summary!E162</f>
        <v>0.1</v>
      </c>
      <c r="G230" s="176">
        <f>Summary!F162</f>
        <v>0.1</v>
      </c>
      <c r="H230" s="34"/>
      <c r="I230" s="34"/>
      <c r="J230" s="34"/>
      <c r="K230" s="34"/>
      <c r="L230" s="34"/>
      <c r="M230" s="34"/>
      <c r="N230" s="34"/>
      <c r="O230" s="34"/>
      <c r="P230" s="46"/>
    </row>
    <row r="231" spans="2:16" x14ac:dyDescent="0.25">
      <c r="B231" s="117" t="str">
        <f>Summary!B163</f>
        <v>Total</v>
      </c>
      <c r="C231" s="162" t="s">
        <v>330</v>
      </c>
      <c r="D231" s="163">
        <f>Summary!C163</f>
        <v>1</v>
      </c>
      <c r="E231" s="163">
        <f>Summary!D163</f>
        <v>1</v>
      </c>
      <c r="F231" s="163">
        <f>Summary!E163</f>
        <v>1</v>
      </c>
      <c r="G231" s="176">
        <f>Summary!F163</f>
        <v>1</v>
      </c>
      <c r="H231" s="34"/>
      <c r="I231" s="34"/>
      <c r="J231" s="34"/>
      <c r="K231" s="34"/>
      <c r="L231" s="34"/>
      <c r="M231" s="34"/>
      <c r="N231" s="34"/>
      <c r="O231" s="34"/>
      <c r="P231" s="46"/>
    </row>
    <row r="232" spans="2:16" x14ac:dyDescent="0.25">
      <c r="B232" s="64"/>
      <c r="C232" s="60"/>
      <c r="D232" s="60"/>
      <c r="E232" s="60"/>
      <c r="F232" s="60"/>
      <c r="G232" s="60"/>
      <c r="H232" s="60"/>
      <c r="I232" s="60"/>
      <c r="J232" s="60"/>
      <c r="K232" s="60"/>
      <c r="L232" s="60"/>
      <c r="M232" s="60"/>
      <c r="N232" s="60"/>
      <c r="O232" s="60"/>
      <c r="P232" s="61"/>
    </row>
    <row r="234" spans="2:16" ht="15.5" x14ac:dyDescent="0.35">
      <c r="B234" s="31" t="str">
        <f>"All amounts in "&amp;Summary!$E$172</f>
        <v>All amounts in USD</v>
      </c>
    </row>
    <row r="235" spans="2:16" ht="15.5" x14ac:dyDescent="0.35">
      <c r="B235" s="33" t="s">
        <v>239</v>
      </c>
      <c r="C235" s="33"/>
      <c r="D235" s="33"/>
      <c r="E235" s="33"/>
      <c r="F235" s="409" t="s">
        <v>182</v>
      </c>
      <c r="G235" s="70">
        <f t="shared" ref="G235:P235" ca="1" si="136">G$20</f>
        <v>2020</v>
      </c>
      <c r="H235" s="70">
        <f t="shared" ca="1" si="136"/>
        <v>2021</v>
      </c>
      <c r="I235" s="70">
        <f t="shared" ca="1" si="136"/>
        <v>2022</v>
      </c>
      <c r="J235" s="70">
        <f t="shared" ca="1" si="136"/>
        <v>2023</v>
      </c>
      <c r="K235" s="70">
        <f t="shared" ca="1" si="136"/>
        <v>2024</v>
      </c>
      <c r="L235" s="70">
        <f t="shared" ca="1" si="136"/>
        <v>2025</v>
      </c>
      <c r="M235" s="70">
        <f t="shared" ca="1" si="136"/>
        <v>2026</v>
      </c>
      <c r="N235" s="70">
        <f t="shared" ca="1" si="136"/>
        <v>2027</v>
      </c>
      <c r="O235" s="70">
        <f t="shared" ca="1" si="136"/>
        <v>2028</v>
      </c>
      <c r="P235" s="70">
        <f t="shared" ca="1" si="136"/>
        <v>2029</v>
      </c>
    </row>
    <row r="236" spans="2:16" x14ac:dyDescent="0.25">
      <c r="B236" s="34"/>
      <c r="C236" s="34"/>
      <c r="D236" s="34"/>
      <c r="F236" s="34"/>
      <c r="G236" s="34"/>
      <c r="H236" s="34"/>
      <c r="I236" s="34"/>
      <c r="J236" s="34"/>
      <c r="K236" s="34"/>
      <c r="L236" s="34"/>
      <c r="M236" s="34"/>
      <c r="N236" s="34"/>
      <c r="O236" s="34"/>
      <c r="P236" s="34"/>
    </row>
    <row r="237" spans="2:16" x14ac:dyDescent="0.25">
      <c r="B237" s="34"/>
      <c r="C237" s="34"/>
      <c r="D237" s="34"/>
      <c r="F237" s="126">
        <f ca="1">Summary!E132</f>
        <v>42550</v>
      </c>
      <c r="G237" s="126">
        <f ca="1">Summary!E133</f>
        <v>43099</v>
      </c>
      <c r="H237" s="126">
        <f t="shared" ref="H237:P237" ca="1" si="137">H53</f>
        <v>43464</v>
      </c>
      <c r="I237" s="126">
        <f t="shared" ca="1" si="137"/>
        <v>43829</v>
      </c>
      <c r="J237" s="126">
        <f t="shared" ca="1" si="137"/>
        <v>44195</v>
      </c>
      <c r="K237" s="126">
        <f t="shared" ca="1" si="137"/>
        <v>44560</v>
      </c>
      <c r="L237" s="126">
        <f t="shared" ca="1" si="137"/>
        <v>44925</v>
      </c>
      <c r="M237" s="126">
        <f t="shared" ca="1" si="137"/>
        <v>45290</v>
      </c>
      <c r="N237" s="126">
        <f t="shared" ca="1" si="137"/>
        <v>45656</v>
      </c>
      <c r="O237" s="126">
        <f t="shared" ca="1" si="137"/>
        <v>46021</v>
      </c>
      <c r="P237" s="126">
        <f t="shared" ca="1" si="137"/>
        <v>46386</v>
      </c>
    </row>
    <row r="238" spans="2:16" x14ac:dyDescent="0.25">
      <c r="B238" s="34" t="s">
        <v>186</v>
      </c>
      <c r="C238" s="129">
        <f>Summary!P110</f>
        <v>2022</v>
      </c>
      <c r="D238" s="34"/>
      <c r="F238" s="126"/>
      <c r="G238" s="161" t="str">
        <f t="shared" ref="G238:P238" ca="1" si="138">IF(G235&lt;$C238,"Invested",IF(G235=$C238,"Exit","Out"))</f>
        <v>Invested</v>
      </c>
      <c r="H238" s="161" t="str">
        <f t="shared" ca="1" si="138"/>
        <v>Invested</v>
      </c>
      <c r="I238" s="161" t="str">
        <f t="shared" ca="1" si="138"/>
        <v>Exit</v>
      </c>
      <c r="J238" s="161" t="str">
        <f t="shared" ca="1" si="138"/>
        <v>Out</v>
      </c>
      <c r="K238" s="161" t="str">
        <f t="shared" ca="1" si="138"/>
        <v>Out</v>
      </c>
      <c r="L238" s="161" t="str">
        <f t="shared" ca="1" si="138"/>
        <v>Out</v>
      </c>
      <c r="M238" s="161" t="str">
        <f t="shared" ca="1" si="138"/>
        <v>Out</v>
      </c>
      <c r="N238" s="161" t="str">
        <f t="shared" ca="1" si="138"/>
        <v>Out</v>
      </c>
      <c r="O238" s="161" t="str">
        <f t="shared" ca="1" si="138"/>
        <v>Out</v>
      </c>
      <c r="P238" s="161" t="str">
        <f t="shared" ca="1" si="138"/>
        <v>Out</v>
      </c>
    </row>
    <row r="239" spans="2:16" x14ac:dyDescent="0.25">
      <c r="B239" s="34"/>
      <c r="C239" s="34"/>
      <c r="D239" s="34"/>
      <c r="F239" s="126"/>
      <c r="G239" s="126"/>
      <c r="H239" s="126"/>
      <c r="I239" s="126"/>
      <c r="J239" s="126"/>
      <c r="K239" s="126"/>
      <c r="L239" s="126"/>
      <c r="M239" s="126"/>
      <c r="N239" s="126"/>
      <c r="O239" s="126"/>
      <c r="P239" s="126"/>
    </row>
    <row r="240" spans="2:16" ht="13" x14ac:dyDescent="0.3">
      <c r="B240" s="36" t="s">
        <v>183</v>
      </c>
      <c r="C240" s="34"/>
      <c r="D240" s="34"/>
      <c r="F240" s="34"/>
      <c r="G240" s="34"/>
      <c r="H240" s="34"/>
      <c r="I240" s="34"/>
      <c r="J240" s="34"/>
      <c r="K240" s="34"/>
      <c r="L240" s="34"/>
      <c r="M240" s="34"/>
      <c r="N240" s="34"/>
      <c r="O240" s="34"/>
      <c r="P240" s="34"/>
    </row>
    <row r="241" spans="2:16" x14ac:dyDescent="0.25">
      <c r="B241" s="34" t="s">
        <v>346</v>
      </c>
      <c r="C241" s="34"/>
      <c r="D241" s="34"/>
      <c r="F241" s="49" t="s">
        <v>344</v>
      </c>
      <c r="G241" s="307">
        <f ca="1">G235</f>
        <v>2020</v>
      </c>
      <c r="H241" s="307">
        <f t="shared" ref="H241:P241" ca="1" si="139">H235</f>
        <v>2021</v>
      </c>
      <c r="I241" s="307">
        <f t="shared" ca="1" si="139"/>
        <v>2022</v>
      </c>
      <c r="J241" s="307">
        <f t="shared" ca="1" si="139"/>
        <v>2023</v>
      </c>
      <c r="K241" s="307">
        <f t="shared" ca="1" si="139"/>
        <v>2024</v>
      </c>
      <c r="L241" s="307">
        <f t="shared" ca="1" si="139"/>
        <v>2025</v>
      </c>
      <c r="M241" s="307">
        <f t="shared" ca="1" si="139"/>
        <v>2026</v>
      </c>
      <c r="N241" s="307">
        <f t="shared" ca="1" si="139"/>
        <v>2027</v>
      </c>
      <c r="O241" s="307">
        <f t="shared" ca="1" si="139"/>
        <v>2028</v>
      </c>
      <c r="P241" s="307">
        <f t="shared" ca="1" si="139"/>
        <v>2029</v>
      </c>
    </row>
    <row r="242" spans="2:16" x14ac:dyDescent="0.25">
      <c r="B242" s="34" t="s">
        <v>210</v>
      </c>
      <c r="C242" s="244" t="s">
        <v>212</v>
      </c>
      <c r="D242" s="34"/>
      <c r="F242" s="106">
        <f>'Financials Quarterly'!N20</f>
        <v>897660.99000000022</v>
      </c>
      <c r="G242" s="106">
        <f t="shared" ref="G242:P242" si="140">G33</f>
        <v>816245</v>
      </c>
      <c r="H242" s="106">
        <f t="shared" si="140"/>
        <v>1014033.8999999999</v>
      </c>
      <c r="I242" s="106">
        <f t="shared" si="140"/>
        <v>1245940.6299999999</v>
      </c>
      <c r="J242" s="106">
        <f t="shared" si="140"/>
        <v>1298757.8560000001</v>
      </c>
      <c r="K242" s="106">
        <f t="shared" si="140"/>
        <v>1363695.7488000002</v>
      </c>
      <c r="L242" s="106">
        <f t="shared" si="140"/>
        <v>1431880.5362400003</v>
      </c>
      <c r="M242" s="106">
        <f t="shared" si="140"/>
        <v>1460518.1469648005</v>
      </c>
      <c r="N242" s="106">
        <f t="shared" si="140"/>
        <v>1489728.5099040959</v>
      </c>
      <c r="O242" s="106">
        <f t="shared" si="140"/>
        <v>1519523.0801021783</v>
      </c>
      <c r="P242" s="106">
        <f t="shared" si="140"/>
        <v>1549913.5417042226</v>
      </c>
    </row>
    <row r="243" spans="2:16" x14ac:dyDescent="0.25">
      <c r="B243" s="34" t="s">
        <v>165</v>
      </c>
      <c r="C243" s="34" t="s">
        <v>332</v>
      </c>
      <c r="D243" s="34"/>
      <c r="E243" s="34"/>
      <c r="F243" s="127">
        <f>Summary!K115</f>
        <v>6.5</v>
      </c>
      <c r="G243" s="127">
        <f>Summary!P115</f>
        <v>6.5</v>
      </c>
      <c r="H243" s="124">
        <f>G243</f>
        <v>6.5</v>
      </c>
      <c r="I243" s="124">
        <f t="shared" ref="I243:P243" si="141">H243</f>
        <v>6.5</v>
      </c>
      <c r="J243" s="124">
        <f t="shared" si="141"/>
        <v>6.5</v>
      </c>
      <c r="K243" s="124">
        <f t="shared" si="141"/>
        <v>6.5</v>
      </c>
      <c r="L243" s="124">
        <f t="shared" si="141"/>
        <v>6.5</v>
      </c>
      <c r="M243" s="124">
        <f t="shared" si="141"/>
        <v>6.5</v>
      </c>
      <c r="N243" s="124">
        <f t="shared" si="141"/>
        <v>6.5</v>
      </c>
      <c r="O243" s="124">
        <f t="shared" si="141"/>
        <v>6.5</v>
      </c>
      <c r="P243" s="124">
        <f t="shared" si="141"/>
        <v>6.5</v>
      </c>
    </row>
    <row r="244" spans="2:16" x14ac:dyDescent="0.25">
      <c r="B244" s="45" t="s">
        <v>166</v>
      </c>
      <c r="C244" s="101" t="s">
        <v>212</v>
      </c>
      <c r="D244" s="45"/>
      <c r="E244" s="45"/>
      <c r="F244" s="120">
        <f>F242*F243</f>
        <v>5834796.4350000015</v>
      </c>
      <c r="G244" s="120">
        <f>G242*G243</f>
        <v>5305592.5</v>
      </c>
      <c r="H244" s="120">
        <f t="shared" ref="H244:P244" si="142">H242*H243</f>
        <v>6591220.3499999996</v>
      </c>
      <c r="I244" s="120">
        <f t="shared" si="142"/>
        <v>8098614.0949999988</v>
      </c>
      <c r="J244" s="120">
        <f t="shared" si="142"/>
        <v>8441926.0640000012</v>
      </c>
      <c r="K244" s="120">
        <f t="shared" si="142"/>
        <v>8864022.3672000021</v>
      </c>
      <c r="L244" s="120">
        <f t="shared" si="142"/>
        <v>9307223.4855600018</v>
      </c>
      <c r="M244" s="120">
        <f t="shared" si="142"/>
        <v>9493367.9552712031</v>
      </c>
      <c r="N244" s="120">
        <f t="shared" si="142"/>
        <v>9683235.3143766224</v>
      </c>
      <c r="O244" s="120">
        <f t="shared" si="142"/>
        <v>9876900.0206641592</v>
      </c>
      <c r="P244" s="120">
        <f t="shared" si="142"/>
        <v>10074438.021077447</v>
      </c>
    </row>
    <row r="245" spans="2:16" x14ac:dyDescent="0.25">
      <c r="B245" s="34" t="s">
        <v>167</v>
      </c>
      <c r="C245" s="244" t="s">
        <v>212</v>
      </c>
      <c r="D245" s="34"/>
      <c r="E245" s="34"/>
      <c r="F245" s="106">
        <f>D214</f>
        <v>236447.99</v>
      </c>
      <c r="G245" s="106">
        <f>G55</f>
        <v>1836447.99</v>
      </c>
      <c r="H245" s="106">
        <f ca="1">H55</f>
        <v>142225.92715753405</v>
      </c>
      <c r="I245" s="106">
        <f t="shared" ref="I245:P245" ca="1" si="143">I55</f>
        <v>-445579.90335616493</v>
      </c>
      <c r="J245" s="106">
        <f t="shared" ca="1" si="143"/>
        <v>-438540.85221917904</v>
      </c>
      <c r="K245" s="106">
        <f t="shared" ca="1" si="143"/>
        <v>-407856.56158013758</v>
      </c>
      <c r="L245" s="106">
        <f t="shared" ca="1" si="143"/>
        <v>-400190.55640914431</v>
      </c>
      <c r="M245" s="106">
        <f t="shared" ca="1" si="143"/>
        <v>12237.532070673304</v>
      </c>
      <c r="N245" s="106">
        <f t="shared" ca="1" si="143"/>
        <v>275796.24110605079</v>
      </c>
      <c r="O245" s="106">
        <f t="shared" ca="1" si="143"/>
        <v>600032.99932213582</v>
      </c>
      <c r="P245" s="106">
        <f t="shared" ca="1" si="143"/>
        <v>855505.11770254292</v>
      </c>
    </row>
    <row r="246" spans="2:16" x14ac:dyDescent="0.25">
      <c r="B246" s="34" t="s">
        <v>168</v>
      </c>
      <c r="C246" s="244" t="s">
        <v>212</v>
      </c>
      <c r="D246" s="34"/>
      <c r="E246" s="34"/>
      <c r="F246" s="106">
        <f>D215</f>
        <v>-2000000</v>
      </c>
      <c r="G246" s="106">
        <f ca="1">-SUM(G65:G66)</f>
        <v>-3400000</v>
      </c>
      <c r="H246" s="106">
        <f t="shared" ref="H246:P246" ca="1" si="144">-SUM(H65:H66)</f>
        <v>-2790000</v>
      </c>
      <c r="I246" s="106">
        <f t="shared" ca="1" si="144"/>
        <v>-1685000</v>
      </c>
      <c r="J246" s="106">
        <f t="shared" ca="1" si="144"/>
        <v>-1105000</v>
      </c>
      <c r="K246" s="106">
        <f t="shared" ca="1" si="144"/>
        <v>-425000</v>
      </c>
      <c r="L246" s="106">
        <f t="shared" ca="1" si="144"/>
        <v>-50000</v>
      </c>
      <c r="M246" s="106">
        <f t="shared" ca="1" si="144"/>
        <v>0</v>
      </c>
      <c r="N246" s="106">
        <f t="shared" ca="1" si="144"/>
        <v>0</v>
      </c>
      <c r="O246" s="106">
        <f t="shared" ca="1" si="144"/>
        <v>0</v>
      </c>
      <c r="P246" s="106">
        <f t="shared" ca="1" si="144"/>
        <v>0</v>
      </c>
    </row>
    <row r="247" spans="2:16" x14ac:dyDescent="0.25">
      <c r="B247" s="45" t="s">
        <v>169</v>
      </c>
      <c r="C247" s="101" t="s">
        <v>212</v>
      </c>
      <c r="D247" s="45"/>
      <c r="E247" s="45"/>
      <c r="F247" s="120">
        <f>SUM(F244:F246)</f>
        <v>4071244.4250000017</v>
      </c>
      <c r="G247" s="120">
        <f ca="1">SUM(G244:G246)</f>
        <v>3742040.49</v>
      </c>
      <c r="H247" s="120">
        <f ca="1">SUM(H244:H246)</f>
        <v>3943446.2771575339</v>
      </c>
      <c r="I247" s="120">
        <f t="shared" ref="I247:P247" ca="1" si="145">SUM(I244:I246)</f>
        <v>5968034.1916438341</v>
      </c>
      <c r="J247" s="120">
        <f t="shared" ca="1" si="145"/>
        <v>6898385.2117808219</v>
      </c>
      <c r="K247" s="120">
        <f t="shared" ca="1" si="145"/>
        <v>8031165.8056198638</v>
      </c>
      <c r="L247" s="120">
        <f t="shared" ca="1" si="145"/>
        <v>8857032.929150857</v>
      </c>
      <c r="M247" s="120">
        <f t="shared" ca="1" si="145"/>
        <v>9505605.4873418771</v>
      </c>
      <c r="N247" s="120">
        <f t="shared" ca="1" si="145"/>
        <v>9959031.5554826725</v>
      </c>
      <c r="O247" s="120">
        <f t="shared" ca="1" si="145"/>
        <v>10476933.019986294</v>
      </c>
      <c r="P247" s="120">
        <f t="shared" ca="1" si="145"/>
        <v>10929943.13877999</v>
      </c>
    </row>
    <row r="248" spans="2:16" x14ac:dyDescent="0.25">
      <c r="B248" s="34"/>
      <c r="C248" s="34"/>
      <c r="D248" s="34"/>
      <c r="E248" s="34"/>
      <c r="F248" s="34"/>
      <c r="G248" s="34"/>
      <c r="H248" s="34"/>
      <c r="I248" s="34"/>
      <c r="J248" s="34"/>
      <c r="K248" s="34"/>
      <c r="L248" s="34"/>
      <c r="M248" s="34"/>
      <c r="N248" s="34"/>
      <c r="O248" s="34"/>
      <c r="P248" s="34"/>
    </row>
    <row r="249" spans="2:16" x14ac:dyDescent="0.25">
      <c r="B249" s="34"/>
      <c r="C249" s="34"/>
      <c r="D249" s="34"/>
      <c r="E249" s="34"/>
      <c r="F249" s="34"/>
      <c r="G249" s="34"/>
      <c r="H249" s="34"/>
      <c r="I249" s="34"/>
      <c r="J249" s="34"/>
      <c r="K249" s="34"/>
      <c r="L249" s="34"/>
      <c r="M249" s="34"/>
      <c r="N249" s="34"/>
      <c r="O249" s="34"/>
      <c r="P249" s="34"/>
    </row>
    <row r="250" spans="2:16" ht="13" x14ac:dyDescent="0.3">
      <c r="B250" s="166" t="s">
        <v>5</v>
      </c>
      <c r="C250" s="60"/>
      <c r="D250" s="60"/>
      <c r="E250" s="60"/>
      <c r="F250" s="60"/>
      <c r="G250" s="60"/>
      <c r="H250" s="60"/>
      <c r="I250" s="60"/>
      <c r="J250" s="60"/>
      <c r="K250" s="60"/>
      <c r="L250" s="60"/>
      <c r="M250" s="60"/>
      <c r="N250" s="60"/>
      <c r="O250" s="60"/>
      <c r="P250" s="60"/>
    </row>
    <row r="251" spans="2:16" x14ac:dyDescent="0.25">
      <c r="B251" s="34" t="s">
        <v>24</v>
      </c>
      <c r="C251" s="34"/>
      <c r="D251" s="34"/>
      <c r="E251" s="34"/>
      <c r="F251" s="34"/>
      <c r="G251" s="34"/>
      <c r="H251" s="34"/>
      <c r="I251" s="34"/>
      <c r="J251" s="34"/>
      <c r="K251" s="34"/>
      <c r="L251" s="34"/>
      <c r="M251" s="34"/>
      <c r="N251" s="34"/>
      <c r="O251" s="34"/>
      <c r="P251" s="34"/>
    </row>
    <row r="252" spans="2:16" x14ac:dyDescent="0.25">
      <c r="B252" s="34" t="s">
        <v>85</v>
      </c>
      <c r="C252" s="34"/>
      <c r="D252" s="34"/>
      <c r="E252" s="34"/>
      <c r="F252" s="130">
        <f>-Summary!E116</f>
        <v>-1315085.4067500019</v>
      </c>
      <c r="G252" s="34"/>
      <c r="H252" s="34"/>
      <c r="I252" s="34"/>
      <c r="J252" s="34"/>
      <c r="K252" s="34"/>
      <c r="L252" s="34"/>
      <c r="M252" s="34"/>
      <c r="N252" s="34"/>
      <c r="O252" s="34"/>
      <c r="P252" s="34"/>
    </row>
    <row r="253" spans="2:16" x14ac:dyDescent="0.25">
      <c r="B253" s="34" t="s">
        <v>205</v>
      </c>
      <c r="C253" s="34"/>
      <c r="D253" s="34"/>
      <c r="E253" s="34"/>
      <c r="F253" s="106"/>
      <c r="G253" s="106">
        <f ca="1">IF(G$235&lt;=$C$238,-G$94*$G226,"")</f>
        <v>67222.882125000004</v>
      </c>
      <c r="H253" s="106">
        <f t="shared" ref="H253:P253" ca="1" si="146">IF(H$235&lt;=$C$238,-H$94*$G226,"")</f>
        <v>128922.16713749997</v>
      </c>
      <c r="I253" s="106">
        <f t="shared" ca="1" si="146"/>
        <v>0</v>
      </c>
      <c r="J253" s="106" t="str">
        <f t="shared" ca="1" si="146"/>
        <v/>
      </c>
      <c r="K253" s="106" t="str">
        <f t="shared" ca="1" si="146"/>
        <v/>
      </c>
      <c r="L253" s="106" t="str">
        <f t="shared" ca="1" si="146"/>
        <v/>
      </c>
      <c r="M253" s="106" t="str">
        <f t="shared" ca="1" si="146"/>
        <v/>
      </c>
      <c r="N253" s="106" t="str">
        <f t="shared" ca="1" si="146"/>
        <v/>
      </c>
      <c r="O253" s="106" t="str">
        <f t="shared" ca="1" si="146"/>
        <v/>
      </c>
      <c r="P253" s="106" t="str">
        <f t="shared" ca="1" si="146"/>
        <v/>
      </c>
    </row>
    <row r="254" spans="2:16" x14ac:dyDescent="0.25">
      <c r="B254" s="34" t="s">
        <v>206</v>
      </c>
      <c r="C254" s="34"/>
      <c r="D254" s="34"/>
      <c r="E254" s="34"/>
      <c r="F254" s="34"/>
      <c r="G254" s="106" t="str">
        <f t="shared" ref="G254:P254" ca="1" si="147">IF(G$235=$C$238,G$247*$G226,"")</f>
        <v/>
      </c>
      <c r="H254" s="106" t="str">
        <f t="shared" ca="1" si="147"/>
        <v/>
      </c>
      <c r="I254" s="106">
        <f t="shared" ca="1" si="147"/>
        <v>4613290.4301406834</v>
      </c>
      <c r="J254" s="106" t="str">
        <f t="shared" ca="1" si="147"/>
        <v/>
      </c>
      <c r="K254" s="106" t="str">
        <f t="shared" ca="1" si="147"/>
        <v/>
      </c>
      <c r="L254" s="106" t="str">
        <f t="shared" ca="1" si="147"/>
        <v/>
      </c>
      <c r="M254" s="106" t="str">
        <f t="shared" ca="1" si="147"/>
        <v/>
      </c>
      <c r="N254" s="106" t="str">
        <f t="shared" ca="1" si="147"/>
        <v/>
      </c>
      <c r="O254" s="106" t="str">
        <f t="shared" ca="1" si="147"/>
        <v/>
      </c>
      <c r="P254" s="106" t="str">
        <f t="shared" ca="1" si="147"/>
        <v/>
      </c>
    </row>
    <row r="255" spans="2:16" x14ac:dyDescent="0.25">
      <c r="B255" s="45" t="s">
        <v>184</v>
      </c>
      <c r="C255" s="45"/>
      <c r="D255" s="45"/>
      <c r="E255" s="45"/>
      <c r="F255" s="120">
        <f>SUM(F252:F254)</f>
        <v>-1315085.4067500019</v>
      </c>
      <c r="G255" s="120">
        <f ca="1">SUM(G252:G254)</f>
        <v>67222.882125000004</v>
      </c>
      <c r="H255" s="120">
        <f t="shared" ref="H255:P255" ca="1" si="148">SUM(H252:H254)</f>
        <v>128922.16713749997</v>
      </c>
      <c r="I255" s="120">
        <f t="shared" ca="1" si="148"/>
        <v>4613290.4301406834</v>
      </c>
      <c r="J255" s="120">
        <f t="shared" ca="1" si="148"/>
        <v>0</v>
      </c>
      <c r="K255" s="120">
        <f t="shared" ca="1" si="148"/>
        <v>0</v>
      </c>
      <c r="L255" s="120">
        <f t="shared" ca="1" si="148"/>
        <v>0</v>
      </c>
      <c r="M255" s="120">
        <f t="shared" ca="1" si="148"/>
        <v>0</v>
      </c>
      <c r="N255" s="120">
        <f t="shared" ca="1" si="148"/>
        <v>0</v>
      </c>
      <c r="O255" s="120">
        <f t="shared" ca="1" si="148"/>
        <v>0</v>
      </c>
      <c r="P255" s="120">
        <f t="shared" ca="1" si="148"/>
        <v>0</v>
      </c>
    </row>
    <row r="256" spans="2:16" ht="13" thickBot="1" x14ac:dyDescent="0.3">
      <c r="B256" s="34" t="s">
        <v>44</v>
      </c>
      <c r="C256" s="106">
        <f ca="1">SUM(G253:P254)</f>
        <v>4809435.4794031838</v>
      </c>
      <c r="D256" s="34"/>
      <c r="E256" s="34"/>
      <c r="F256" s="34"/>
      <c r="G256" s="34"/>
      <c r="H256" s="34"/>
      <c r="I256" s="34"/>
      <c r="J256" s="34"/>
      <c r="K256" s="34"/>
      <c r="L256" s="34"/>
      <c r="M256" s="34"/>
      <c r="N256" s="34"/>
      <c r="O256" s="34"/>
      <c r="P256" s="34"/>
    </row>
    <row r="257" spans="2:16" x14ac:dyDescent="0.25">
      <c r="B257" s="157" t="s">
        <v>157</v>
      </c>
      <c r="C257" s="158">
        <f ca="1">-C256/F252</f>
        <v>3.657127860074763</v>
      </c>
      <c r="D257" s="34"/>
      <c r="E257" s="34"/>
      <c r="F257" s="34"/>
      <c r="G257" s="34"/>
      <c r="H257" s="34"/>
      <c r="I257" s="34"/>
      <c r="J257" s="34"/>
      <c r="K257" s="34"/>
      <c r="L257" s="34"/>
      <c r="M257" s="34"/>
      <c r="N257" s="34"/>
      <c r="O257" s="34"/>
      <c r="P257" s="34"/>
    </row>
    <row r="258" spans="2:16" ht="13" thickBot="1" x14ac:dyDescent="0.3">
      <c r="B258" s="159" t="s">
        <v>185</v>
      </c>
      <c r="C258" s="160">
        <f ca="1">XIRR(F255:P255,F$237:P$237,0.1)</f>
        <v>0.4592950403690339</v>
      </c>
      <c r="D258" s="34"/>
      <c r="E258" s="34"/>
      <c r="F258" s="34"/>
      <c r="G258" s="34"/>
      <c r="H258" s="34"/>
      <c r="I258" s="34"/>
      <c r="J258" s="34"/>
      <c r="K258" s="34"/>
      <c r="L258" s="34"/>
      <c r="M258" s="34"/>
      <c r="N258" s="34"/>
      <c r="O258" s="34"/>
      <c r="P258" s="34"/>
    </row>
    <row r="259" spans="2:16" x14ac:dyDescent="0.25">
      <c r="B259" s="34"/>
      <c r="C259" s="34"/>
      <c r="D259" s="34"/>
      <c r="E259" s="34"/>
      <c r="F259" s="34"/>
      <c r="G259" s="34"/>
      <c r="H259" s="34"/>
      <c r="I259" s="34"/>
      <c r="J259" s="34"/>
      <c r="K259" s="34"/>
      <c r="L259" s="34"/>
      <c r="M259" s="34"/>
      <c r="N259" s="34"/>
      <c r="O259" s="34"/>
      <c r="P259" s="34"/>
    </row>
    <row r="260" spans="2:16" x14ac:dyDescent="0.25">
      <c r="B260" s="34"/>
      <c r="C260" s="34"/>
      <c r="D260" s="34"/>
      <c r="E260" s="34"/>
      <c r="F260" s="34"/>
      <c r="G260" s="34"/>
      <c r="H260" s="34"/>
      <c r="I260" s="34"/>
      <c r="J260" s="34"/>
      <c r="K260" s="34"/>
      <c r="L260" s="34"/>
      <c r="M260" s="34"/>
      <c r="N260" s="34"/>
      <c r="O260" s="34"/>
      <c r="P260" s="34"/>
    </row>
    <row r="261" spans="2:16" ht="13" x14ac:dyDescent="0.3">
      <c r="B261" s="166" t="s">
        <v>6</v>
      </c>
      <c r="C261" s="60"/>
      <c r="D261" s="60"/>
      <c r="E261" s="60"/>
      <c r="F261" s="60"/>
      <c r="G261" s="60"/>
      <c r="H261" s="60"/>
      <c r="I261" s="60"/>
      <c r="J261" s="60"/>
      <c r="K261" s="60"/>
      <c r="L261" s="60"/>
      <c r="M261" s="60"/>
      <c r="N261" s="60"/>
      <c r="O261" s="60"/>
      <c r="P261" s="60"/>
    </row>
    <row r="262" spans="2:16" x14ac:dyDescent="0.25">
      <c r="B262" s="34" t="s">
        <v>85</v>
      </c>
      <c r="C262" s="34"/>
      <c r="D262" s="34"/>
      <c r="E262" s="34"/>
      <c r="F262" s="165">
        <f>-Summary!E117</f>
        <v>-200000</v>
      </c>
      <c r="G262" s="34"/>
      <c r="H262" s="34"/>
      <c r="I262" s="34"/>
      <c r="J262" s="34"/>
      <c r="K262" s="34"/>
      <c r="L262" s="34"/>
      <c r="M262" s="34"/>
      <c r="N262" s="34"/>
      <c r="O262" s="34"/>
      <c r="P262" s="34"/>
    </row>
    <row r="263" spans="2:16" x14ac:dyDescent="0.25">
      <c r="B263" s="34" t="s">
        <v>205</v>
      </c>
      <c r="C263" s="34"/>
      <c r="D263" s="34"/>
      <c r="E263" s="34"/>
      <c r="F263" s="106"/>
      <c r="G263" s="106">
        <f ca="1">IF(G$235&lt;=$C$238,-G$94*($G$227+$G$230),"")</f>
        <v>17131.834125000001</v>
      </c>
      <c r="H263" s="106">
        <f t="shared" ref="H263:P263" ca="1" si="149">IF(H$235&lt;=$C$238,-H$94*($G$227+$G$230),"")</f>
        <v>32855.972737499993</v>
      </c>
      <c r="I263" s="106">
        <f t="shared" ca="1" si="149"/>
        <v>0</v>
      </c>
      <c r="J263" s="106" t="str">
        <f t="shared" ca="1" si="149"/>
        <v/>
      </c>
      <c r="K263" s="106" t="str">
        <f t="shared" ca="1" si="149"/>
        <v/>
      </c>
      <c r="L263" s="106" t="str">
        <f t="shared" ca="1" si="149"/>
        <v/>
      </c>
      <c r="M263" s="106" t="str">
        <f t="shared" ca="1" si="149"/>
        <v/>
      </c>
      <c r="N263" s="106" t="str">
        <f t="shared" ca="1" si="149"/>
        <v/>
      </c>
      <c r="O263" s="106" t="str">
        <f t="shared" ca="1" si="149"/>
        <v/>
      </c>
      <c r="P263" s="106" t="str">
        <f t="shared" ca="1" si="149"/>
        <v/>
      </c>
    </row>
    <row r="264" spans="2:16" x14ac:dyDescent="0.25">
      <c r="B264" s="34" t="s">
        <v>206</v>
      </c>
      <c r="C264" s="34"/>
      <c r="D264" s="34"/>
      <c r="E264" s="34"/>
      <c r="F264" s="34"/>
      <c r="G264" s="106" t="str">
        <f t="shared" ref="G264:M264" ca="1" si="150">IF(G$235=$C$238,G$247*($G$227+$G$230),"")</f>
        <v/>
      </c>
      <c r="H264" s="106" t="str">
        <f t="shared" ca="1" si="150"/>
        <v/>
      </c>
      <c r="I264" s="106">
        <f t="shared" ca="1" si="150"/>
        <v>1175702.7357538354</v>
      </c>
      <c r="J264" s="106" t="str">
        <f t="shared" ca="1" si="150"/>
        <v/>
      </c>
      <c r="K264" s="106" t="str">
        <f t="shared" ca="1" si="150"/>
        <v/>
      </c>
      <c r="L264" s="106" t="str">
        <f t="shared" ca="1" si="150"/>
        <v/>
      </c>
      <c r="M264" s="106" t="str">
        <f t="shared" ca="1" si="150"/>
        <v/>
      </c>
      <c r="N264" s="106" t="str">
        <f ca="1">IF(N$235=$C$238,N$247*($G$226+$G$230),"")</f>
        <v/>
      </c>
      <c r="O264" s="106" t="str">
        <f ca="1">IF(O$235=$C$238,O$247*($G$226+$G$230),"")</f>
        <v/>
      </c>
      <c r="P264" s="106" t="str">
        <f ca="1">IF(P$235=$C$238,P$247*($G$226+$G$230),"")</f>
        <v/>
      </c>
    </row>
    <row r="265" spans="2:16" x14ac:dyDescent="0.25">
      <c r="B265" s="45" t="s">
        <v>184</v>
      </c>
      <c r="C265" s="45"/>
      <c r="D265" s="45"/>
      <c r="E265" s="45"/>
      <c r="F265" s="120">
        <f t="shared" ref="F265:P265" si="151">SUM(F262:F264)</f>
        <v>-200000</v>
      </c>
      <c r="G265" s="120">
        <f t="shared" ca="1" si="151"/>
        <v>17131.834125000001</v>
      </c>
      <c r="H265" s="120">
        <f t="shared" ca="1" si="151"/>
        <v>32855.972737499993</v>
      </c>
      <c r="I265" s="120">
        <f t="shared" ca="1" si="151"/>
        <v>1175702.7357538354</v>
      </c>
      <c r="J265" s="120">
        <f t="shared" ca="1" si="151"/>
        <v>0</v>
      </c>
      <c r="K265" s="120">
        <f t="shared" ca="1" si="151"/>
        <v>0</v>
      </c>
      <c r="L265" s="120">
        <f t="shared" ca="1" si="151"/>
        <v>0</v>
      </c>
      <c r="M265" s="120">
        <f t="shared" ca="1" si="151"/>
        <v>0</v>
      </c>
      <c r="N265" s="120">
        <f t="shared" ca="1" si="151"/>
        <v>0</v>
      </c>
      <c r="O265" s="120">
        <f t="shared" ca="1" si="151"/>
        <v>0</v>
      </c>
      <c r="P265" s="120">
        <f t="shared" ca="1" si="151"/>
        <v>0</v>
      </c>
    </row>
    <row r="266" spans="2:16" ht="13" thickBot="1" x14ac:dyDescent="0.3">
      <c r="B266" s="34" t="s">
        <v>44</v>
      </c>
      <c r="C266" s="106">
        <f ca="1">SUM(G263:P264)</f>
        <v>1225690.5426163354</v>
      </c>
      <c r="D266" s="34"/>
      <c r="E266" s="34"/>
      <c r="F266" s="34"/>
      <c r="G266" s="34"/>
      <c r="H266" s="34"/>
      <c r="I266" s="34"/>
      <c r="J266" s="34"/>
      <c r="K266" s="34"/>
      <c r="L266" s="34"/>
      <c r="M266" s="34"/>
      <c r="N266" s="34"/>
      <c r="O266" s="34"/>
      <c r="P266" s="34"/>
    </row>
    <row r="267" spans="2:16" x14ac:dyDescent="0.25">
      <c r="B267" s="157" t="s">
        <v>157</v>
      </c>
      <c r="C267" s="158">
        <f ca="1">-C266/F262</f>
        <v>6.1284527130816775</v>
      </c>
      <c r="D267" s="34"/>
      <c r="E267" s="34"/>
      <c r="F267" s="34"/>
      <c r="G267" s="34"/>
      <c r="H267" s="34"/>
      <c r="I267" s="34"/>
      <c r="J267" s="34"/>
      <c r="K267" s="34"/>
      <c r="L267" s="34"/>
      <c r="M267" s="34"/>
      <c r="N267" s="34"/>
      <c r="O267" s="34"/>
      <c r="P267" s="34"/>
    </row>
    <row r="268" spans="2:16" ht="13" thickBot="1" x14ac:dyDescent="0.3">
      <c r="B268" s="159" t="s">
        <v>185</v>
      </c>
      <c r="C268" s="160">
        <f ca="1">XIRR(F265:P265,F$237:P$237,)</f>
        <v>0.69887140989303598</v>
      </c>
      <c r="D268" s="34"/>
      <c r="E268" s="34"/>
      <c r="F268" s="34"/>
      <c r="G268" s="34"/>
      <c r="H268" s="34"/>
      <c r="I268" s="34"/>
      <c r="J268" s="34"/>
      <c r="K268" s="34"/>
      <c r="L268" s="34"/>
      <c r="M268" s="34"/>
      <c r="N268" s="34"/>
      <c r="O268" s="34"/>
      <c r="P268" s="34"/>
    </row>
    <row r="269" spans="2:16" x14ac:dyDescent="0.25">
      <c r="B269" s="34"/>
      <c r="C269" s="34"/>
      <c r="D269" s="34"/>
      <c r="E269" s="34"/>
      <c r="F269" s="34"/>
      <c r="G269" s="34"/>
      <c r="H269" s="34"/>
      <c r="I269" s="34"/>
      <c r="J269" s="34"/>
      <c r="K269" s="34"/>
      <c r="L269" s="34"/>
      <c r="M269" s="34"/>
      <c r="N269" s="34"/>
      <c r="O269" s="34"/>
      <c r="P269" s="34"/>
    </row>
    <row r="270" spans="2:16" x14ac:dyDescent="0.25">
      <c r="B270" s="34"/>
      <c r="C270" s="34"/>
      <c r="D270" s="34"/>
      <c r="E270" s="34"/>
      <c r="F270" s="34"/>
      <c r="G270" s="34"/>
      <c r="H270" s="34"/>
      <c r="I270" s="34"/>
      <c r="J270" s="34"/>
      <c r="K270" s="34"/>
      <c r="L270" s="34"/>
      <c r="M270" s="34"/>
      <c r="N270" s="34"/>
      <c r="O270" s="34"/>
      <c r="P270" s="34"/>
    </row>
    <row r="271" spans="2:16" ht="13" x14ac:dyDescent="0.3">
      <c r="B271" s="166" t="s">
        <v>4</v>
      </c>
      <c r="C271" s="60"/>
      <c r="D271" s="60"/>
      <c r="E271" s="60"/>
      <c r="F271" s="60"/>
      <c r="G271" s="60"/>
      <c r="H271" s="60"/>
      <c r="I271" s="60"/>
      <c r="J271" s="60"/>
      <c r="K271" s="60"/>
      <c r="L271" s="60"/>
      <c r="M271" s="60"/>
      <c r="N271" s="60"/>
      <c r="O271" s="60"/>
      <c r="P271" s="60"/>
    </row>
    <row r="272" spans="2:16" x14ac:dyDescent="0.25">
      <c r="B272" s="34" t="s">
        <v>85</v>
      </c>
      <c r="C272" s="34"/>
      <c r="D272" s="34"/>
      <c r="E272" s="34"/>
      <c r="F272" s="130">
        <f>-Summary!E114</f>
        <v>-500000</v>
      </c>
      <c r="G272" s="34"/>
      <c r="H272" s="34"/>
      <c r="I272" s="34"/>
      <c r="J272" s="34"/>
      <c r="K272" s="34"/>
      <c r="L272" s="34"/>
      <c r="M272" s="34"/>
      <c r="N272" s="34"/>
      <c r="O272" s="34"/>
      <c r="P272" s="34"/>
    </row>
    <row r="273" spans="2:16" x14ac:dyDescent="0.25">
      <c r="B273" s="34" t="s">
        <v>94</v>
      </c>
      <c r="C273" s="34" t="str">
        <f>Summary!P176</f>
        <v>PIK</v>
      </c>
      <c r="D273" s="34"/>
      <c r="E273" s="34"/>
      <c r="F273" s="106"/>
      <c r="G273" s="106">
        <f ca="1">-G321</f>
        <v>45000</v>
      </c>
      <c r="H273" s="106">
        <f t="shared" ref="H273:P273" ca="1" si="152">-H321</f>
        <v>30000</v>
      </c>
      <c r="I273" s="106">
        <f t="shared" ca="1" si="152"/>
        <v>15000</v>
      </c>
      <c r="J273" s="106">
        <f t="shared" ca="1" si="152"/>
        <v>0</v>
      </c>
      <c r="K273" s="106">
        <f t="shared" ca="1" si="152"/>
        <v>0</v>
      </c>
      <c r="L273" s="106">
        <f t="shared" ca="1" si="152"/>
        <v>0</v>
      </c>
      <c r="M273" s="106">
        <f t="shared" ca="1" si="152"/>
        <v>0</v>
      </c>
      <c r="N273" s="106">
        <f t="shared" ca="1" si="152"/>
        <v>0</v>
      </c>
      <c r="O273" s="106">
        <f t="shared" ca="1" si="152"/>
        <v>0</v>
      </c>
      <c r="P273" s="106">
        <f t="shared" ca="1" si="152"/>
        <v>0</v>
      </c>
    </row>
    <row r="274" spans="2:16" x14ac:dyDescent="0.25">
      <c r="B274" s="34" t="s">
        <v>93</v>
      </c>
      <c r="C274" s="34"/>
      <c r="D274" s="34"/>
      <c r="E274" s="34"/>
      <c r="F274" s="106"/>
      <c r="G274" s="106">
        <f ca="1">-G347</f>
        <v>0</v>
      </c>
      <c r="H274" s="106">
        <f t="shared" ref="H274:P274" ca="1" si="153">-H347</f>
        <v>0</v>
      </c>
      <c r="I274" s="106">
        <f t="shared" ca="1" si="153"/>
        <v>500000</v>
      </c>
      <c r="J274" s="106">
        <f t="shared" ca="1" si="153"/>
        <v>0</v>
      </c>
      <c r="K274" s="106">
        <f t="shared" ca="1" si="153"/>
        <v>0</v>
      </c>
      <c r="L274" s="106">
        <f t="shared" ca="1" si="153"/>
        <v>0</v>
      </c>
      <c r="M274" s="106">
        <f t="shared" ca="1" si="153"/>
        <v>0</v>
      </c>
      <c r="N274" s="106">
        <f t="shared" ca="1" si="153"/>
        <v>0</v>
      </c>
      <c r="O274" s="106">
        <f t="shared" ca="1" si="153"/>
        <v>0</v>
      </c>
      <c r="P274" s="106">
        <f t="shared" ca="1" si="153"/>
        <v>0</v>
      </c>
    </row>
    <row r="275" spans="2:16" x14ac:dyDescent="0.25">
      <c r="B275" s="34" t="s">
        <v>206</v>
      </c>
      <c r="C275" s="34"/>
      <c r="D275" s="34"/>
      <c r="E275" s="34"/>
      <c r="F275" s="34"/>
      <c r="G275" s="106" t="str">
        <f t="shared" ref="G275:P275" ca="1" si="154">IF(G$235=$C$238,G$247*$G228,"")</f>
        <v/>
      </c>
      <c r="H275" s="106" t="str">
        <f t="shared" ca="1" si="154"/>
        <v/>
      </c>
      <c r="I275" s="106">
        <f t="shared" ca="1" si="154"/>
        <v>59680.341916438345</v>
      </c>
      <c r="J275" s="106" t="str">
        <f t="shared" ca="1" si="154"/>
        <v/>
      </c>
      <c r="K275" s="106" t="str">
        <f t="shared" ca="1" si="154"/>
        <v/>
      </c>
      <c r="L275" s="106" t="str">
        <f t="shared" ca="1" si="154"/>
        <v/>
      </c>
      <c r="M275" s="106" t="str">
        <f t="shared" ca="1" si="154"/>
        <v/>
      </c>
      <c r="N275" s="106" t="str">
        <f t="shared" ca="1" si="154"/>
        <v/>
      </c>
      <c r="O275" s="106" t="str">
        <f t="shared" ca="1" si="154"/>
        <v/>
      </c>
      <c r="P275" s="106" t="str">
        <f t="shared" ca="1" si="154"/>
        <v/>
      </c>
    </row>
    <row r="276" spans="2:16" x14ac:dyDescent="0.25">
      <c r="B276" s="45" t="s">
        <v>184</v>
      </c>
      <c r="C276" s="45"/>
      <c r="D276" s="45"/>
      <c r="E276" s="45"/>
      <c r="F276" s="120">
        <f t="shared" ref="F276:P276" si="155">SUM(F272:F275)</f>
        <v>-500000</v>
      </c>
      <c r="G276" s="120">
        <f t="shared" ca="1" si="155"/>
        <v>45000</v>
      </c>
      <c r="H276" s="120">
        <f t="shared" ca="1" si="155"/>
        <v>30000</v>
      </c>
      <c r="I276" s="120">
        <f t="shared" ca="1" si="155"/>
        <v>574680.34191643831</v>
      </c>
      <c r="J276" s="120">
        <f t="shared" ca="1" si="155"/>
        <v>0</v>
      </c>
      <c r="K276" s="120">
        <f t="shared" ca="1" si="155"/>
        <v>0</v>
      </c>
      <c r="L276" s="120">
        <f t="shared" ca="1" si="155"/>
        <v>0</v>
      </c>
      <c r="M276" s="120">
        <f t="shared" ca="1" si="155"/>
        <v>0</v>
      </c>
      <c r="N276" s="120">
        <f t="shared" ca="1" si="155"/>
        <v>0</v>
      </c>
      <c r="O276" s="120">
        <f t="shared" ca="1" si="155"/>
        <v>0</v>
      </c>
      <c r="P276" s="120">
        <f t="shared" ca="1" si="155"/>
        <v>0</v>
      </c>
    </row>
    <row r="277" spans="2:16" ht="13" thickBot="1" x14ac:dyDescent="0.3">
      <c r="B277" s="34" t="s">
        <v>44</v>
      </c>
      <c r="C277" s="106">
        <f ca="1">SUM(G273:P275)</f>
        <v>649680.34191643831</v>
      </c>
      <c r="D277" s="34"/>
      <c r="E277" s="34"/>
      <c r="F277" s="34"/>
      <c r="G277" s="34"/>
      <c r="H277" s="34"/>
      <c r="I277" s="34"/>
      <c r="J277" s="34"/>
      <c r="K277" s="34"/>
      <c r="L277" s="34"/>
      <c r="M277" s="34"/>
      <c r="N277" s="34"/>
      <c r="O277" s="34"/>
      <c r="P277" s="34"/>
    </row>
    <row r="278" spans="2:16" x14ac:dyDescent="0.25">
      <c r="B278" s="157" t="s">
        <v>157</v>
      </c>
      <c r="C278" s="158">
        <f ca="1">-C277/F272</f>
        <v>1.2993606838328766</v>
      </c>
      <c r="D278" s="34"/>
      <c r="E278" s="34"/>
      <c r="F278" s="34"/>
      <c r="G278" s="34"/>
      <c r="H278" s="34"/>
      <c r="I278" s="34"/>
      <c r="J278" s="34"/>
      <c r="K278" s="34"/>
      <c r="L278" s="34"/>
      <c r="M278" s="34"/>
      <c r="N278" s="34"/>
      <c r="O278" s="34"/>
      <c r="P278" s="34"/>
    </row>
    <row r="279" spans="2:16" ht="13" thickBot="1" x14ac:dyDescent="0.3">
      <c r="B279" s="159" t="s">
        <v>185</v>
      </c>
      <c r="C279" s="160">
        <f ca="1">XIRR(F276:P276,F$237:P$237,0.1)</f>
        <v>8.2394233345985418E-2</v>
      </c>
      <c r="D279" s="34"/>
      <c r="E279" s="34"/>
      <c r="F279" s="34"/>
      <c r="G279" s="34"/>
      <c r="H279" s="34"/>
      <c r="I279" s="34"/>
      <c r="J279" s="34"/>
      <c r="K279" s="34"/>
      <c r="L279" s="34"/>
      <c r="M279" s="34"/>
      <c r="N279" s="34"/>
      <c r="O279" s="34"/>
      <c r="P279" s="34"/>
    </row>
    <row r="280" spans="2:16" x14ac:dyDescent="0.25">
      <c r="B280" s="34"/>
      <c r="C280" s="128"/>
      <c r="D280" s="34"/>
      <c r="E280" s="34"/>
      <c r="F280" s="34"/>
      <c r="G280" s="34"/>
      <c r="H280" s="34"/>
      <c r="I280" s="34"/>
      <c r="J280" s="34"/>
      <c r="K280" s="34"/>
      <c r="L280" s="34"/>
      <c r="M280" s="34"/>
      <c r="N280" s="34"/>
      <c r="O280" s="34"/>
      <c r="P280" s="34"/>
    </row>
    <row r="281" spans="2:16" x14ac:dyDescent="0.25">
      <c r="B281" s="34"/>
      <c r="C281" s="34"/>
      <c r="D281" s="34"/>
      <c r="E281" s="34"/>
      <c r="F281" s="34"/>
      <c r="G281" s="34"/>
      <c r="H281" s="34"/>
      <c r="I281" s="34"/>
      <c r="J281" s="34"/>
      <c r="K281" s="34"/>
      <c r="L281" s="34"/>
      <c r="M281" s="34"/>
      <c r="N281" s="34"/>
      <c r="O281" s="34"/>
      <c r="P281" s="34"/>
    </row>
    <row r="282" spans="2:16" ht="13" x14ac:dyDescent="0.3">
      <c r="B282" s="166" t="s">
        <v>7</v>
      </c>
      <c r="C282" s="60"/>
      <c r="D282" s="60"/>
      <c r="E282" s="60"/>
      <c r="F282" s="60"/>
      <c r="G282" s="60"/>
      <c r="H282" s="60"/>
      <c r="I282" s="60"/>
      <c r="J282" s="60"/>
      <c r="K282" s="60"/>
      <c r="L282" s="60"/>
      <c r="M282" s="60"/>
      <c r="N282" s="60"/>
      <c r="O282" s="60"/>
      <c r="P282" s="60"/>
    </row>
    <row r="283" spans="2:16" x14ac:dyDescent="0.25">
      <c r="B283" s="34" t="s">
        <v>24</v>
      </c>
      <c r="C283" s="34"/>
      <c r="D283" s="34"/>
      <c r="E283" s="34"/>
      <c r="F283" s="34"/>
      <c r="G283" s="34"/>
      <c r="H283" s="34"/>
      <c r="I283" s="34"/>
      <c r="J283" s="34"/>
      <c r="K283" s="34"/>
      <c r="L283" s="34"/>
      <c r="M283" s="34"/>
      <c r="N283" s="34"/>
      <c r="O283" s="34"/>
      <c r="P283" s="34"/>
    </row>
    <row r="284" spans="2:16" x14ac:dyDescent="0.25">
      <c r="B284" s="34" t="s">
        <v>85</v>
      </c>
      <c r="C284" s="34"/>
      <c r="D284" s="34"/>
      <c r="F284" s="130">
        <f>-Summary!E115</f>
        <v>-400000</v>
      </c>
      <c r="G284" s="34"/>
      <c r="H284" s="34"/>
      <c r="I284" s="34"/>
      <c r="J284" s="34"/>
      <c r="K284" s="34"/>
      <c r="L284" s="34"/>
      <c r="M284" s="34"/>
      <c r="N284" s="34"/>
      <c r="O284" s="34"/>
      <c r="P284" s="34"/>
    </row>
    <row r="285" spans="2:16" x14ac:dyDescent="0.25">
      <c r="B285" s="34" t="s">
        <v>86</v>
      </c>
      <c r="C285" s="34"/>
      <c r="D285" s="34"/>
      <c r="F285" s="106"/>
      <c r="G285" s="106">
        <f ca="1">-G323</f>
        <v>24000</v>
      </c>
      <c r="H285" s="106">
        <f t="shared" ref="H285:P285" si="156">-H323</f>
        <v>14000</v>
      </c>
      <c r="I285" s="106">
        <f t="shared" si="156"/>
        <v>10000</v>
      </c>
      <c r="J285" s="106">
        <f t="shared" si="156"/>
        <v>6000</v>
      </c>
      <c r="K285" s="106">
        <f t="shared" si="156"/>
        <v>2000</v>
      </c>
      <c r="L285" s="106">
        <f t="shared" si="156"/>
        <v>0</v>
      </c>
      <c r="M285" s="106">
        <f t="shared" si="156"/>
        <v>0</v>
      </c>
      <c r="N285" s="106">
        <f t="shared" si="156"/>
        <v>0</v>
      </c>
      <c r="O285" s="106">
        <f t="shared" si="156"/>
        <v>0</v>
      </c>
      <c r="P285" s="106">
        <f t="shared" si="156"/>
        <v>0</v>
      </c>
    </row>
    <row r="286" spans="2:16" x14ac:dyDescent="0.25">
      <c r="B286" s="34" t="s">
        <v>87</v>
      </c>
      <c r="C286" s="34"/>
      <c r="D286" s="34"/>
      <c r="F286" s="106"/>
      <c r="G286" s="106">
        <f>-G349</f>
        <v>80000</v>
      </c>
      <c r="H286" s="106">
        <f t="shared" ref="H286:P286" si="157">-H349</f>
        <v>80000</v>
      </c>
      <c r="I286" s="106">
        <f t="shared" si="157"/>
        <v>80000</v>
      </c>
      <c r="J286" s="106">
        <f t="shared" si="157"/>
        <v>80000</v>
      </c>
      <c r="K286" s="106">
        <f t="shared" si="157"/>
        <v>80000</v>
      </c>
      <c r="L286" s="106">
        <f t="shared" si="157"/>
        <v>0</v>
      </c>
      <c r="M286" s="106">
        <f t="shared" si="157"/>
        <v>0</v>
      </c>
      <c r="N286" s="106">
        <f t="shared" si="157"/>
        <v>0</v>
      </c>
      <c r="O286" s="106">
        <f t="shared" si="157"/>
        <v>0</v>
      </c>
      <c r="P286" s="106">
        <f t="shared" si="157"/>
        <v>0</v>
      </c>
    </row>
    <row r="287" spans="2:16" x14ac:dyDescent="0.25">
      <c r="B287" s="34" t="s">
        <v>205</v>
      </c>
      <c r="C287" s="34"/>
      <c r="D287" s="34"/>
      <c r="F287" s="106"/>
      <c r="G287" s="106">
        <f ca="1">IF(G$235&lt;=$C$238,-G$94*$G229,"")</f>
        <v>1739.2725</v>
      </c>
      <c r="H287" s="106">
        <f t="shared" ref="H287:P287" ca="1" si="158">IF(H$235&lt;=$C$238,-H$94*$G229,"")</f>
        <v>3335.6317499999996</v>
      </c>
      <c r="I287" s="106">
        <f t="shared" ca="1" si="158"/>
        <v>0</v>
      </c>
      <c r="J287" s="106" t="str">
        <f t="shared" ca="1" si="158"/>
        <v/>
      </c>
      <c r="K287" s="106" t="str">
        <f t="shared" ca="1" si="158"/>
        <v/>
      </c>
      <c r="L287" s="106" t="str">
        <f t="shared" ca="1" si="158"/>
        <v/>
      </c>
      <c r="M287" s="106" t="str">
        <f t="shared" ca="1" si="158"/>
        <v/>
      </c>
      <c r="N287" s="106" t="str">
        <f t="shared" ca="1" si="158"/>
        <v/>
      </c>
      <c r="O287" s="106" t="str">
        <f t="shared" ca="1" si="158"/>
        <v/>
      </c>
      <c r="P287" s="106" t="str">
        <f t="shared" ca="1" si="158"/>
        <v/>
      </c>
    </row>
    <row r="288" spans="2:16" x14ac:dyDescent="0.25">
      <c r="B288" s="34" t="s">
        <v>206</v>
      </c>
      <c r="C288" s="34"/>
      <c r="D288" s="34"/>
      <c r="F288" s="34"/>
      <c r="G288" s="106" t="str">
        <f t="shared" ref="G288:P288" ca="1" si="159">IF(G$235=$C$238,G$247*$G229,"")</f>
        <v/>
      </c>
      <c r="H288" s="106" t="str">
        <f t="shared" ca="1" si="159"/>
        <v/>
      </c>
      <c r="I288" s="106">
        <f t="shared" ca="1" si="159"/>
        <v>119360.68383287669</v>
      </c>
      <c r="J288" s="106" t="str">
        <f t="shared" ca="1" si="159"/>
        <v/>
      </c>
      <c r="K288" s="106" t="str">
        <f t="shared" ca="1" si="159"/>
        <v/>
      </c>
      <c r="L288" s="106" t="str">
        <f t="shared" ca="1" si="159"/>
        <v/>
      </c>
      <c r="M288" s="106" t="str">
        <f t="shared" ca="1" si="159"/>
        <v/>
      </c>
      <c r="N288" s="106" t="str">
        <f t="shared" ca="1" si="159"/>
        <v/>
      </c>
      <c r="O288" s="106" t="str">
        <f t="shared" ca="1" si="159"/>
        <v/>
      </c>
      <c r="P288" s="106" t="str">
        <f t="shared" ca="1" si="159"/>
        <v/>
      </c>
    </row>
    <row r="289" spans="2:16" x14ac:dyDescent="0.25">
      <c r="B289" s="45" t="s">
        <v>184</v>
      </c>
      <c r="C289" s="45"/>
      <c r="D289" s="45"/>
      <c r="E289" s="45"/>
      <c r="F289" s="120">
        <f t="shared" ref="F289:P289" si="160">SUM(F284:F288)</f>
        <v>-400000</v>
      </c>
      <c r="G289" s="120">
        <f t="shared" ca="1" si="160"/>
        <v>105739.27250000001</v>
      </c>
      <c r="H289" s="120">
        <f t="shared" ca="1" si="160"/>
        <v>97335.63175</v>
      </c>
      <c r="I289" s="120">
        <f t="shared" ca="1" si="160"/>
        <v>209360.68383287668</v>
      </c>
      <c r="J289" s="120">
        <f t="shared" ca="1" si="160"/>
        <v>86000</v>
      </c>
      <c r="K289" s="120">
        <f t="shared" ca="1" si="160"/>
        <v>82000</v>
      </c>
      <c r="L289" s="120">
        <f t="shared" ca="1" si="160"/>
        <v>0</v>
      </c>
      <c r="M289" s="120">
        <f t="shared" ca="1" si="160"/>
        <v>0</v>
      </c>
      <c r="N289" s="120">
        <f t="shared" ca="1" si="160"/>
        <v>0</v>
      </c>
      <c r="O289" s="120">
        <f t="shared" ca="1" si="160"/>
        <v>0</v>
      </c>
      <c r="P289" s="120">
        <f t="shared" ca="1" si="160"/>
        <v>0</v>
      </c>
    </row>
    <row r="290" spans="2:16" ht="13" thickBot="1" x14ac:dyDescent="0.3">
      <c r="B290" s="34" t="s">
        <v>44</v>
      </c>
      <c r="C290" s="106">
        <f ca="1">SUM(G285:P288)</f>
        <v>580435.58808287675</v>
      </c>
      <c r="D290" s="34"/>
      <c r="E290" s="34"/>
      <c r="F290" s="34"/>
      <c r="G290" s="34"/>
      <c r="H290" s="34"/>
      <c r="I290" s="34"/>
      <c r="J290" s="34"/>
      <c r="K290" s="34"/>
      <c r="L290" s="34"/>
      <c r="M290" s="34"/>
      <c r="N290" s="34"/>
      <c r="O290" s="34"/>
      <c r="P290" s="34"/>
    </row>
    <row r="291" spans="2:16" x14ac:dyDescent="0.25">
      <c r="B291" s="157" t="s">
        <v>157</v>
      </c>
      <c r="C291" s="158">
        <f ca="1">-C290/F284</f>
        <v>1.4510889702071919</v>
      </c>
      <c r="D291" s="34"/>
      <c r="E291" s="34"/>
      <c r="F291" s="34"/>
      <c r="G291" s="34"/>
      <c r="H291" s="34"/>
      <c r="I291" s="34"/>
      <c r="J291" s="34"/>
      <c r="K291" s="34"/>
      <c r="L291" s="34"/>
      <c r="M291" s="34"/>
      <c r="N291" s="34"/>
      <c r="O291" s="34"/>
      <c r="P291" s="34"/>
    </row>
    <row r="292" spans="2:16" ht="13" thickBot="1" x14ac:dyDescent="0.3">
      <c r="B292" s="159" t="s">
        <v>185</v>
      </c>
      <c r="C292" s="160">
        <f ca="1">XIRR(F289:P289,F$237:P$237,0.1)</f>
        <v>0.11889888644218444</v>
      </c>
      <c r="D292" s="34"/>
      <c r="E292" s="34"/>
      <c r="F292" s="34"/>
      <c r="G292" s="34"/>
      <c r="H292" s="34"/>
      <c r="I292" s="34"/>
      <c r="J292" s="34"/>
      <c r="K292" s="34"/>
      <c r="L292" s="34"/>
      <c r="M292" s="34"/>
      <c r="N292" s="34"/>
      <c r="O292" s="34"/>
      <c r="P292" s="34"/>
    </row>
    <row r="293" spans="2:16" x14ac:dyDescent="0.25">
      <c r="B293" s="34"/>
      <c r="C293" s="128"/>
      <c r="D293" s="34"/>
      <c r="E293" s="34"/>
      <c r="F293" s="34"/>
      <c r="G293" s="34"/>
      <c r="H293" s="34"/>
      <c r="I293" s="34"/>
      <c r="J293" s="34"/>
      <c r="K293" s="34"/>
      <c r="L293" s="34"/>
      <c r="M293" s="34"/>
      <c r="N293" s="34"/>
      <c r="O293" s="34"/>
      <c r="P293" s="34"/>
    </row>
    <row r="294" spans="2:16" x14ac:dyDescent="0.25">
      <c r="B294" s="34"/>
      <c r="C294" s="128"/>
      <c r="D294" s="34"/>
      <c r="E294" s="34"/>
      <c r="F294" s="34"/>
      <c r="G294" s="34"/>
      <c r="H294" s="34"/>
      <c r="I294" s="34"/>
      <c r="J294" s="34"/>
      <c r="K294" s="34"/>
      <c r="L294" s="34"/>
      <c r="M294" s="34"/>
      <c r="N294" s="34"/>
      <c r="O294" s="34"/>
      <c r="P294" s="34"/>
    </row>
    <row r="295" spans="2:16" ht="13" x14ac:dyDescent="0.3">
      <c r="B295" s="36" t="s">
        <v>368</v>
      </c>
      <c r="C295" s="128"/>
      <c r="D295" s="34"/>
      <c r="E295" s="34"/>
      <c r="F295" s="34"/>
      <c r="G295" s="34"/>
      <c r="H295" s="34"/>
      <c r="I295" s="34"/>
      <c r="J295" s="34"/>
      <c r="K295" s="34"/>
      <c r="L295" s="34"/>
      <c r="M295" s="34"/>
      <c r="N295" s="34"/>
      <c r="O295" s="34"/>
      <c r="P295" s="34"/>
    </row>
    <row r="296" spans="2:16" x14ac:dyDescent="0.25">
      <c r="B296" s="34" t="s">
        <v>310</v>
      </c>
      <c r="C296" s="128"/>
      <c r="D296" s="34"/>
      <c r="E296" s="34"/>
      <c r="F296" s="34"/>
      <c r="G296" s="106" t="str">
        <f t="shared" ref="G296:P296" ca="1" si="161">IF(G$238="Exit",G22,"")</f>
        <v/>
      </c>
      <c r="H296" s="106" t="str">
        <f t="shared" ca="1" si="161"/>
        <v/>
      </c>
      <c r="I296" s="106">
        <f t="shared" ca="1" si="161"/>
        <v>6525167.0000000019</v>
      </c>
      <c r="J296" s="106" t="str">
        <f t="shared" ca="1" si="161"/>
        <v/>
      </c>
      <c r="K296" s="106" t="str">
        <f t="shared" ca="1" si="161"/>
        <v/>
      </c>
      <c r="L296" s="106" t="str">
        <f t="shared" ca="1" si="161"/>
        <v/>
      </c>
      <c r="M296" s="106" t="str">
        <f t="shared" ca="1" si="161"/>
        <v/>
      </c>
      <c r="N296" s="106" t="str">
        <f t="shared" ca="1" si="161"/>
        <v/>
      </c>
      <c r="O296" s="106" t="str">
        <f t="shared" ca="1" si="161"/>
        <v/>
      </c>
      <c r="P296" s="106" t="str">
        <f t="shared" ca="1" si="161"/>
        <v/>
      </c>
    </row>
    <row r="297" spans="2:16" x14ac:dyDescent="0.25">
      <c r="B297" s="34" t="s">
        <v>311</v>
      </c>
      <c r="C297" s="128"/>
      <c r="D297" s="34"/>
      <c r="E297" s="34"/>
      <c r="F297" s="34"/>
      <c r="G297" s="106" t="str">
        <f t="shared" ref="G297:P297" ca="1" si="162">IF(G$238="Exit",G33,"")</f>
        <v/>
      </c>
      <c r="H297" s="106" t="str">
        <f t="shared" ca="1" si="162"/>
        <v/>
      </c>
      <c r="I297" s="106">
        <f t="shared" ca="1" si="162"/>
        <v>1245940.6299999999</v>
      </c>
      <c r="J297" s="106" t="str">
        <f t="shared" ca="1" si="162"/>
        <v/>
      </c>
      <c r="K297" s="106" t="str">
        <f t="shared" ca="1" si="162"/>
        <v/>
      </c>
      <c r="L297" s="106" t="str">
        <f t="shared" ca="1" si="162"/>
        <v/>
      </c>
      <c r="M297" s="106" t="str">
        <f t="shared" ca="1" si="162"/>
        <v/>
      </c>
      <c r="N297" s="106" t="str">
        <f t="shared" ca="1" si="162"/>
        <v/>
      </c>
      <c r="O297" s="106" t="str">
        <f t="shared" ca="1" si="162"/>
        <v/>
      </c>
      <c r="P297" s="106" t="str">
        <f t="shared" ca="1" si="162"/>
        <v/>
      </c>
    </row>
    <row r="298" spans="2:16" x14ac:dyDescent="0.25">
      <c r="B298" s="34" t="s">
        <v>287</v>
      </c>
      <c r="C298" s="34"/>
      <c r="D298" s="34"/>
      <c r="E298" s="34"/>
      <c r="F298" s="34"/>
      <c r="G298" s="106" t="str">
        <f t="shared" ref="G298:P298" ca="1" si="163">IF(G$238="Exit",G46,"")</f>
        <v/>
      </c>
      <c r="H298" s="106" t="str">
        <f t="shared" ca="1" si="163"/>
        <v/>
      </c>
      <c r="I298" s="106">
        <f t="shared" ca="1" si="163"/>
        <v>442867.97249999992</v>
      </c>
      <c r="J298" s="106" t="str">
        <f t="shared" ca="1" si="163"/>
        <v/>
      </c>
      <c r="K298" s="106" t="str">
        <f t="shared" ca="1" si="163"/>
        <v/>
      </c>
      <c r="L298" s="106" t="str">
        <f t="shared" ca="1" si="163"/>
        <v/>
      </c>
      <c r="M298" s="106" t="str">
        <f t="shared" ca="1" si="163"/>
        <v/>
      </c>
      <c r="N298" s="106" t="str">
        <f t="shared" ca="1" si="163"/>
        <v/>
      </c>
      <c r="O298" s="106" t="str">
        <f t="shared" ca="1" si="163"/>
        <v/>
      </c>
      <c r="P298" s="106" t="str">
        <f t="shared" ca="1" si="163"/>
        <v/>
      </c>
    </row>
    <row r="299" spans="2:16" x14ac:dyDescent="0.25">
      <c r="B299" s="34" t="s">
        <v>369</v>
      </c>
      <c r="C299" s="34"/>
      <c r="D299" s="34"/>
      <c r="E299" s="34"/>
      <c r="F299" s="34"/>
      <c r="G299" s="106" t="str">
        <f t="shared" ref="G299:O299" ca="1" si="164">IF(G$238="Exit",G244,"")</f>
        <v/>
      </c>
      <c r="H299" s="106" t="str">
        <f t="shared" ca="1" si="164"/>
        <v/>
      </c>
      <c r="I299" s="106">
        <f t="shared" ca="1" si="164"/>
        <v>8098614.0949999988</v>
      </c>
      <c r="J299" s="106" t="str">
        <f t="shared" ca="1" si="164"/>
        <v/>
      </c>
      <c r="K299" s="106" t="str">
        <f t="shared" ca="1" si="164"/>
        <v/>
      </c>
      <c r="L299" s="106" t="str">
        <f t="shared" ca="1" si="164"/>
        <v/>
      </c>
      <c r="M299" s="106" t="str">
        <f t="shared" ca="1" si="164"/>
        <v/>
      </c>
      <c r="N299" s="106" t="str">
        <f t="shared" ca="1" si="164"/>
        <v/>
      </c>
      <c r="O299" s="106" t="str">
        <f t="shared" ca="1" si="164"/>
        <v/>
      </c>
      <c r="P299" s="106" t="str">
        <f ca="1">IF(P$238="Exit",P244,"")</f>
        <v/>
      </c>
    </row>
    <row r="300" spans="2:16" x14ac:dyDescent="0.25">
      <c r="B300" s="34" t="s">
        <v>354</v>
      </c>
      <c r="C300" s="34"/>
      <c r="D300" s="34"/>
      <c r="E300" s="34"/>
      <c r="F300" s="34"/>
      <c r="G300" s="106" t="str">
        <f t="shared" ref="G300:O300" ca="1" si="165">IF(G$238="Exit",G245,"")</f>
        <v/>
      </c>
      <c r="H300" s="106" t="str">
        <f t="shared" ca="1" si="165"/>
        <v/>
      </c>
      <c r="I300" s="106">
        <f t="shared" ca="1" si="165"/>
        <v>-445579.90335616493</v>
      </c>
      <c r="J300" s="106" t="str">
        <f t="shared" ca="1" si="165"/>
        <v/>
      </c>
      <c r="K300" s="106" t="str">
        <f t="shared" ca="1" si="165"/>
        <v/>
      </c>
      <c r="L300" s="106" t="str">
        <f t="shared" ca="1" si="165"/>
        <v/>
      </c>
      <c r="M300" s="106" t="str">
        <f t="shared" ca="1" si="165"/>
        <v/>
      </c>
      <c r="N300" s="106" t="str">
        <f t="shared" ca="1" si="165"/>
        <v/>
      </c>
      <c r="O300" s="106" t="str">
        <f t="shared" ca="1" si="165"/>
        <v/>
      </c>
      <c r="P300" s="106" t="str">
        <f ca="1">IF(P$238="Exit",P245,"")</f>
        <v/>
      </c>
    </row>
    <row r="301" spans="2:16" x14ac:dyDescent="0.25">
      <c r="B301" s="34" t="s">
        <v>353</v>
      </c>
      <c r="C301" s="34"/>
      <c r="D301" s="34"/>
      <c r="E301" s="34"/>
      <c r="F301" s="34"/>
      <c r="G301" s="106" t="str">
        <f t="shared" ref="G301:O301" ca="1" si="166">IF(G$238="Exit",G246,"")</f>
        <v/>
      </c>
      <c r="H301" s="106" t="str">
        <f t="shared" ca="1" si="166"/>
        <v/>
      </c>
      <c r="I301" s="106">
        <f t="shared" ca="1" si="166"/>
        <v>-1685000</v>
      </c>
      <c r="J301" s="106" t="str">
        <f t="shared" ca="1" si="166"/>
        <v/>
      </c>
      <c r="K301" s="106" t="str">
        <f t="shared" ca="1" si="166"/>
        <v/>
      </c>
      <c r="L301" s="106" t="str">
        <f t="shared" ca="1" si="166"/>
        <v/>
      </c>
      <c r="M301" s="106" t="str">
        <f t="shared" ca="1" si="166"/>
        <v/>
      </c>
      <c r="N301" s="106" t="str">
        <f t="shared" ca="1" si="166"/>
        <v/>
      </c>
      <c r="O301" s="106" t="str">
        <f t="shared" ca="1" si="166"/>
        <v/>
      </c>
      <c r="P301" s="106" t="str">
        <f ca="1">IF(P$238="Exit",P246,"")</f>
        <v/>
      </c>
    </row>
    <row r="303" spans="2:16" s="13" customFormat="1" ht="15.5" x14ac:dyDescent="0.35">
      <c r="B303" s="31" t="s">
        <v>324</v>
      </c>
      <c r="E303" s="132"/>
    </row>
    <row r="304" spans="2:16" s="13" customFormat="1" ht="15.5" x14ac:dyDescent="0.35">
      <c r="B304" s="133" t="s">
        <v>75</v>
      </c>
      <c r="C304" s="52"/>
      <c r="D304" s="70"/>
      <c r="E304" s="134"/>
      <c r="F304" s="409" t="s">
        <v>182</v>
      </c>
      <c r="G304" s="407" t="s">
        <v>37</v>
      </c>
      <c r="H304" s="70">
        <f t="shared" ref="H304:P304" ca="1" si="167">H$20</f>
        <v>2021</v>
      </c>
      <c r="I304" s="70">
        <f t="shared" ca="1" si="167"/>
        <v>2022</v>
      </c>
      <c r="J304" s="70">
        <f t="shared" ca="1" si="167"/>
        <v>2023</v>
      </c>
      <c r="K304" s="70">
        <f t="shared" ca="1" si="167"/>
        <v>2024</v>
      </c>
      <c r="L304" s="70">
        <f t="shared" ca="1" si="167"/>
        <v>2025</v>
      </c>
      <c r="M304" s="70">
        <f t="shared" ca="1" si="167"/>
        <v>2026</v>
      </c>
      <c r="N304" s="70">
        <f t="shared" ca="1" si="167"/>
        <v>2027</v>
      </c>
      <c r="O304" s="70">
        <f t="shared" ca="1" si="167"/>
        <v>2028</v>
      </c>
      <c r="P304" s="70">
        <f t="shared" ca="1" si="167"/>
        <v>2029</v>
      </c>
    </row>
    <row r="305" spans="2:16" s="35" customFormat="1" ht="15.5" x14ac:dyDescent="0.35">
      <c r="B305" s="52"/>
      <c r="C305" s="52"/>
      <c r="D305" s="135"/>
      <c r="E305" s="167"/>
      <c r="F305" s="408">
        <f ca="1">Summary!E132</f>
        <v>42550</v>
      </c>
      <c r="G305" s="408">
        <f ca="1">Summary!E133</f>
        <v>43099</v>
      </c>
      <c r="H305" s="168">
        <f t="shared" ref="H305:P305" ca="1" si="168">H53</f>
        <v>43464</v>
      </c>
      <c r="I305" s="168">
        <f t="shared" ca="1" si="168"/>
        <v>43829</v>
      </c>
      <c r="J305" s="168">
        <f t="shared" ca="1" si="168"/>
        <v>44195</v>
      </c>
      <c r="K305" s="168">
        <f t="shared" ca="1" si="168"/>
        <v>44560</v>
      </c>
      <c r="L305" s="168">
        <f t="shared" ca="1" si="168"/>
        <v>44925</v>
      </c>
      <c r="M305" s="168">
        <f t="shared" ca="1" si="168"/>
        <v>45290</v>
      </c>
      <c r="N305" s="168">
        <f t="shared" ca="1" si="168"/>
        <v>45656</v>
      </c>
      <c r="O305" s="168">
        <f t="shared" ca="1" si="168"/>
        <v>46021</v>
      </c>
      <c r="P305" s="168">
        <f t="shared" ca="1" si="168"/>
        <v>46386</v>
      </c>
    </row>
    <row r="306" spans="2:16" s="13" customFormat="1" x14ac:dyDescent="0.25">
      <c r="B306" s="35"/>
      <c r="C306" s="35"/>
      <c r="D306" s="35"/>
      <c r="E306" s="66"/>
      <c r="F306" s="35"/>
      <c r="G306" s="35"/>
      <c r="H306" s="35"/>
      <c r="I306" s="35"/>
      <c r="J306" s="35"/>
      <c r="K306" s="35"/>
      <c r="L306" s="35"/>
      <c r="M306" s="35"/>
      <c r="N306" s="35"/>
      <c r="O306" s="35"/>
      <c r="P306" s="35"/>
    </row>
    <row r="307" spans="2:16" s="13" customFormat="1" x14ac:dyDescent="0.25">
      <c r="B307" s="35" t="s">
        <v>134</v>
      </c>
      <c r="C307" s="35"/>
      <c r="D307" s="35"/>
      <c r="E307" s="66"/>
      <c r="F307" s="35"/>
      <c r="G307" s="316">
        <f ca="1">G209</f>
        <v>540</v>
      </c>
      <c r="H307" s="316">
        <f t="shared" ref="H307:P307" si="169">H209</f>
        <v>360</v>
      </c>
      <c r="I307" s="316">
        <f t="shared" si="169"/>
        <v>360</v>
      </c>
      <c r="J307" s="316">
        <f t="shared" si="169"/>
        <v>360</v>
      </c>
      <c r="K307" s="316">
        <f t="shared" si="169"/>
        <v>360</v>
      </c>
      <c r="L307" s="316">
        <f t="shared" si="169"/>
        <v>360</v>
      </c>
      <c r="M307" s="316">
        <f t="shared" si="169"/>
        <v>360</v>
      </c>
      <c r="N307" s="316">
        <f t="shared" si="169"/>
        <v>360</v>
      </c>
      <c r="O307" s="316">
        <f t="shared" si="169"/>
        <v>360</v>
      </c>
      <c r="P307" s="316">
        <f t="shared" si="169"/>
        <v>360</v>
      </c>
    </row>
    <row r="308" spans="2:16" s="13" customFormat="1" x14ac:dyDescent="0.25">
      <c r="B308" s="35"/>
      <c r="C308" s="35"/>
      <c r="D308" s="35"/>
      <c r="E308" s="66"/>
      <c r="F308" s="35"/>
      <c r="G308" s="35"/>
      <c r="H308" s="35"/>
      <c r="I308" s="35"/>
      <c r="J308" s="35"/>
      <c r="K308" s="35"/>
      <c r="L308" s="35"/>
      <c r="M308" s="35"/>
      <c r="N308" s="35"/>
      <c r="O308" s="35"/>
      <c r="P308" s="35"/>
    </row>
    <row r="309" spans="2:16" s="13" customFormat="1" ht="13" x14ac:dyDescent="0.3">
      <c r="B309" s="170" t="s">
        <v>159</v>
      </c>
      <c r="C309" s="28"/>
      <c r="D309" s="87"/>
      <c r="E309" s="87"/>
      <c r="F309" s="87"/>
      <c r="G309" s="87"/>
      <c r="H309" s="87"/>
      <c r="I309" s="87"/>
      <c r="J309" s="87"/>
      <c r="K309" s="87"/>
      <c r="L309" s="87"/>
      <c r="M309" s="87"/>
      <c r="N309" s="87"/>
      <c r="O309" s="87"/>
      <c r="P309" s="87"/>
    </row>
    <row r="310" spans="2:16" s="13" customFormat="1" x14ac:dyDescent="0.25">
      <c r="B310" s="35" t="str">
        <f>B$353</f>
        <v>Term Loan A</v>
      </c>
      <c r="C310" s="35" t="s">
        <v>296</v>
      </c>
      <c r="D310" s="35"/>
      <c r="E310" s="136"/>
      <c r="F310" s="136"/>
      <c r="G310" s="169">
        <f>Summary!P172</f>
        <v>0.03</v>
      </c>
      <c r="H310" s="136">
        <f>+G310</f>
        <v>0.03</v>
      </c>
      <c r="I310" s="136">
        <f t="shared" ref="I310:P310" si="170">+H310</f>
        <v>0.03</v>
      </c>
      <c r="J310" s="136">
        <f t="shared" si="170"/>
        <v>0.03</v>
      </c>
      <c r="K310" s="136">
        <f t="shared" si="170"/>
        <v>0.03</v>
      </c>
      <c r="L310" s="136">
        <f t="shared" si="170"/>
        <v>0.03</v>
      </c>
      <c r="M310" s="136">
        <f t="shared" si="170"/>
        <v>0.03</v>
      </c>
      <c r="N310" s="136">
        <f t="shared" si="170"/>
        <v>0.03</v>
      </c>
      <c r="O310" s="136">
        <f t="shared" si="170"/>
        <v>0.03</v>
      </c>
      <c r="P310" s="136">
        <f t="shared" si="170"/>
        <v>0.03</v>
      </c>
    </row>
    <row r="311" spans="2:16" s="13" customFormat="1" x14ac:dyDescent="0.25">
      <c r="B311" s="35" t="str">
        <f>B$354</f>
        <v>Term Loan B</v>
      </c>
      <c r="C311" s="35" t="s">
        <v>296</v>
      </c>
      <c r="D311" s="35"/>
      <c r="E311" s="136"/>
      <c r="F311" s="136"/>
      <c r="G311" s="139">
        <f>Summary!P173</f>
        <v>0.04</v>
      </c>
      <c r="H311" s="136">
        <f>+G311</f>
        <v>0.04</v>
      </c>
      <c r="I311" s="136">
        <f t="shared" ref="I311:P313" si="171">+H311</f>
        <v>0.04</v>
      </c>
      <c r="J311" s="136">
        <f t="shared" si="171"/>
        <v>0.04</v>
      </c>
      <c r="K311" s="136">
        <f t="shared" si="171"/>
        <v>0.04</v>
      </c>
      <c r="L311" s="136">
        <f t="shared" si="171"/>
        <v>0.04</v>
      </c>
      <c r="M311" s="136">
        <f t="shared" si="171"/>
        <v>0.04</v>
      </c>
      <c r="N311" s="136">
        <f t="shared" si="171"/>
        <v>0.04</v>
      </c>
      <c r="O311" s="136">
        <f t="shared" si="171"/>
        <v>0.04</v>
      </c>
      <c r="P311" s="136">
        <f t="shared" si="171"/>
        <v>0.04</v>
      </c>
    </row>
    <row r="312" spans="2:16" s="13" customFormat="1" x14ac:dyDescent="0.25">
      <c r="B312" s="35" t="str">
        <f>B$355</f>
        <v>Credit Facility</v>
      </c>
      <c r="C312" s="35" t="s">
        <v>296</v>
      </c>
      <c r="D312" s="35"/>
      <c r="E312" s="136"/>
      <c r="F312" s="136"/>
      <c r="G312" s="139">
        <f>Summary!P174</f>
        <v>0.03</v>
      </c>
      <c r="H312" s="136">
        <f>+G312</f>
        <v>0.03</v>
      </c>
      <c r="I312" s="136">
        <f t="shared" si="171"/>
        <v>0.03</v>
      </c>
      <c r="J312" s="136">
        <f t="shared" si="171"/>
        <v>0.03</v>
      </c>
      <c r="K312" s="136">
        <f t="shared" si="171"/>
        <v>0.03</v>
      </c>
      <c r="L312" s="136">
        <f t="shared" si="171"/>
        <v>0.03</v>
      </c>
      <c r="M312" s="136">
        <f t="shared" si="171"/>
        <v>0.03</v>
      </c>
      <c r="N312" s="136">
        <f t="shared" si="171"/>
        <v>0.03</v>
      </c>
      <c r="O312" s="136">
        <f t="shared" si="171"/>
        <v>0.03</v>
      </c>
      <c r="P312" s="136">
        <f t="shared" si="171"/>
        <v>0.03</v>
      </c>
    </row>
    <row r="313" spans="2:16" s="13" customFormat="1" x14ac:dyDescent="0.25">
      <c r="B313" s="35" t="str">
        <f>B$356</f>
        <v>Mezzanine</v>
      </c>
      <c r="C313" s="35" t="s">
        <v>296</v>
      </c>
      <c r="D313" s="35"/>
      <c r="E313" s="136"/>
      <c r="F313" s="136"/>
      <c r="G313" s="139">
        <f>Summary!P175</f>
        <v>0.06</v>
      </c>
      <c r="H313" s="136">
        <f>+G313</f>
        <v>0.06</v>
      </c>
      <c r="I313" s="136">
        <f t="shared" si="171"/>
        <v>0.06</v>
      </c>
      <c r="J313" s="136">
        <f t="shared" si="171"/>
        <v>0.06</v>
      </c>
      <c r="K313" s="136">
        <f t="shared" si="171"/>
        <v>0.06</v>
      </c>
      <c r="L313" s="136">
        <f t="shared" si="171"/>
        <v>0.06</v>
      </c>
      <c r="M313" s="136">
        <f t="shared" si="171"/>
        <v>0.06</v>
      </c>
      <c r="N313" s="136">
        <f t="shared" si="171"/>
        <v>0.06</v>
      </c>
      <c r="O313" s="136">
        <f t="shared" si="171"/>
        <v>0.06</v>
      </c>
      <c r="P313" s="136">
        <f t="shared" si="171"/>
        <v>0.06</v>
      </c>
    </row>
    <row r="314" spans="2:16" s="13" customFormat="1" x14ac:dyDescent="0.25">
      <c r="B314" s="35" t="str">
        <f>B$357</f>
        <v>Mezzanine PIK Retained</v>
      </c>
      <c r="C314" s="35" t="s">
        <v>212</v>
      </c>
      <c r="D314" s="35"/>
      <c r="E314" s="136"/>
      <c r="F314" s="136"/>
      <c r="G314" s="139">
        <f>G313</f>
        <v>0.06</v>
      </c>
      <c r="H314" s="136">
        <f>H313</f>
        <v>0.06</v>
      </c>
      <c r="I314" s="136">
        <f t="shared" ref="I314:P314" si="172">I313</f>
        <v>0.06</v>
      </c>
      <c r="J314" s="136">
        <f t="shared" si="172"/>
        <v>0.06</v>
      </c>
      <c r="K314" s="136">
        <f t="shared" si="172"/>
        <v>0.06</v>
      </c>
      <c r="L314" s="136">
        <f t="shared" si="172"/>
        <v>0.06</v>
      </c>
      <c r="M314" s="136">
        <f t="shared" si="172"/>
        <v>0.06</v>
      </c>
      <c r="N314" s="136">
        <f t="shared" si="172"/>
        <v>0.06</v>
      </c>
      <c r="O314" s="136">
        <f t="shared" si="172"/>
        <v>0.06</v>
      </c>
      <c r="P314" s="136">
        <f t="shared" si="172"/>
        <v>0.06</v>
      </c>
    </row>
    <row r="315" spans="2:16" s="13" customFormat="1" x14ac:dyDescent="0.25">
      <c r="B315" s="35" t="str">
        <f>B$358</f>
        <v>Seller financing</v>
      </c>
      <c r="C315" s="35" t="s">
        <v>296</v>
      </c>
      <c r="D315" s="35"/>
      <c r="E315" s="136"/>
      <c r="F315" s="136"/>
      <c r="G315" s="139">
        <f>Summary!P177</f>
        <v>0.05</v>
      </c>
      <c r="H315" s="136">
        <f t="shared" ref="H315:P315" si="173">+G315</f>
        <v>0.05</v>
      </c>
      <c r="I315" s="136">
        <f t="shared" si="173"/>
        <v>0.05</v>
      </c>
      <c r="J315" s="136">
        <f t="shared" si="173"/>
        <v>0.05</v>
      </c>
      <c r="K315" s="136">
        <f t="shared" si="173"/>
        <v>0.05</v>
      </c>
      <c r="L315" s="136">
        <f t="shared" si="173"/>
        <v>0.05</v>
      </c>
      <c r="M315" s="136">
        <f t="shared" si="173"/>
        <v>0.05</v>
      </c>
      <c r="N315" s="136">
        <f t="shared" si="173"/>
        <v>0.05</v>
      </c>
      <c r="O315" s="136">
        <f t="shared" si="173"/>
        <v>0.05</v>
      </c>
      <c r="P315" s="136">
        <f t="shared" si="173"/>
        <v>0.05</v>
      </c>
    </row>
    <row r="316" spans="2:16" s="13" customFormat="1" x14ac:dyDescent="0.25">
      <c r="B316" s="35"/>
      <c r="C316" s="35"/>
      <c r="D316" s="88"/>
      <c r="E316" s="88"/>
      <c r="F316" s="88"/>
      <c r="G316" s="88"/>
      <c r="H316" s="88"/>
      <c r="I316" s="88"/>
      <c r="J316" s="88"/>
      <c r="K316" s="88"/>
      <c r="L316" s="88"/>
      <c r="M316" s="88"/>
      <c r="N316" s="88"/>
      <c r="O316" s="88"/>
      <c r="P316" s="88"/>
    </row>
    <row r="317" spans="2:16" s="13" customFormat="1" ht="13" x14ac:dyDescent="0.3">
      <c r="B317" s="170" t="s">
        <v>77</v>
      </c>
      <c r="C317" s="28"/>
      <c r="D317" s="87"/>
      <c r="E317" s="87"/>
      <c r="F317" s="87"/>
      <c r="G317" s="87"/>
      <c r="H317" s="87"/>
      <c r="I317" s="87"/>
      <c r="J317" s="87"/>
      <c r="K317" s="87"/>
      <c r="L317" s="87"/>
      <c r="M317" s="87"/>
      <c r="N317" s="87"/>
      <c r="O317" s="87"/>
      <c r="P317" s="87"/>
    </row>
    <row r="318" spans="2:16" s="13" customFormat="1" x14ac:dyDescent="0.25">
      <c r="B318" s="35" t="str">
        <f>B$353</f>
        <v>Term Loan A</v>
      </c>
      <c r="C318" s="35" t="s">
        <v>212</v>
      </c>
      <c r="D318" s="88"/>
      <c r="E318" s="105"/>
      <c r="F318" s="105"/>
      <c r="G318" s="105">
        <f ca="1">-AVERAGE(G353:G353)*G310*G$307/360</f>
        <v>-42750</v>
      </c>
      <c r="H318" s="105">
        <f t="shared" ref="H318:P318" si="174">-AVERAGE(G353:H353)*H310*H$307/360</f>
        <v>-27000</v>
      </c>
      <c r="I318" s="105">
        <f t="shared" si="174"/>
        <v>-22500</v>
      </c>
      <c r="J318" s="105">
        <f t="shared" si="174"/>
        <v>-16500</v>
      </c>
      <c r="K318" s="105">
        <f t="shared" si="174"/>
        <v>-10500</v>
      </c>
      <c r="L318" s="105">
        <f t="shared" si="174"/>
        <v>-4500</v>
      </c>
      <c r="M318" s="105">
        <f t="shared" si="174"/>
        <v>-750</v>
      </c>
      <c r="N318" s="105">
        <f t="shared" si="174"/>
        <v>0</v>
      </c>
      <c r="O318" s="105">
        <f t="shared" si="174"/>
        <v>0</v>
      </c>
      <c r="P318" s="105">
        <f t="shared" si="174"/>
        <v>0</v>
      </c>
    </row>
    <row r="319" spans="2:16" s="13" customFormat="1" x14ac:dyDescent="0.25">
      <c r="B319" s="35" t="str">
        <f>B$354</f>
        <v>Term Loan B</v>
      </c>
      <c r="C319" s="35" t="s">
        <v>212</v>
      </c>
      <c r="D319" s="88"/>
      <c r="E319" s="105"/>
      <c r="F319" s="105"/>
      <c r="G319" s="105">
        <f ca="1">-AVERAGE(G354:G354)*G311*G$307/360</f>
        <v>-54000</v>
      </c>
      <c r="H319" s="105">
        <f t="shared" ref="H319:P319" si="175">-AVERAGE(G354:H354)*H311*H$307/360</f>
        <v>-32000</v>
      </c>
      <c r="I319" s="105">
        <f t="shared" si="175"/>
        <v>-24000</v>
      </c>
      <c r="J319" s="105">
        <f t="shared" si="175"/>
        <v>-16000</v>
      </c>
      <c r="K319" s="105">
        <f t="shared" si="175"/>
        <v>-6000</v>
      </c>
      <c r="L319" s="105">
        <f t="shared" si="175"/>
        <v>0</v>
      </c>
      <c r="M319" s="105">
        <f t="shared" si="175"/>
        <v>0</v>
      </c>
      <c r="N319" s="105">
        <f t="shared" si="175"/>
        <v>0</v>
      </c>
      <c r="O319" s="105">
        <f t="shared" si="175"/>
        <v>0</v>
      </c>
      <c r="P319" s="105">
        <f t="shared" si="175"/>
        <v>0</v>
      </c>
    </row>
    <row r="320" spans="2:16" s="13" customFormat="1" x14ac:dyDescent="0.25">
      <c r="B320" s="35" t="str">
        <f>B$355</f>
        <v>Credit Facility</v>
      </c>
      <c r="C320" s="35" t="s">
        <v>212</v>
      </c>
      <c r="D320" s="88"/>
      <c r="E320" s="105"/>
      <c r="F320" s="105"/>
      <c r="G320" s="105">
        <f ca="1">-AVERAGE(G355:G355)*G312*G$307/360</f>
        <v>-21375</v>
      </c>
      <c r="H320" s="105">
        <f t="shared" ref="H320:P320" si="176">-AVERAGE(G355:H355)*H312*H$307/360</f>
        <v>-13500</v>
      </c>
      <c r="I320" s="105">
        <f t="shared" si="176"/>
        <v>-12000</v>
      </c>
      <c r="J320" s="105">
        <f t="shared" si="176"/>
        <v>-9750</v>
      </c>
      <c r="K320" s="105">
        <f t="shared" si="176"/>
        <v>-6750</v>
      </c>
      <c r="L320" s="105">
        <f t="shared" si="176"/>
        <v>-2625</v>
      </c>
      <c r="M320" s="105">
        <f t="shared" si="176"/>
        <v>0</v>
      </c>
      <c r="N320" s="105">
        <f t="shared" si="176"/>
        <v>0</v>
      </c>
      <c r="O320" s="105">
        <f t="shared" si="176"/>
        <v>0</v>
      </c>
      <c r="P320" s="105">
        <f t="shared" si="176"/>
        <v>0</v>
      </c>
    </row>
    <row r="321" spans="2:18" s="13" customFormat="1" x14ac:dyDescent="0.25">
      <c r="B321" s="35" t="str">
        <f>B$356</f>
        <v>Mezzanine</v>
      </c>
      <c r="C321" s="35" t="s">
        <v>212</v>
      </c>
      <c r="D321" s="88"/>
      <c r="E321" s="105"/>
      <c r="F321" s="105"/>
      <c r="G321" s="105">
        <f ca="1">-AVERAGE(G356:G356)*G313*G$307/360</f>
        <v>-45000</v>
      </c>
      <c r="H321" s="105">
        <f t="shared" ref="H321:P321" ca="1" si="177">-AVERAGE(G356:H356)*H313*H$307/360</f>
        <v>-30000</v>
      </c>
      <c r="I321" s="105">
        <f t="shared" ca="1" si="177"/>
        <v>-15000</v>
      </c>
      <c r="J321" s="105">
        <f t="shared" ca="1" si="177"/>
        <v>0</v>
      </c>
      <c r="K321" s="105">
        <f t="shared" ca="1" si="177"/>
        <v>0</v>
      </c>
      <c r="L321" s="105">
        <f t="shared" ca="1" si="177"/>
        <v>0</v>
      </c>
      <c r="M321" s="105">
        <f t="shared" ca="1" si="177"/>
        <v>0</v>
      </c>
      <c r="N321" s="105">
        <f t="shared" ca="1" si="177"/>
        <v>0</v>
      </c>
      <c r="O321" s="105">
        <f t="shared" ca="1" si="177"/>
        <v>0</v>
      </c>
      <c r="P321" s="105">
        <f t="shared" ca="1" si="177"/>
        <v>0</v>
      </c>
    </row>
    <row r="322" spans="2:18" s="13" customFormat="1" x14ac:dyDescent="0.25">
      <c r="B322" s="35" t="str">
        <f>B$357</f>
        <v>Mezzanine PIK Retained</v>
      </c>
      <c r="C322" s="25" t="s">
        <v>212</v>
      </c>
      <c r="D322" s="362"/>
      <c r="E322" s="90"/>
      <c r="F322" s="90"/>
      <c r="G322" s="90">
        <f t="shared" ref="G322:P322" ca="1" si="178">-AVERAGE(F357)*G314*G$307/360</f>
        <v>0</v>
      </c>
      <c r="H322" s="90">
        <f t="shared" ca="1" si="178"/>
        <v>-2700</v>
      </c>
      <c r="I322" s="90">
        <f t="shared" ca="1" si="178"/>
        <v>-4500</v>
      </c>
      <c r="J322" s="90">
        <f t="shared" ca="1" si="178"/>
        <v>0</v>
      </c>
      <c r="K322" s="90">
        <f t="shared" ca="1" si="178"/>
        <v>0</v>
      </c>
      <c r="L322" s="90">
        <f t="shared" ca="1" si="178"/>
        <v>0</v>
      </c>
      <c r="M322" s="90">
        <f t="shared" ca="1" si="178"/>
        <v>0</v>
      </c>
      <c r="N322" s="90">
        <f t="shared" ca="1" si="178"/>
        <v>0</v>
      </c>
      <c r="O322" s="90">
        <f t="shared" ca="1" si="178"/>
        <v>0</v>
      </c>
      <c r="P322" s="90">
        <f t="shared" ca="1" si="178"/>
        <v>0</v>
      </c>
      <c r="Q322" s="119"/>
      <c r="R322" s="90"/>
    </row>
    <row r="323" spans="2:18" s="13" customFormat="1" x14ac:dyDescent="0.25">
      <c r="B323" s="35" t="str">
        <f>B$358</f>
        <v>Seller financing</v>
      </c>
      <c r="C323" s="35" t="s">
        <v>212</v>
      </c>
      <c r="D323" s="88"/>
      <c r="E323" s="105"/>
      <c r="F323" s="105"/>
      <c r="G323" s="105">
        <f ca="1">-AVERAGE(G358:G358)*G315*G$307/360</f>
        <v>-24000</v>
      </c>
      <c r="H323" s="105">
        <f t="shared" ref="H323:P323" si="179">-AVERAGE(G358:H358)*H315*H$307/360</f>
        <v>-14000</v>
      </c>
      <c r="I323" s="105">
        <f t="shared" si="179"/>
        <v>-10000</v>
      </c>
      <c r="J323" s="105">
        <f t="shared" si="179"/>
        <v>-6000</v>
      </c>
      <c r="K323" s="105">
        <f t="shared" si="179"/>
        <v>-2000</v>
      </c>
      <c r="L323" s="105">
        <f t="shared" si="179"/>
        <v>0</v>
      </c>
      <c r="M323" s="105">
        <f t="shared" si="179"/>
        <v>0</v>
      </c>
      <c r="N323" s="105">
        <f t="shared" si="179"/>
        <v>0</v>
      </c>
      <c r="O323" s="105">
        <f t="shared" si="179"/>
        <v>0</v>
      </c>
      <c r="P323" s="105">
        <f t="shared" si="179"/>
        <v>0</v>
      </c>
      <c r="R323" s="105"/>
    </row>
    <row r="324" spans="2:18" s="13" customFormat="1" x14ac:dyDescent="0.25">
      <c r="B324" s="91" t="s">
        <v>158</v>
      </c>
      <c r="C324" s="91" t="s">
        <v>212</v>
      </c>
      <c r="D324" s="137"/>
      <c r="E324" s="80"/>
      <c r="F324" s="80"/>
      <c r="G324" s="80">
        <f ca="1">SUM(G318:G323)</f>
        <v>-187125</v>
      </c>
      <c r="H324" s="80">
        <f ca="1">SUM(H318:H323)</f>
        <v>-119200</v>
      </c>
      <c r="I324" s="80">
        <f t="shared" ref="I324:P324" ca="1" si="180">SUM(I318:I323)</f>
        <v>-88000</v>
      </c>
      <c r="J324" s="80">
        <f t="shared" ca="1" si="180"/>
        <v>-48250</v>
      </c>
      <c r="K324" s="80">
        <f t="shared" ca="1" si="180"/>
        <v>-25250</v>
      </c>
      <c r="L324" s="80">
        <f t="shared" ca="1" si="180"/>
        <v>-7125</v>
      </c>
      <c r="M324" s="80">
        <f t="shared" ca="1" si="180"/>
        <v>-750</v>
      </c>
      <c r="N324" s="80">
        <f t="shared" ca="1" si="180"/>
        <v>0</v>
      </c>
      <c r="O324" s="80">
        <f t="shared" ca="1" si="180"/>
        <v>0</v>
      </c>
      <c r="P324" s="80">
        <f t="shared" ca="1" si="180"/>
        <v>0</v>
      </c>
    </row>
    <row r="325" spans="2:18" s="13" customFormat="1" x14ac:dyDescent="0.25">
      <c r="B325" s="35"/>
      <c r="C325" s="35"/>
      <c r="D325" s="88"/>
      <c r="E325" s="88"/>
      <c r="F325" s="88"/>
      <c r="G325" s="88"/>
      <c r="H325" s="88"/>
      <c r="I325" s="88"/>
      <c r="J325" s="88"/>
      <c r="K325" s="88"/>
      <c r="L325" s="88"/>
      <c r="M325" s="88"/>
      <c r="N325" s="88"/>
      <c r="O325" s="88"/>
      <c r="P325" s="88"/>
    </row>
    <row r="326" spans="2:18" s="13" customFormat="1" ht="13" x14ac:dyDescent="0.3">
      <c r="B326" s="170" t="s">
        <v>78</v>
      </c>
      <c r="C326" s="28"/>
      <c r="D326" s="87"/>
      <c r="E326" s="87"/>
      <c r="F326" s="87"/>
      <c r="G326" s="87"/>
      <c r="H326" s="87"/>
      <c r="I326" s="87"/>
      <c r="J326" s="87"/>
      <c r="K326" s="87"/>
      <c r="L326" s="87"/>
      <c r="M326" s="87"/>
      <c r="N326" s="87"/>
      <c r="O326" s="87"/>
      <c r="P326" s="87"/>
    </row>
    <row r="327" spans="2:18" s="13" customFormat="1" x14ac:dyDescent="0.25">
      <c r="B327" s="35" t="str">
        <f>B$353</f>
        <v>Term Loan A</v>
      </c>
      <c r="C327" s="35" t="s">
        <v>212</v>
      </c>
      <c r="D327" s="88"/>
      <c r="E327" s="88"/>
      <c r="F327" s="88">
        <f>Summary!E111</f>
        <v>1000000</v>
      </c>
      <c r="G327" s="88"/>
      <c r="H327" s="88"/>
      <c r="I327" s="88"/>
      <c r="J327" s="88"/>
      <c r="K327" s="88"/>
      <c r="L327" s="88"/>
      <c r="M327" s="88"/>
      <c r="N327" s="88"/>
      <c r="O327" s="88"/>
      <c r="P327" s="88"/>
    </row>
    <row r="328" spans="2:18" s="13" customFormat="1" x14ac:dyDescent="0.25">
      <c r="B328" s="35" t="str">
        <f>B$354</f>
        <v>Term Loan B</v>
      </c>
      <c r="C328" s="35" t="s">
        <v>212</v>
      </c>
      <c r="D328" s="88"/>
      <c r="E328" s="88"/>
      <c r="F328" s="88">
        <f>Summary!E112</f>
        <v>1000000</v>
      </c>
      <c r="G328" s="88"/>
      <c r="H328" s="88"/>
      <c r="I328" s="88"/>
      <c r="J328" s="88"/>
      <c r="K328" s="88"/>
      <c r="L328" s="88"/>
      <c r="M328" s="88"/>
      <c r="N328" s="88"/>
      <c r="O328" s="88"/>
      <c r="P328" s="88"/>
    </row>
    <row r="329" spans="2:18" s="13" customFormat="1" x14ac:dyDescent="0.25">
      <c r="B329" s="35" t="str">
        <f>B$355</f>
        <v>Credit Facility</v>
      </c>
      <c r="C329" s="35" t="s">
        <v>212</v>
      </c>
      <c r="D329" s="88"/>
      <c r="E329" s="88"/>
      <c r="F329" s="88">
        <f>Summary!E113</f>
        <v>500000</v>
      </c>
      <c r="G329" s="88"/>
      <c r="H329" s="88"/>
      <c r="I329" s="88"/>
      <c r="J329" s="88"/>
      <c r="K329" s="88"/>
      <c r="L329" s="88"/>
      <c r="M329" s="88"/>
      <c r="N329" s="88"/>
      <c r="O329" s="88"/>
      <c r="P329" s="88"/>
    </row>
    <row r="330" spans="2:18" s="13" customFormat="1" x14ac:dyDescent="0.25">
      <c r="B330" s="35" t="str">
        <f>B$356</f>
        <v>Mezzanine</v>
      </c>
      <c r="C330" s="35" t="s">
        <v>212</v>
      </c>
      <c r="D330" s="88"/>
      <c r="E330" s="88"/>
      <c r="F330" s="88">
        <f>Summary!E114</f>
        <v>500000</v>
      </c>
      <c r="G330" s="88"/>
      <c r="H330" s="88"/>
      <c r="I330" s="88"/>
      <c r="J330" s="88"/>
      <c r="K330" s="88"/>
      <c r="L330" s="88"/>
      <c r="M330" s="88"/>
      <c r="N330" s="88"/>
      <c r="O330" s="88"/>
      <c r="P330" s="88"/>
    </row>
    <row r="331" spans="2:18" s="13" customFormat="1" x14ac:dyDescent="0.25">
      <c r="B331" s="35" t="str">
        <f>B$357</f>
        <v>Mezzanine PIK Retained</v>
      </c>
      <c r="C331" s="35" t="s">
        <v>212</v>
      </c>
      <c r="D331" s="88"/>
      <c r="E331" s="88"/>
      <c r="F331" s="88">
        <v>0</v>
      </c>
      <c r="G331" s="88">
        <f ca="1">IF($C$273="PIK",G273)</f>
        <v>45000</v>
      </c>
      <c r="H331" s="88">
        <f t="shared" ref="H331:P331" ca="1" si="181">IF($C$273="PIK",H273)</f>
        <v>30000</v>
      </c>
      <c r="I331" s="88">
        <f t="shared" ca="1" si="181"/>
        <v>15000</v>
      </c>
      <c r="J331" s="88">
        <f t="shared" ca="1" si="181"/>
        <v>0</v>
      </c>
      <c r="K331" s="88">
        <f t="shared" ca="1" si="181"/>
        <v>0</v>
      </c>
      <c r="L331" s="88">
        <f t="shared" ca="1" si="181"/>
        <v>0</v>
      </c>
      <c r="M331" s="88">
        <f t="shared" ca="1" si="181"/>
        <v>0</v>
      </c>
      <c r="N331" s="88">
        <f t="shared" ca="1" si="181"/>
        <v>0</v>
      </c>
      <c r="O331" s="88">
        <f t="shared" ca="1" si="181"/>
        <v>0</v>
      </c>
      <c r="P331" s="88">
        <f t="shared" ca="1" si="181"/>
        <v>0</v>
      </c>
    </row>
    <row r="332" spans="2:18" s="13" customFormat="1" x14ac:dyDescent="0.25">
      <c r="B332" s="35" t="str">
        <f>B$358</f>
        <v>Seller financing</v>
      </c>
      <c r="C332" s="35" t="s">
        <v>212</v>
      </c>
      <c r="D332" s="88"/>
      <c r="E332" s="88"/>
      <c r="F332" s="88">
        <f>Summary!E115</f>
        <v>400000</v>
      </c>
      <c r="G332" s="88"/>
      <c r="H332" s="88"/>
      <c r="I332" s="88"/>
      <c r="J332" s="88"/>
      <c r="K332" s="88"/>
      <c r="L332" s="88"/>
      <c r="M332" s="88"/>
      <c r="N332" s="88"/>
      <c r="O332" s="88"/>
      <c r="P332" s="88"/>
    </row>
    <row r="333" spans="2:18" s="13" customFormat="1" x14ac:dyDescent="0.25">
      <c r="B333" s="91" t="s">
        <v>158</v>
      </c>
      <c r="C333" s="91" t="s">
        <v>212</v>
      </c>
      <c r="D333" s="80"/>
      <c r="E333" s="80"/>
      <c r="F333" s="80">
        <f>SUM(F327:F332)</f>
        <v>3400000</v>
      </c>
      <c r="G333" s="80">
        <f ca="1">SUM(G327:G332)</f>
        <v>45000</v>
      </c>
      <c r="H333" s="80">
        <f t="shared" ref="H333:P333" ca="1" si="182">SUM(H327:H332)</f>
        <v>30000</v>
      </c>
      <c r="I333" s="80">
        <f t="shared" ca="1" si="182"/>
        <v>15000</v>
      </c>
      <c r="J333" s="80">
        <f t="shared" ca="1" si="182"/>
        <v>0</v>
      </c>
      <c r="K333" s="80">
        <f t="shared" ca="1" si="182"/>
        <v>0</v>
      </c>
      <c r="L333" s="80">
        <f t="shared" ca="1" si="182"/>
        <v>0</v>
      </c>
      <c r="M333" s="80">
        <f t="shared" ca="1" si="182"/>
        <v>0</v>
      </c>
      <c r="N333" s="80">
        <f t="shared" ca="1" si="182"/>
        <v>0</v>
      </c>
      <c r="O333" s="80">
        <f t="shared" ca="1" si="182"/>
        <v>0</v>
      </c>
      <c r="P333" s="80">
        <f t="shared" ca="1" si="182"/>
        <v>0</v>
      </c>
    </row>
    <row r="334" spans="2:18" s="13" customFormat="1" x14ac:dyDescent="0.25">
      <c r="B334" s="35"/>
      <c r="C334" s="35"/>
      <c r="D334" s="88"/>
      <c r="E334" s="88"/>
      <c r="F334" s="88"/>
      <c r="G334" s="88"/>
      <c r="H334" s="88"/>
      <c r="I334" s="88"/>
      <c r="J334" s="88"/>
      <c r="K334" s="88"/>
      <c r="L334" s="88"/>
      <c r="M334" s="88"/>
      <c r="N334" s="88"/>
      <c r="O334" s="88"/>
      <c r="P334" s="88"/>
    </row>
    <row r="335" spans="2:18" s="13" customFormat="1" ht="13" x14ac:dyDescent="0.3">
      <c r="B335" s="170" t="s">
        <v>79</v>
      </c>
      <c r="C335" s="28"/>
      <c r="D335" s="87"/>
      <c r="E335" s="87"/>
      <c r="F335" s="87"/>
      <c r="G335" s="87"/>
      <c r="H335" s="87"/>
      <c r="I335" s="87"/>
      <c r="J335" s="87"/>
      <c r="K335" s="87"/>
      <c r="L335" s="87"/>
      <c r="M335" s="87"/>
      <c r="N335" s="87"/>
      <c r="O335" s="87"/>
      <c r="P335" s="87"/>
    </row>
    <row r="336" spans="2:18" s="13" customFormat="1" x14ac:dyDescent="0.25">
      <c r="B336" s="35" t="str">
        <f>B$353</f>
        <v>Term Loan A</v>
      </c>
      <c r="C336" s="35" t="s">
        <v>187</v>
      </c>
      <c r="D336" s="88"/>
      <c r="E336" s="88"/>
      <c r="F336" s="88"/>
      <c r="G336" s="140">
        <v>0.05</v>
      </c>
      <c r="H336" s="140">
        <v>0.1</v>
      </c>
      <c r="I336" s="140">
        <v>0.2</v>
      </c>
      <c r="J336" s="140">
        <v>0.2</v>
      </c>
      <c r="K336" s="140">
        <v>0.2</v>
      </c>
      <c r="L336" s="140">
        <v>0.2</v>
      </c>
      <c r="M336" s="140">
        <v>0.05</v>
      </c>
      <c r="N336" s="140">
        <v>0</v>
      </c>
      <c r="O336" s="140">
        <v>0</v>
      </c>
      <c r="P336" s="140">
        <v>0</v>
      </c>
    </row>
    <row r="337" spans="2:16" s="13" customFormat="1" x14ac:dyDescent="0.25">
      <c r="B337" s="35" t="str">
        <f>B$354</f>
        <v>Term Loan B</v>
      </c>
      <c r="C337" s="35" t="s">
        <v>187</v>
      </c>
      <c r="D337" s="88"/>
      <c r="E337" s="88"/>
      <c r="F337" s="88"/>
      <c r="G337" s="140">
        <v>0.1</v>
      </c>
      <c r="H337" s="140">
        <v>0.2</v>
      </c>
      <c r="I337" s="140">
        <v>0.2</v>
      </c>
      <c r="J337" s="140">
        <v>0.2</v>
      </c>
      <c r="K337" s="140">
        <v>0.3</v>
      </c>
      <c r="L337" s="140">
        <v>0</v>
      </c>
      <c r="M337" s="140">
        <v>0</v>
      </c>
      <c r="N337" s="140">
        <v>0</v>
      </c>
      <c r="O337" s="140">
        <v>0</v>
      </c>
      <c r="P337" s="140">
        <v>0</v>
      </c>
    </row>
    <row r="338" spans="2:16" s="13" customFormat="1" x14ac:dyDescent="0.25">
      <c r="B338" s="35" t="str">
        <f>B$355</f>
        <v>Credit Facility</v>
      </c>
      <c r="C338" s="35" t="s">
        <v>187</v>
      </c>
      <c r="D338" s="88"/>
      <c r="E338" s="88"/>
      <c r="F338" s="88"/>
      <c r="G338" s="140">
        <v>0.05</v>
      </c>
      <c r="H338" s="140">
        <v>0.1</v>
      </c>
      <c r="I338" s="140">
        <v>0.1</v>
      </c>
      <c r="J338" s="140">
        <v>0.2</v>
      </c>
      <c r="K338" s="140">
        <v>0.2</v>
      </c>
      <c r="L338" s="140">
        <v>0.35</v>
      </c>
      <c r="M338" s="140">
        <v>0</v>
      </c>
      <c r="N338" s="140">
        <v>0</v>
      </c>
      <c r="O338" s="140">
        <v>0</v>
      </c>
      <c r="P338" s="140">
        <v>0</v>
      </c>
    </row>
    <row r="339" spans="2:16" s="13" customFormat="1" x14ac:dyDescent="0.25">
      <c r="B339" s="25" t="str">
        <f>B$356</f>
        <v>Mezzanine</v>
      </c>
      <c r="C339" s="35" t="s">
        <v>187</v>
      </c>
      <c r="D339" s="88"/>
      <c r="E339" s="88"/>
      <c r="F339" s="88"/>
      <c r="G339" s="140">
        <f t="shared" ref="G339:P339" ca="1" si="183">IF(G$238="Exit",1,0)</f>
        <v>0</v>
      </c>
      <c r="H339" s="140">
        <f t="shared" ca="1" si="183"/>
        <v>0</v>
      </c>
      <c r="I339" s="140">
        <f t="shared" ca="1" si="183"/>
        <v>1</v>
      </c>
      <c r="J339" s="140">
        <f t="shared" ca="1" si="183"/>
        <v>0</v>
      </c>
      <c r="K339" s="140">
        <f t="shared" ca="1" si="183"/>
        <v>0</v>
      </c>
      <c r="L339" s="140">
        <f t="shared" ca="1" si="183"/>
        <v>0</v>
      </c>
      <c r="M339" s="140">
        <f t="shared" ca="1" si="183"/>
        <v>0</v>
      </c>
      <c r="N339" s="140">
        <f t="shared" ca="1" si="183"/>
        <v>0</v>
      </c>
      <c r="O339" s="140">
        <f t="shared" ca="1" si="183"/>
        <v>0</v>
      </c>
      <c r="P339" s="140">
        <f t="shared" ca="1" si="183"/>
        <v>0</v>
      </c>
    </row>
    <row r="340" spans="2:16" s="13" customFormat="1" x14ac:dyDescent="0.25">
      <c r="B340" s="35" t="str">
        <f>B$357</f>
        <v>Mezzanine PIK Retained</v>
      </c>
      <c r="C340" s="35" t="s">
        <v>212</v>
      </c>
      <c r="D340" s="88"/>
      <c r="E340" s="88"/>
      <c r="F340" s="88"/>
      <c r="G340" s="213">
        <f ca="1">G339</f>
        <v>0</v>
      </c>
      <c r="H340" s="213">
        <f t="shared" ref="H340:P340" ca="1" si="184">H339</f>
        <v>0</v>
      </c>
      <c r="I340" s="213">
        <f t="shared" ca="1" si="184"/>
        <v>1</v>
      </c>
      <c r="J340" s="213">
        <f t="shared" ca="1" si="184"/>
        <v>0</v>
      </c>
      <c r="K340" s="213">
        <f t="shared" ca="1" si="184"/>
        <v>0</v>
      </c>
      <c r="L340" s="213">
        <f t="shared" ca="1" si="184"/>
        <v>0</v>
      </c>
      <c r="M340" s="213">
        <f t="shared" ca="1" si="184"/>
        <v>0</v>
      </c>
      <c r="N340" s="213">
        <f t="shared" ca="1" si="184"/>
        <v>0</v>
      </c>
      <c r="O340" s="213">
        <f t="shared" ca="1" si="184"/>
        <v>0</v>
      </c>
      <c r="P340" s="213">
        <f t="shared" ca="1" si="184"/>
        <v>0</v>
      </c>
    </row>
    <row r="341" spans="2:16" s="13" customFormat="1" x14ac:dyDescent="0.25">
      <c r="B341" s="35" t="str">
        <f>B$358</f>
        <v>Seller financing</v>
      </c>
      <c r="C341" s="35" t="s">
        <v>187</v>
      </c>
      <c r="D341" s="88"/>
      <c r="E341" s="88"/>
      <c r="F341" s="88"/>
      <c r="G341" s="140">
        <v>0.2</v>
      </c>
      <c r="H341" s="140">
        <v>0.2</v>
      </c>
      <c r="I341" s="140">
        <v>0.2</v>
      </c>
      <c r="J341" s="140">
        <v>0.2</v>
      </c>
      <c r="K341" s="140">
        <v>0.2</v>
      </c>
      <c r="L341" s="140">
        <v>0</v>
      </c>
      <c r="M341" s="140">
        <v>0</v>
      </c>
      <c r="N341" s="140">
        <v>0</v>
      </c>
      <c r="O341" s="140">
        <v>0</v>
      </c>
      <c r="P341" s="140">
        <v>0</v>
      </c>
    </row>
    <row r="342" spans="2:16" s="13" customFormat="1" x14ac:dyDescent="0.25">
      <c r="B342" s="35"/>
      <c r="C342" s="35"/>
      <c r="D342" s="88"/>
      <c r="E342" s="88"/>
      <c r="F342" s="88"/>
      <c r="G342" s="88"/>
      <c r="H342" s="88"/>
      <c r="I342" s="88"/>
      <c r="J342" s="88"/>
      <c r="K342" s="88"/>
      <c r="L342" s="88"/>
      <c r="M342" s="88"/>
      <c r="N342" s="88"/>
      <c r="O342" s="88"/>
      <c r="P342" s="88"/>
    </row>
    <row r="343" spans="2:16" s="13" customFormat="1" ht="13" x14ac:dyDescent="0.3">
      <c r="B343" s="170" t="s">
        <v>79</v>
      </c>
      <c r="C343" s="28"/>
      <c r="D343" s="87"/>
      <c r="E343" s="87"/>
      <c r="F343" s="87"/>
      <c r="G343" s="87"/>
      <c r="H343" s="87"/>
      <c r="I343" s="87"/>
      <c r="J343" s="87"/>
      <c r="K343" s="87"/>
      <c r="L343" s="87"/>
      <c r="M343" s="87"/>
      <c r="N343" s="87"/>
      <c r="O343" s="87"/>
      <c r="P343" s="87"/>
    </row>
    <row r="344" spans="2:16" s="13" customFormat="1" x14ac:dyDescent="0.25">
      <c r="B344" s="35" t="str">
        <f>B$353</f>
        <v>Term Loan A</v>
      </c>
      <c r="C344" s="35" t="s">
        <v>212</v>
      </c>
      <c r="D344" s="88"/>
      <c r="E344" s="88"/>
      <c r="F344" s="88"/>
      <c r="G344" s="90">
        <f t="shared" ref="G344:P344" si="185">-G336*$F353</f>
        <v>-50000</v>
      </c>
      <c r="H344" s="90">
        <f t="shared" si="185"/>
        <v>-100000</v>
      </c>
      <c r="I344" s="90">
        <f t="shared" si="185"/>
        <v>-200000</v>
      </c>
      <c r="J344" s="90">
        <f t="shared" si="185"/>
        <v>-200000</v>
      </c>
      <c r="K344" s="90">
        <f t="shared" si="185"/>
        <v>-200000</v>
      </c>
      <c r="L344" s="90">
        <f t="shared" si="185"/>
        <v>-200000</v>
      </c>
      <c r="M344" s="90">
        <f t="shared" si="185"/>
        <v>-50000</v>
      </c>
      <c r="N344" s="90">
        <f t="shared" si="185"/>
        <v>0</v>
      </c>
      <c r="O344" s="90">
        <f t="shared" si="185"/>
        <v>0</v>
      </c>
      <c r="P344" s="90">
        <f t="shared" si="185"/>
        <v>0</v>
      </c>
    </row>
    <row r="345" spans="2:16" s="13" customFormat="1" x14ac:dyDescent="0.25">
      <c r="B345" s="35" t="str">
        <f>B$354</f>
        <v>Term Loan B</v>
      </c>
      <c r="C345" s="35" t="s">
        <v>212</v>
      </c>
      <c r="D345" s="88"/>
      <c r="E345" s="88"/>
      <c r="F345" s="88"/>
      <c r="G345" s="90">
        <f t="shared" ref="G345:P345" si="186">-G337*$F354</f>
        <v>-100000</v>
      </c>
      <c r="H345" s="90">
        <f t="shared" si="186"/>
        <v>-200000</v>
      </c>
      <c r="I345" s="90">
        <f t="shared" si="186"/>
        <v>-200000</v>
      </c>
      <c r="J345" s="90">
        <f t="shared" si="186"/>
        <v>-200000</v>
      </c>
      <c r="K345" s="90">
        <f t="shared" si="186"/>
        <v>-300000</v>
      </c>
      <c r="L345" s="90">
        <f t="shared" si="186"/>
        <v>0</v>
      </c>
      <c r="M345" s="90">
        <f t="shared" si="186"/>
        <v>0</v>
      </c>
      <c r="N345" s="90">
        <f t="shared" si="186"/>
        <v>0</v>
      </c>
      <c r="O345" s="90">
        <f t="shared" si="186"/>
        <v>0</v>
      </c>
      <c r="P345" s="90">
        <f t="shared" si="186"/>
        <v>0</v>
      </c>
    </row>
    <row r="346" spans="2:16" s="13" customFormat="1" x14ac:dyDescent="0.25">
      <c r="B346" s="35" t="str">
        <f>B$355</f>
        <v>Credit Facility</v>
      </c>
      <c r="C346" s="35" t="s">
        <v>212</v>
      </c>
      <c r="D346" s="88"/>
      <c r="E346" s="88"/>
      <c r="F346" s="88"/>
      <c r="G346" s="90">
        <f t="shared" ref="G346:P346" si="187">-G338*$F355</f>
        <v>-25000</v>
      </c>
      <c r="H346" s="90">
        <f t="shared" si="187"/>
        <v>-50000</v>
      </c>
      <c r="I346" s="90">
        <f t="shared" si="187"/>
        <v>-50000</v>
      </c>
      <c r="J346" s="90">
        <f t="shared" si="187"/>
        <v>-100000</v>
      </c>
      <c r="K346" s="90">
        <f t="shared" si="187"/>
        <v>-100000</v>
      </c>
      <c r="L346" s="90">
        <f t="shared" si="187"/>
        <v>-175000</v>
      </c>
      <c r="M346" s="90">
        <f t="shared" si="187"/>
        <v>0</v>
      </c>
      <c r="N346" s="90">
        <f t="shared" si="187"/>
        <v>0</v>
      </c>
      <c r="O346" s="90">
        <f t="shared" si="187"/>
        <v>0</v>
      </c>
      <c r="P346" s="90">
        <f t="shared" si="187"/>
        <v>0</v>
      </c>
    </row>
    <row r="347" spans="2:16" s="13" customFormat="1" x14ac:dyDescent="0.25">
      <c r="B347" s="35" t="str">
        <f>B$356</f>
        <v>Mezzanine</v>
      </c>
      <c r="C347" s="35" t="s">
        <v>212</v>
      </c>
      <c r="D347" s="88"/>
      <c r="E347" s="88"/>
      <c r="F347" s="88"/>
      <c r="G347" s="90">
        <f t="shared" ref="G347:P347" ca="1" si="188">-G339*$F356</f>
        <v>0</v>
      </c>
      <c r="H347" s="90">
        <f t="shared" ca="1" si="188"/>
        <v>0</v>
      </c>
      <c r="I347" s="90">
        <f t="shared" ca="1" si="188"/>
        <v>-500000</v>
      </c>
      <c r="J347" s="90">
        <f t="shared" ca="1" si="188"/>
        <v>0</v>
      </c>
      <c r="K347" s="90">
        <f t="shared" ca="1" si="188"/>
        <v>0</v>
      </c>
      <c r="L347" s="90">
        <f t="shared" ca="1" si="188"/>
        <v>0</v>
      </c>
      <c r="M347" s="90">
        <f t="shared" ca="1" si="188"/>
        <v>0</v>
      </c>
      <c r="N347" s="90">
        <f t="shared" ca="1" si="188"/>
        <v>0</v>
      </c>
      <c r="O347" s="90">
        <f t="shared" ca="1" si="188"/>
        <v>0</v>
      </c>
      <c r="P347" s="90">
        <f t="shared" ca="1" si="188"/>
        <v>0</v>
      </c>
    </row>
    <row r="348" spans="2:16" s="13" customFormat="1" x14ac:dyDescent="0.25">
      <c r="B348" s="35" t="str">
        <f>B$357</f>
        <v>Mezzanine PIK Retained</v>
      </c>
      <c r="C348" s="35" t="s">
        <v>212</v>
      </c>
      <c r="D348" s="88"/>
      <c r="E348" s="88"/>
      <c r="F348" s="88"/>
      <c r="G348" s="90">
        <f t="shared" ref="G348:L348" ca="1" si="189">-G340*(G331+F357)</f>
        <v>0</v>
      </c>
      <c r="H348" s="90">
        <f t="shared" ca="1" si="189"/>
        <v>0</v>
      </c>
      <c r="I348" s="90">
        <f t="shared" ca="1" si="189"/>
        <v>-90000</v>
      </c>
      <c r="J348" s="90">
        <f t="shared" ca="1" si="189"/>
        <v>0</v>
      </c>
      <c r="K348" s="90">
        <f t="shared" ca="1" si="189"/>
        <v>0</v>
      </c>
      <c r="L348" s="90">
        <f t="shared" ca="1" si="189"/>
        <v>0</v>
      </c>
      <c r="M348" s="90">
        <f ca="1">-M340*(M331+L357)</f>
        <v>0</v>
      </c>
      <c r="N348" s="90">
        <f t="shared" ref="N348:P348" ca="1" si="190">-N340*(N331+M357)</f>
        <v>0</v>
      </c>
      <c r="O348" s="90">
        <f t="shared" ca="1" si="190"/>
        <v>0</v>
      </c>
      <c r="P348" s="90">
        <f t="shared" ca="1" si="190"/>
        <v>0</v>
      </c>
    </row>
    <row r="349" spans="2:16" s="13" customFormat="1" x14ac:dyDescent="0.25">
      <c r="B349" s="35" t="str">
        <f>B$358</f>
        <v>Seller financing</v>
      </c>
      <c r="C349" s="35" t="s">
        <v>212</v>
      </c>
      <c r="D349" s="88"/>
      <c r="E349" s="88"/>
      <c r="F349" s="88"/>
      <c r="G349" s="90">
        <f t="shared" ref="G349:P349" si="191">-G341*$F358</f>
        <v>-80000</v>
      </c>
      <c r="H349" s="90">
        <f t="shared" si="191"/>
        <v>-80000</v>
      </c>
      <c r="I349" s="90">
        <f t="shared" si="191"/>
        <v>-80000</v>
      </c>
      <c r="J349" s="90">
        <f t="shared" si="191"/>
        <v>-80000</v>
      </c>
      <c r="K349" s="90">
        <f t="shared" si="191"/>
        <v>-80000</v>
      </c>
      <c r="L349" s="90">
        <f t="shared" si="191"/>
        <v>0</v>
      </c>
      <c r="M349" s="90">
        <f t="shared" si="191"/>
        <v>0</v>
      </c>
      <c r="N349" s="90">
        <f t="shared" si="191"/>
        <v>0</v>
      </c>
      <c r="O349" s="90">
        <f t="shared" si="191"/>
        <v>0</v>
      </c>
      <c r="P349" s="90">
        <f t="shared" si="191"/>
        <v>0</v>
      </c>
    </row>
    <row r="350" spans="2:16" s="13" customFormat="1" x14ac:dyDescent="0.25">
      <c r="B350" s="91" t="s">
        <v>158</v>
      </c>
      <c r="C350" s="91" t="s">
        <v>212</v>
      </c>
      <c r="D350" s="137"/>
      <c r="E350" s="80"/>
      <c r="F350" s="80"/>
      <c r="G350" s="80">
        <f t="shared" ref="G350:P350" ca="1" si="192">SUM(G344:G349)</f>
        <v>-255000</v>
      </c>
      <c r="H350" s="80">
        <f t="shared" ca="1" si="192"/>
        <v>-430000</v>
      </c>
      <c r="I350" s="80">
        <f t="shared" ca="1" si="192"/>
        <v>-1120000</v>
      </c>
      <c r="J350" s="80">
        <f t="shared" ca="1" si="192"/>
        <v>-580000</v>
      </c>
      <c r="K350" s="80">
        <f t="shared" ca="1" si="192"/>
        <v>-680000</v>
      </c>
      <c r="L350" s="80">
        <f t="shared" ca="1" si="192"/>
        <v>-375000</v>
      </c>
      <c r="M350" s="80">
        <f t="shared" ca="1" si="192"/>
        <v>-50000</v>
      </c>
      <c r="N350" s="80">
        <f t="shared" ca="1" si="192"/>
        <v>0</v>
      </c>
      <c r="O350" s="80">
        <f t="shared" ca="1" si="192"/>
        <v>0</v>
      </c>
      <c r="P350" s="80">
        <f t="shared" ca="1" si="192"/>
        <v>0</v>
      </c>
    </row>
    <row r="351" spans="2:16" s="13" customFormat="1" x14ac:dyDescent="0.25">
      <c r="B351" s="35"/>
      <c r="C351" s="35"/>
      <c r="D351" s="88"/>
      <c r="E351" s="88"/>
      <c r="F351" s="88"/>
      <c r="G351" s="88"/>
      <c r="H351" s="88"/>
      <c r="I351" s="88"/>
      <c r="J351" s="88"/>
      <c r="K351" s="88"/>
      <c r="L351" s="88"/>
      <c r="M351" s="88"/>
      <c r="N351" s="88"/>
      <c r="O351" s="88"/>
      <c r="P351" s="88"/>
    </row>
    <row r="352" spans="2:16" s="13" customFormat="1" ht="13" x14ac:dyDescent="0.3">
      <c r="B352" s="170" t="s">
        <v>119</v>
      </c>
      <c r="C352" s="28"/>
      <c r="D352" s="87"/>
      <c r="E352" s="87"/>
      <c r="F352" s="87"/>
      <c r="G352" s="87"/>
      <c r="H352" s="87"/>
      <c r="I352" s="87"/>
      <c r="J352" s="87"/>
      <c r="K352" s="87"/>
      <c r="L352" s="87"/>
      <c r="M352" s="87"/>
      <c r="N352" s="87"/>
      <c r="O352" s="87"/>
      <c r="P352" s="87"/>
    </row>
    <row r="353" spans="2:16" s="13" customFormat="1" x14ac:dyDescent="0.25">
      <c r="B353" s="35" t="str">
        <f>Summary!B111</f>
        <v>Term Loan A</v>
      </c>
      <c r="C353" s="35" t="s">
        <v>212</v>
      </c>
      <c r="D353" s="105"/>
      <c r="E353" s="105"/>
      <c r="F353" s="105">
        <f t="shared" ref="F353:P353" si="193">E353+F327+F344</f>
        <v>1000000</v>
      </c>
      <c r="G353" s="105">
        <f t="shared" si="193"/>
        <v>950000</v>
      </c>
      <c r="H353" s="105">
        <f t="shared" si="193"/>
        <v>850000</v>
      </c>
      <c r="I353" s="105">
        <f t="shared" si="193"/>
        <v>650000</v>
      </c>
      <c r="J353" s="105">
        <f t="shared" si="193"/>
        <v>450000</v>
      </c>
      <c r="K353" s="105">
        <f t="shared" si="193"/>
        <v>250000</v>
      </c>
      <c r="L353" s="105">
        <f t="shared" si="193"/>
        <v>50000</v>
      </c>
      <c r="M353" s="105">
        <f t="shared" si="193"/>
        <v>0</v>
      </c>
      <c r="N353" s="105">
        <f t="shared" si="193"/>
        <v>0</v>
      </c>
      <c r="O353" s="105">
        <f t="shared" si="193"/>
        <v>0</v>
      </c>
      <c r="P353" s="105">
        <f t="shared" si="193"/>
        <v>0</v>
      </c>
    </row>
    <row r="354" spans="2:16" s="13" customFormat="1" x14ac:dyDescent="0.25">
      <c r="B354" s="35" t="str">
        <f>Summary!B112</f>
        <v>Term Loan B</v>
      </c>
      <c r="C354" s="35" t="s">
        <v>212</v>
      </c>
      <c r="D354" s="105"/>
      <c r="E354" s="105"/>
      <c r="F354" s="105">
        <f t="shared" ref="F354:P354" si="194">E354+F328+F345</f>
        <v>1000000</v>
      </c>
      <c r="G354" s="105">
        <f t="shared" si="194"/>
        <v>900000</v>
      </c>
      <c r="H354" s="105">
        <f t="shared" si="194"/>
        <v>700000</v>
      </c>
      <c r="I354" s="105">
        <f t="shared" si="194"/>
        <v>500000</v>
      </c>
      <c r="J354" s="105">
        <f t="shared" si="194"/>
        <v>300000</v>
      </c>
      <c r="K354" s="105">
        <f t="shared" si="194"/>
        <v>0</v>
      </c>
      <c r="L354" s="105">
        <f t="shared" si="194"/>
        <v>0</v>
      </c>
      <c r="M354" s="105">
        <f t="shared" si="194"/>
        <v>0</v>
      </c>
      <c r="N354" s="105">
        <f t="shared" si="194"/>
        <v>0</v>
      </c>
      <c r="O354" s="105">
        <f t="shared" si="194"/>
        <v>0</v>
      </c>
      <c r="P354" s="105">
        <f t="shared" si="194"/>
        <v>0</v>
      </c>
    </row>
    <row r="355" spans="2:16" s="13" customFormat="1" x14ac:dyDescent="0.25">
      <c r="B355" s="35" t="str">
        <f>Summary!B113</f>
        <v>Credit Facility</v>
      </c>
      <c r="C355" s="35" t="s">
        <v>212</v>
      </c>
      <c r="D355" s="105"/>
      <c r="E355" s="105"/>
      <c r="F355" s="105">
        <f t="shared" ref="F355:P355" si="195">E355+F329+F346</f>
        <v>500000</v>
      </c>
      <c r="G355" s="105">
        <f t="shared" si="195"/>
        <v>475000</v>
      </c>
      <c r="H355" s="105">
        <f t="shared" si="195"/>
        <v>425000</v>
      </c>
      <c r="I355" s="105">
        <f t="shared" si="195"/>
        <v>375000</v>
      </c>
      <c r="J355" s="105">
        <f t="shared" si="195"/>
        <v>275000</v>
      </c>
      <c r="K355" s="105">
        <f t="shared" si="195"/>
        <v>175000</v>
      </c>
      <c r="L355" s="105">
        <f t="shared" si="195"/>
        <v>0</v>
      </c>
      <c r="M355" s="105">
        <f t="shared" si="195"/>
        <v>0</v>
      </c>
      <c r="N355" s="105">
        <f t="shared" si="195"/>
        <v>0</v>
      </c>
      <c r="O355" s="105">
        <f t="shared" si="195"/>
        <v>0</v>
      </c>
      <c r="P355" s="105">
        <f t="shared" si="195"/>
        <v>0</v>
      </c>
    </row>
    <row r="356" spans="2:16" s="13" customFormat="1" x14ac:dyDescent="0.25">
      <c r="B356" s="35" t="s">
        <v>2</v>
      </c>
      <c r="C356" s="35" t="s">
        <v>212</v>
      </c>
      <c r="D356" s="105"/>
      <c r="E356" s="105"/>
      <c r="F356" s="105">
        <f t="shared" ref="F356:P356" si="196">E356+F330+F347</f>
        <v>500000</v>
      </c>
      <c r="G356" s="105">
        <f t="shared" ca="1" si="196"/>
        <v>500000</v>
      </c>
      <c r="H356" s="105">
        <f t="shared" ca="1" si="196"/>
        <v>500000</v>
      </c>
      <c r="I356" s="105">
        <f t="shared" ca="1" si="196"/>
        <v>0</v>
      </c>
      <c r="J356" s="105">
        <f t="shared" ca="1" si="196"/>
        <v>0</v>
      </c>
      <c r="K356" s="105">
        <f t="shared" ca="1" si="196"/>
        <v>0</v>
      </c>
      <c r="L356" s="105">
        <f t="shared" ca="1" si="196"/>
        <v>0</v>
      </c>
      <c r="M356" s="105">
        <f t="shared" ca="1" si="196"/>
        <v>0</v>
      </c>
      <c r="N356" s="105">
        <f t="shared" ca="1" si="196"/>
        <v>0</v>
      </c>
      <c r="O356" s="105">
        <f t="shared" ca="1" si="196"/>
        <v>0</v>
      </c>
      <c r="P356" s="105">
        <f t="shared" ca="1" si="196"/>
        <v>0</v>
      </c>
    </row>
    <row r="357" spans="2:16" s="13" customFormat="1" x14ac:dyDescent="0.25">
      <c r="B357" s="35" t="s">
        <v>143</v>
      </c>
      <c r="C357" s="35" t="s">
        <v>212</v>
      </c>
      <c r="D357" s="105"/>
      <c r="E357" s="105"/>
      <c r="F357" s="105">
        <f t="shared" ref="F357:P357" si="197">E357+F331+F348</f>
        <v>0</v>
      </c>
      <c r="G357" s="105">
        <f t="shared" ca="1" si="197"/>
        <v>45000</v>
      </c>
      <c r="H357" s="105">
        <f t="shared" ca="1" si="197"/>
        <v>75000</v>
      </c>
      <c r="I357" s="105">
        <f t="shared" ca="1" si="197"/>
        <v>0</v>
      </c>
      <c r="J357" s="105">
        <f t="shared" ca="1" si="197"/>
        <v>0</v>
      </c>
      <c r="K357" s="105">
        <f t="shared" ca="1" si="197"/>
        <v>0</v>
      </c>
      <c r="L357" s="105">
        <f t="shared" ca="1" si="197"/>
        <v>0</v>
      </c>
      <c r="M357" s="105">
        <f t="shared" ca="1" si="197"/>
        <v>0</v>
      </c>
      <c r="N357" s="105">
        <f t="shared" ca="1" si="197"/>
        <v>0</v>
      </c>
      <c r="O357" s="105">
        <f t="shared" ca="1" si="197"/>
        <v>0</v>
      </c>
      <c r="P357" s="105">
        <f t="shared" ca="1" si="197"/>
        <v>0</v>
      </c>
    </row>
    <row r="358" spans="2:16" s="13" customFormat="1" x14ac:dyDescent="0.25">
      <c r="B358" s="35" t="str">
        <f>Summary!B161</f>
        <v>Seller financing</v>
      </c>
      <c r="C358" s="35" t="s">
        <v>212</v>
      </c>
      <c r="D358" s="105"/>
      <c r="E358" s="105"/>
      <c r="F358" s="105">
        <f t="shared" ref="F358:P358" si="198">E358+F332+F349</f>
        <v>400000</v>
      </c>
      <c r="G358" s="105">
        <f t="shared" si="198"/>
        <v>320000</v>
      </c>
      <c r="H358" s="105">
        <f t="shared" si="198"/>
        <v>240000</v>
      </c>
      <c r="I358" s="105">
        <f t="shared" si="198"/>
        <v>160000</v>
      </c>
      <c r="J358" s="105">
        <f t="shared" si="198"/>
        <v>80000</v>
      </c>
      <c r="K358" s="105">
        <f t="shared" si="198"/>
        <v>0</v>
      </c>
      <c r="L358" s="105">
        <f t="shared" si="198"/>
        <v>0</v>
      </c>
      <c r="M358" s="105">
        <f t="shared" si="198"/>
        <v>0</v>
      </c>
      <c r="N358" s="105">
        <f t="shared" si="198"/>
        <v>0</v>
      </c>
      <c r="O358" s="105">
        <f t="shared" si="198"/>
        <v>0</v>
      </c>
      <c r="P358" s="105">
        <f t="shared" si="198"/>
        <v>0</v>
      </c>
    </row>
    <row r="359" spans="2:16" s="13" customFormat="1" x14ac:dyDescent="0.25">
      <c r="B359" s="171" t="s">
        <v>158</v>
      </c>
      <c r="C359" s="171" t="s">
        <v>212</v>
      </c>
      <c r="D359" s="172"/>
      <c r="E359" s="172"/>
      <c r="F359" s="172">
        <f>SUM(F353:F358)</f>
        <v>3400000</v>
      </c>
      <c r="G359" s="172">
        <f ca="1">SUM(G353:G358)</f>
        <v>3190000</v>
      </c>
      <c r="H359" s="172">
        <f t="shared" ref="H359:P359" ca="1" si="199">SUM(H353:H358)</f>
        <v>2790000</v>
      </c>
      <c r="I359" s="172">
        <f t="shared" ca="1" si="199"/>
        <v>1685000</v>
      </c>
      <c r="J359" s="172">
        <f t="shared" ca="1" si="199"/>
        <v>1105000</v>
      </c>
      <c r="K359" s="172">
        <f t="shared" ca="1" si="199"/>
        <v>425000</v>
      </c>
      <c r="L359" s="172">
        <f t="shared" ca="1" si="199"/>
        <v>50000</v>
      </c>
      <c r="M359" s="172">
        <f t="shared" ca="1" si="199"/>
        <v>0</v>
      </c>
      <c r="N359" s="172">
        <f t="shared" ca="1" si="199"/>
        <v>0</v>
      </c>
      <c r="O359" s="172">
        <f t="shared" ca="1" si="199"/>
        <v>0</v>
      </c>
      <c r="P359" s="172">
        <f t="shared" ca="1" si="199"/>
        <v>0</v>
      </c>
    </row>
    <row r="360" spans="2:16" s="13" customFormat="1" x14ac:dyDescent="0.25">
      <c r="B360" s="35" t="s">
        <v>26</v>
      </c>
      <c r="C360" s="35" t="s">
        <v>212</v>
      </c>
      <c r="D360" s="88"/>
      <c r="E360" s="88"/>
      <c r="F360" s="88">
        <f ca="1">-G350</f>
        <v>255000</v>
      </c>
      <c r="G360" s="88">
        <f ca="1">-H350</f>
        <v>430000</v>
      </c>
      <c r="H360" s="88">
        <f t="shared" ref="H360:P360" ca="1" si="200">-I350</f>
        <v>1120000</v>
      </c>
      <c r="I360" s="88">
        <f t="shared" ca="1" si="200"/>
        <v>580000</v>
      </c>
      <c r="J360" s="88">
        <f t="shared" ca="1" si="200"/>
        <v>680000</v>
      </c>
      <c r="K360" s="88">
        <f t="shared" ca="1" si="200"/>
        <v>375000</v>
      </c>
      <c r="L360" s="88">
        <f t="shared" ca="1" si="200"/>
        <v>50000</v>
      </c>
      <c r="M360" s="88">
        <f t="shared" ca="1" si="200"/>
        <v>0</v>
      </c>
      <c r="N360" s="88">
        <f t="shared" ca="1" si="200"/>
        <v>0</v>
      </c>
      <c r="O360" s="88">
        <f t="shared" ca="1" si="200"/>
        <v>0</v>
      </c>
      <c r="P360" s="88">
        <f t="shared" si="200"/>
        <v>0</v>
      </c>
    </row>
    <row r="361" spans="2:16" s="13" customFormat="1" x14ac:dyDescent="0.25">
      <c r="B361" s="35" t="s">
        <v>27</v>
      </c>
      <c r="C361" s="35" t="s">
        <v>212</v>
      </c>
      <c r="D361" s="88"/>
      <c r="E361" s="88"/>
      <c r="F361" s="88">
        <f ca="1">F359-F360</f>
        <v>3145000</v>
      </c>
      <c r="G361" s="88">
        <f ca="1">G359-G360</f>
        <v>2760000</v>
      </c>
      <c r="H361" s="88">
        <f t="shared" ref="H361:P361" ca="1" si="201">H359-H360</f>
        <v>1670000</v>
      </c>
      <c r="I361" s="88">
        <f t="shared" ca="1" si="201"/>
        <v>1105000</v>
      </c>
      <c r="J361" s="88">
        <f t="shared" ca="1" si="201"/>
        <v>425000</v>
      </c>
      <c r="K361" s="88">
        <f t="shared" ca="1" si="201"/>
        <v>50000</v>
      </c>
      <c r="L361" s="88">
        <f t="shared" ca="1" si="201"/>
        <v>0</v>
      </c>
      <c r="M361" s="88">
        <f t="shared" ca="1" si="201"/>
        <v>0</v>
      </c>
      <c r="N361" s="88">
        <f t="shared" ca="1" si="201"/>
        <v>0</v>
      </c>
      <c r="O361" s="88">
        <f t="shared" ca="1" si="201"/>
        <v>0</v>
      </c>
      <c r="P361" s="88">
        <f t="shared" ca="1" si="201"/>
        <v>0</v>
      </c>
    </row>
    <row r="362" spans="2:16" s="13" customFormat="1" x14ac:dyDescent="0.25">
      <c r="B362" s="171" t="s">
        <v>158</v>
      </c>
      <c r="C362" s="171" t="s">
        <v>212</v>
      </c>
      <c r="D362" s="172"/>
      <c r="E362" s="172"/>
      <c r="F362" s="172">
        <f ca="1">SUM(F360:F361)</f>
        <v>3400000</v>
      </c>
      <c r="G362" s="172">
        <f ca="1">SUM(G360:G361)</f>
        <v>3190000</v>
      </c>
      <c r="H362" s="172">
        <f t="shared" ref="H362:P362" ca="1" si="202">SUM(H360:H361)</f>
        <v>2790000</v>
      </c>
      <c r="I362" s="172">
        <f t="shared" ca="1" si="202"/>
        <v>1685000</v>
      </c>
      <c r="J362" s="172">
        <f t="shared" ca="1" si="202"/>
        <v>1105000</v>
      </c>
      <c r="K362" s="172">
        <f t="shared" ca="1" si="202"/>
        <v>425000</v>
      </c>
      <c r="L362" s="172">
        <f t="shared" ca="1" si="202"/>
        <v>50000</v>
      </c>
      <c r="M362" s="172">
        <f t="shared" ca="1" si="202"/>
        <v>0</v>
      </c>
      <c r="N362" s="172">
        <f t="shared" ca="1" si="202"/>
        <v>0</v>
      </c>
      <c r="O362" s="172">
        <f t="shared" ca="1" si="202"/>
        <v>0</v>
      </c>
      <c r="P362" s="172">
        <f t="shared" ca="1" si="202"/>
        <v>0</v>
      </c>
    </row>
    <row r="363" spans="2:16" s="13" customFormat="1" x14ac:dyDescent="0.25">
      <c r="B363" s="35"/>
      <c r="C363" s="35"/>
      <c r="D363" s="105"/>
      <c r="E363" s="105"/>
      <c r="F363" s="105"/>
      <c r="G363" s="105"/>
      <c r="H363" s="105"/>
      <c r="I363" s="105"/>
      <c r="J363" s="105"/>
      <c r="K363" s="105"/>
      <c r="L363" s="105"/>
      <c r="M363" s="105"/>
      <c r="N363" s="105"/>
      <c r="O363" s="105"/>
      <c r="P363" s="105"/>
    </row>
    <row r="364" spans="2:16" s="13" customFormat="1" x14ac:dyDescent="0.25">
      <c r="B364" s="35"/>
      <c r="C364" s="35"/>
      <c r="D364" s="88"/>
      <c r="E364" s="88"/>
      <c r="F364" s="88"/>
      <c r="G364" s="88"/>
      <c r="H364" s="88"/>
      <c r="I364" s="88"/>
      <c r="J364" s="88"/>
      <c r="K364" s="88"/>
      <c r="L364" s="88"/>
      <c r="M364" s="88"/>
      <c r="N364" s="88"/>
      <c r="O364" s="88"/>
      <c r="P364" s="88"/>
    </row>
    <row r="365" spans="2:16" s="13" customFormat="1" ht="13" x14ac:dyDescent="0.3">
      <c r="B365" s="170" t="s">
        <v>121</v>
      </c>
      <c r="C365" s="28"/>
      <c r="D365" s="87"/>
      <c r="E365" s="87"/>
      <c r="F365" s="87"/>
      <c r="G365" s="87"/>
      <c r="H365" s="87"/>
      <c r="I365" s="87"/>
      <c r="J365" s="87"/>
      <c r="K365" s="87"/>
      <c r="L365" s="87"/>
      <c r="M365" s="87"/>
      <c r="N365" s="87"/>
      <c r="O365" s="87"/>
      <c r="P365" s="87"/>
    </row>
    <row r="366" spans="2:16" s="13" customFormat="1" x14ac:dyDescent="0.25">
      <c r="B366" s="35" t="str">
        <f>B$353</f>
        <v>Term Loan A</v>
      </c>
      <c r="C366" s="35" t="s">
        <v>296</v>
      </c>
      <c r="D366" s="88"/>
      <c r="E366" s="110"/>
      <c r="F366" s="110"/>
      <c r="G366" s="143">
        <f t="shared" ref="G366:O366" si="203">G353/G$33</f>
        <v>1.163866241140834</v>
      </c>
      <c r="H366" s="143">
        <f t="shared" si="203"/>
        <v>0.83823627592726446</v>
      </c>
      <c r="I366" s="143">
        <f t="shared" si="203"/>
        <v>0.52169419982716192</v>
      </c>
      <c r="J366" s="143">
        <f t="shared" si="203"/>
        <v>0.34648491088703753</v>
      </c>
      <c r="K366" s="143">
        <f t="shared" si="203"/>
        <v>0.18332534967568123</v>
      </c>
      <c r="L366" s="143">
        <f t="shared" si="203"/>
        <v>3.4919114223939285E-2</v>
      </c>
      <c r="M366" s="143">
        <f t="shared" si="203"/>
        <v>0</v>
      </c>
      <c r="N366" s="143">
        <f t="shared" si="203"/>
        <v>0</v>
      </c>
      <c r="O366" s="143">
        <f t="shared" si="203"/>
        <v>0</v>
      </c>
      <c r="P366" s="143">
        <f>P353/P$33</f>
        <v>0</v>
      </c>
    </row>
    <row r="367" spans="2:16" s="13" customFormat="1" x14ac:dyDescent="0.25">
      <c r="B367" s="35" t="str">
        <f>B$354</f>
        <v>Term Loan B</v>
      </c>
      <c r="C367" s="35" t="s">
        <v>114</v>
      </c>
      <c r="D367" s="88"/>
      <c r="E367" s="110"/>
      <c r="F367" s="110"/>
      <c r="G367" s="143">
        <f t="shared" ref="G367:O367" si="204">G354/G$33</f>
        <v>1.1026101231860532</v>
      </c>
      <c r="H367" s="143">
        <f t="shared" si="204"/>
        <v>0.69031222723421781</v>
      </c>
      <c r="I367" s="143">
        <f t="shared" si="204"/>
        <v>0.40130323063627843</v>
      </c>
      <c r="J367" s="143">
        <f t="shared" si="204"/>
        <v>0.23098994059135836</v>
      </c>
      <c r="K367" s="143">
        <f t="shared" si="204"/>
        <v>0</v>
      </c>
      <c r="L367" s="143">
        <f t="shared" si="204"/>
        <v>0</v>
      </c>
      <c r="M367" s="143">
        <f t="shared" si="204"/>
        <v>0</v>
      </c>
      <c r="N367" s="143">
        <f t="shared" si="204"/>
        <v>0</v>
      </c>
      <c r="O367" s="143">
        <f t="shared" si="204"/>
        <v>0</v>
      </c>
      <c r="P367" s="143">
        <f>P354/P$33</f>
        <v>0</v>
      </c>
    </row>
    <row r="368" spans="2:16" s="13" customFormat="1" x14ac:dyDescent="0.25">
      <c r="B368" s="35" t="str">
        <f>B$355</f>
        <v>Credit Facility</v>
      </c>
      <c r="C368" s="35" t="s">
        <v>296</v>
      </c>
      <c r="D368" s="88"/>
      <c r="E368" s="110"/>
      <c r="F368" s="110"/>
      <c r="G368" s="143">
        <f t="shared" ref="G368:O368" si="205">G355/G$33</f>
        <v>0.58193312057041702</v>
      </c>
      <c r="H368" s="143">
        <f t="shared" si="205"/>
        <v>0.41911813796363223</v>
      </c>
      <c r="I368" s="143">
        <f t="shared" si="205"/>
        <v>0.30097742297720881</v>
      </c>
      <c r="J368" s="143">
        <f t="shared" si="205"/>
        <v>0.21174077887541184</v>
      </c>
      <c r="K368" s="143">
        <f t="shared" si="205"/>
        <v>0.12832774477297687</v>
      </c>
      <c r="L368" s="143">
        <f t="shared" si="205"/>
        <v>0</v>
      </c>
      <c r="M368" s="143">
        <f t="shared" si="205"/>
        <v>0</v>
      </c>
      <c r="N368" s="143">
        <f t="shared" si="205"/>
        <v>0</v>
      </c>
      <c r="O368" s="143">
        <f t="shared" si="205"/>
        <v>0</v>
      </c>
      <c r="P368" s="143">
        <f>P355/P$33</f>
        <v>0</v>
      </c>
    </row>
    <row r="369" spans="2:16" s="13" customFormat="1" x14ac:dyDescent="0.25">
      <c r="B369" s="35" t="str">
        <f>B$356</f>
        <v>Mezzanine</v>
      </c>
      <c r="C369" s="35" t="s">
        <v>296</v>
      </c>
      <c r="D369" s="88"/>
      <c r="E369" s="110"/>
      <c r="F369" s="110"/>
      <c r="G369" s="143">
        <f t="shared" ref="G369:O369" ca="1" si="206">G356/G$33</f>
        <v>0.61256117954780731</v>
      </c>
      <c r="H369" s="143">
        <f t="shared" ca="1" si="206"/>
        <v>0.49308016231015556</v>
      </c>
      <c r="I369" s="143">
        <f t="shared" ca="1" si="206"/>
        <v>0</v>
      </c>
      <c r="J369" s="143">
        <f t="shared" ca="1" si="206"/>
        <v>0</v>
      </c>
      <c r="K369" s="143">
        <f t="shared" ca="1" si="206"/>
        <v>0</v>
      </c>
      <c r="L369" s="143">
        <f t="shared" ca="1" si="206"/>
        <v>0</v>
      </c>
      <c r="M369" s="143">
        <f t="shared" ca="1" si="206"/>
        <v>0</v>
      </c>
      <c r="N369" s="143">
        <f t="shared" ca="1" si="206"/>
        <v>0</v>
      </c>
      <c r="O369" s="143">
        <f t="shared" ca="1" si="206"/>
        <v>0</v>
      </c>
      <c r="P369" s="143">
        <f ca="1">P356/P$33</f>
        <v>0</v>
      </c>
    </row>
    <row r="370" spans="2:16" s="13" customFormat="1" x14ac:dyDescent="0.25">
      <c r="B370" s="35" t="str">
        <f>B$358</f>
        <v>Seller financing</v>
      </c>
      <c r="C370" s="35" t="s">
        <v>296</v>
      </c>
      <c r="D370" s="88"/>
      <c r="E370" s="110"/>
      <c r="F370" s="110"/>
      <c r="G370" s="143">
        <f t="shared" ref="G370:O370" si="207">G358/G$33</f>
        <v>0.39203915491059671</v>
      </c>
      <c r="H370" s="143">
        <f t="shared" si="207"/>
        <v>0.23667847790887467</v>
      </c>
      <c r="I370" s="143">
        <f t="shared" si="207"/>
        <v>0.12841703380360911</v>
      </c>
      <c r="J370" s="143">
        <f t="shared" si="207"/>
        <v>6.1597317491028897E-2</v>
      </c>
      <c r="K370" s="143">
        <f t="shared" si="207"/>
        <v>0</v>
      </c>
      <c r="L370" s="143">
        <f t="shared" si="207"/>
        <v>0</v>
      </c>
      <c r="M370" s="143">
        <f t="shared" si="207"/>
        <v>0</v>
      </c>
      <c r="N370" s="143">
        <f t="shared" si="207"/>
        <v>0</v>
      </c>
      <c r="O370" s="143">
        <f t="shared" si="207"/>
        <v>0</v>
      </c>
      <c r="P370" s="143">
        <f>P358/P$33</f>
        <v>0</v>
      </c>
    </row>
    <row r="371" spans="2:16" s="13" customFormat="1" x14ac:dyDescent="0.25">
      <c r="B371" s="91" t="s">
        <v>115</v>
      </c>
      <c r="C371" s="91" t="s">
        <v>116</v>
      </c>
      <c r="D371" s="137"/>
      <c r="E371" s="138"/>
      <c r="F371" s="138"/>
      <c r="G371" s="144">
        <f t="shared" ref="G371:O371" ca="1" si="208">G359/G$33</f>
        <v>3.9081403255150109</v>
      </c>
      <c r="H371" s="144">
        <f t="shared" ca="1" si="208"/>
        <v>2.7513873056906681</v>
      </c>
      <c r="I371" s="144">
        <f t="shared" ca="1" si="208"/>
        <v>1.3523918872442584</v>
      </c>
      <c r="J371" s="144">
        <f t="shared" ca="1" si="208"/>
        <v>0.85081294784483663</v>
      </c>
      <c r="K371" s="144">
        <f t="shared" ca="1" si="208"/>
        <v>0.31165309444865813</v>
      </c>
      <c r="L371" s="144">
        <f t="shared" ca="1" si="208"/>
        <v>3.4919114223939285E-2</v>
      </c>
      <c r="M371" s="144">
        <f t="shared" ca="1" si="208"/>
        <v>0</v>
      </c>
      <c r="N371" s="144">
        <f t="shared" ca="1" si="208"/>
        <v>0</v>
      </c>
      <c r="O371" s="144">
        <f t="shared" ca="1" si="208"/>
        <v>0</v>
      </c>
      <c r="P371" s="144">
        <f ca="1">P359/P$33</f>
        <v>0</v>
      </c>
    </row>
    <row r="372" spans="2:16" s="13" customFormat="1" x14ac:dyDescent="0.25">
      <c r="B372" s="35"/>
      <c r="C372" s="35"/>
      <c r="D372" s="88"/>
      <c r="E372" s="110"/>
      <c r="F372" s="110"/>
      <c r="G372" s="110"/>
      <c r="H372" s="110"/>
      <c r="I372" s="110"/>
      <c r="J372" s="110"/>
      <c r="K372" s="110"/>
      <c r="L372" s="110"/>
      <c r="M372" s="110"/>
      <c r="N372" s="110"/>
      <c r="O372" s="110"/>
      <c r="P372" s="110"/>
    </row>
    <row r="373" spans="2:16" s="13" customFormat="1" ht="13" x14ac:dyDescent="0.3">
      <c r="B373" s="170" t="s">
        <v>89</v>
      </c>
      <c r="C373" s="28"/>
      <c r="D373" s="87"/>
      <c r="E373" s="87"/>
      <c r="F373" s="87"/>
      <c r="G373" s="87"/>
      <c r="H373" s="87"/>
      <c r="I373" s="87"/>
      <c r="J373" s="87"/>
      <c r="K373" s="87"/>
      <c r="L373" s="87"/>
      <c r="M373" s="87"/>
      <c r="N373" s="87"/>
      <c r="O373" s="87"/>
      <c r="P373" s="87"/>
    </row>
    <row r="374" spans="2:16" s="13" customFormat="1" x14ac:dyDescent="0.25">
      <c r="B374" s="35" t="str">
        <f>B$353</f>
        <v>Term Loan A</v>
      </c>
      <c r="C374" s="35" t="s">
        <v>296</v>
      </c>
      <c r="D374" s="88"/>
      <c r="E374" s="110"/>
      <c r="F374" s="110"/>
      <c r="G374" s="296" t="str">
        <f ca="1">IF(ISERR(-#REF!/G318),"NA",-#REF!/G318)</f>
        <v>NA</v>
      </c>
      <c r="H374" s="296">
        <f t="shared" ref="H374:P374" si="209">IF(ISERR(-H$37/H318),"NA",-H$37/H318)</f>
        <v>22.095699999999997</v>
      </c>
      <c r="I374" s="296">
        <f t="shared" si="209"/>
        <v>30.155139111111104</v>
      </c>
      <c r="J374" s="296">
        <f t="shared" si="209"/>
        <v>41.897445818181829</v>
      </c>
      <c r="K374" s="296">
        <f t="shared" si="209"/>
        <v>68.21388083809525</v>
      </c>
      <c r="L374" s="296">
        <f t="shared" si="209"/>
        <v>165.4290080533334</v>
      </c>
      <c r="M374" s="296">
        <f t="shared" si="209"/>
        <v>924.09086261973403</v>
      </c>
      <c r="N374" s="296" t="str">
        <f t="shared" si="209"/>
        <v>NA</v>
      </c>
      <c r="O374" s="296" t="str">
        <f t="shared" si="209"/>
        <v>NA</v>
      </c>
      <c r="P374" s="296" t="str">
        <f t="shared" si="209"/>
        <v>NA</v>
      </c>
    </row>
    <row r="375" spans="2:16" s="13" customFormat="1" x14ac:dyDescent="0.25">
      <c r="B375" s="35" t="str">
        <f>B$354</f>
        <v>Term Loan B</v>
      </c>
      <c r="C375" s="35" t="s">
        <v>114</v>
      </c>
      <c r="D375" s="88"/>
      <c r="E375" s="110"/>
      <c r="F375" s="110"/>
      <c r="G375" s="296" t="str">
        <f ca="1">IF(ISERR(-#REF!/G319),"NA",-#REF!/G319)</f>
        <v>NA</v>
      </c>
      <c r="H375" s="296">
        <f t="shared" ref="H375:P375" si="210">IF(ISERR(-H$37/H319),"NA",-H$37/H319)</f>
        <v>18.643246874999996</v>
      </c>
      <c r="I375" s="296">
        <f t="shared" si="210"/>
        <v>28.270442916666664</v>
      </c>
      <c r="J375" s="296">
        <f t="shared" si="210"/>
        <v>43.206741000000008</v>
      </c>
      <c r="K375" s="296">
        <f t="shared" si="210"/>
        <v>119.37429146666669</v>
      </c>
      <c r="L375" s="296" t="str">
        <f t="shared" si="210"/>
        <v>NA</v>
      </c>
      <c r="M375" s="296" t="str">
        <f t="shared" si="210"/>
        <v>NA</v>
      </c>
      <c r="N375" s="296" t="str">
        <f t="shared" si="210"/>
        <v>NA</v>
      </c>
      <c r="O375" s="296" t="str">
        <f t="shared" si="210"/>
        <v>NA</v>
      </c>
      <c r="P375" s="296" t="str">
        <f t="shared" si="210"/>
        <v>NA</v>
      </c>
    </row>
    <row r="376" spans="2:16" s="13" customFormat="1" x14ac:dyDescent="0.25">
      <c r="B376" s="35" t="str">
        <f>B$355</f>
        <v>Credit Facility</v>
      </c>
      <c r="C376" s="35" t="s">
        <v>296</v>
      </c>
      <c r="D376" s="88"/>
      <c r="E376" s="110"/>
      <c r="F376" s="110"/>
      <c r="G376" s="296" t="str">
        <f ca="1">IF(ISERR(-#REF!/G320),"NA",-#REF!/G320)</f>
        <v>NA</v>
      </c>
      <c r="H376" s="296">
        <f t="shared" ref="H376:P376" si="211">IF(ISERR(-H$37/H320),"NA",-H$37/H320)</f>
        <v>44.191399999999994</v>
      </c>
      <c r="I376" s="296">
        <f t="shared" si="211"/>
        <v>56.540885833333327</v>
      </c>
      <c r="J376" s="296">
        <f t="shared" si="211"/>
        <v>70.903369846153865</v>
      </c>
      <c r="K376" s="296">
        <f t="shared" si="211"/>
        <v>106.11048130370374</v>
      </c>
      <c r="L376" s="296">
        <f t="shared" si="211"/>
        <v>283.59258523428582</v>
      </c>
      <c r="M376" s="296" t="str">
        <f t="shared" si="211"/>
        <v>NA</v>
      </c>
      <c r="N376" s="296" t="str">
        <f t="shared" si="211"/>
        <v>NA</v>
      </c>
      <c r="O376" s="296" t="str">
        <f t="shared" si="211"/>
        <v>NA</v>
      </c>
      <c r="P376" s="296" t="str">
        <f t="shared" si="211"/>
        <v>NA</v>
      </c>
    </row>
    <row r="377" spans="2:16" s="13" customFormat="1" x14ac:dyDescent="0.25">
      <c r="B377" s="35" t="str">
        <f>B$356</f>
        <v>Mezzanine</v>
      </c>
      <c r="C377" s="35" t="s">
        <v>296</v>
      </c>
      <c r="D377" s="88"/>
      <c r="E377" s="110"/>
      <c r="F377" s="110"/>
      <c r="G377" s="296" t="str">
        <f ca="1">IF(ISERR(-#REF!/G321),"NA",-#REF!/G321)</f>
        <v>NA</v>
      </c>
      <c r="H377" s="296">
        <f t="shared" ref="H377:P377" ca="1" si="212">IF(ISERR(-H$37/H321),"NA",-H$37/H321)</f>
        <v>19.886129999999998</v>
      </c>
      <c r="I377" s="296">
        <f t="shared" ca="1" si="212"/>
        <v>45.23270866666666</v>
      </c>
      <c r="J377" s="296" t="str">
        <f t="shared" ca="1" si="212"/>
        <v>NA</v>
      </c>
      <c r="K377" s="296" t="str">
        <f t="shared" ca="1" si="212"/>
        <v>NA</v>
      </c>
      <c r="L377" s="296" t="str">
        <f t="shared" ca="1" si="212"/>
        <v>NA</v>
      </c>
      <c r="M377" s="296" t="str">
        <f t="shared" ca="1" si="212"/>
        <v>NA</v>
      </c>
      <c r="N377" s="296" t="str">
        <f t="shared" ca="1" si="212"/>
        <v>NA</v>
      </c>
      <c r="O377" s="296" t="str">
        <f t="shared" ca="1" si="212"/>
        <v>NA</v>
      </c>
      <c r="P377" s="296" t="str">
        <f t="shared" ca="1" si="212"/>
        <v>NA</v>
      </c>
    </row>
    <row r="378" spans="2:16" s="13" customFormat="1" x14ac:dyDescent="0.25">
      <c r="B378" s="35" t="str">
        <f>B$358</f>
        <v>Seller financing</v>
      </c>
      <c r="C378" s="35" t="s">
        <v>296</v>
      </c>
      <c r="D378" s="88"/>
      <c r="E378" s="110"/>
      <c r="F378" s="110"/>
      <c r="G378" s="296" t="str">
        <f ca="1">IF(ISERR(-#REF!/G323),"NA",-#REF!/G323)</f>
        <v>NA</v>
      </c>
      <c r="H378" s="296">
        <f t="shared" ref="H378:P378" si="213">IF(ISERR(-H$37/H323),"NA",-H$37/H323)</f>
        <v>42.613135714285704</v>
      </c>
      <c r="I378" s="296">
        <f t="shared" si="213"/>
        <v>67.849062999999987</v>
      </c>
      <c r="J378" s="296">
        <f t="shared" si="213"/>
        <v>115.21797600000002</v>
      </c>
      <c r="K378" s="296">
        <f t="shared" si="213"/>
        <v>358.12287440000011</v>
      </c>
      <c r="L378" s="296" t="str">
        <f t="shared" si="213"/>
        <v>NA</v>
      </c>
      <c r="M378" s="296" t="str">
        <f t="shared" si="213"/>
        <v>NA</v>
      </c>
      <c r="N378" s="296" t="str">
        <f t="shared" si="213"/>
        <v>NA</v>
      </c>
      <c r="O378" s="296" t="str">
        <f t="shared" si="213"/>
        <v>NA</v>
      </c>
      <c r="P378" s="296" t="str">
        <f t="shared" si="213"/>
        <v>NA</v>
      </c>
    </row>
    <row r="379" spans="2:16" s="13" customFormat="1" x14ac:dyDescent="0.25">
      <c r="B379" s="91" t="s">
        <v>115</v>
      </c>
      <c r="C379" s="91" t="s">
        <v>116</v>
      </c>
      <c r="D379" s="137"/>
      <c r="E379" s="138"/>
      <c r="F379" s="138"/>
      <c r="G379" s="297" t="str">
        <f ca="1">IF(ISERR(-#REF!/G324),"NA",-#REF!/G324)</f>
        <v>NA</v>
      </c>
      <c r="H379" s="297">
        <f t="shared" ref="H379:P379" ca="1" si="214">IF(ISERR(-H$37/H324),"NA",-H$37/H324)</f>
        <v>5.0048984899328852</v>
      </c>
      <c r="I379" s="297">
        <f t="shared" ca="1" si="214"/>
        <v>7.7101207954545439</v>
      </c>
      <c r="J379" s="297">
        <f t="shared" ca="1" si="214"/>
        <v>14.327623958549227</v>
      </c>
      <c r="K379" s="297">
        <f t="shared" ca="1" si="214"/>
        <v>28.366168269306936</v>
      </c>
      <c r="L379" s="297">
        <f t="shared" ca="1" si="214"/>
        <v>104.48147877052635</v>
      </c>
      <c r="M379" s="297">
        <f t="shared" ca="1" si="214"/>
        <v>924.09086261973403</v>
      </c>
      <c r="N379" s="297" t="str">
        <f t="shared" ca="1" si="214"/>
        <v>NA</v>
      </c>
      <c r="O379" s="297" t="str">
        <f t="shared" ca="1" si="214"/>
        <v>NA</v>
      </c>
      <c r="P379" s="297" t="str">
        <f t="shared" ca="1" si="214"/>
        <v>NA</v>
      </c>
    </row>
    <row r="380" spans="2:16" s="13" customFormat="1" x14ac:dyDescent="0.25">
      <c r="B380" s="35"/>
      <c r="C380" s="35"/>
      <c r="D380" s="88"/>
      <c r="E380" s="110"/>
      <c r="F380" s="110"/>
      <c r="G380" s="110"/>
      <c r="H380" s="110"/>
      <c r="I380" s="110"/>
      <c r="J380" s="110"/>
      <c r="K380" s="110"/>
      <c r="L380" s="110"/>
      <c r="M380" s="110"/>
      <c r="N380" s="110"/>
      <c r="O380" s="110"/>
      <c r="P380" s="110"/>
    </row>
    <row r="381" spans="2:16" s="13" customFormat="1" x14ac:dyDescent="0.25">
      <c r="B381" s="91" t="str">
        <f>B177</f>
        <v>Debt Service Coverage</v>
      </c>
      <c r="C381" s="91"/>
      <c r="D381" s="137"/>
      <c r="E381" s="138"/>
      <c r="F381" s="138"/>
      <c r="G381" s="297" t="s">
        <v>46</v>
      </c>
      <c r="H381" s="297">
        <f t="shared" ref="H381:P381" ca="1" si="215">H177</f>
        <v>-1.151308763497622</v>
      </c>
      <c r="I381" s="297">
        <f t="shared" ca="1" si="215"/>
        <v>0.48884674726429267</v>
      </c>
      <c r="J381" s="297">
        <f t="shared" ca="1" si="215"/>
        <v>0.99200406070351954</v>
      </c>
      <c r="K381" s="297">
        <f t="shared" ca="1" si="215"/>
        <v>1.0345576613102321</v>
      </c>
      <c r="L381" s="297">
        <f t="shared" ca="1" si="215"/>
        <v>1.0154000789558209</v>
      </c>
      <c r="M381" s="297">
        <f t="shared" ca="1" si="215"/>
        <v>9.1229672606860621</v>
      </c>
      <c r="N381" s="297" t="str">
        <f t="shared" ca="1" si="215"/>
        <v>NA</v>
      </c>
      <c r="O381" s="297" t="str">
        <f t="shared" ca="1" si="215"/>
        <v>NA</v>
      </c>
      <c r="P381" s="297" t="str">
        <f t="shared" ca="1" si="215"/>
        <v>NA</v>
      </c>
    </row>
    <row r="384" spans="2:16" ht="15.5" x14ac:dyDescent="0.35">
      <c r="B384" s="31" t="str">
        <f>"All amounts in "&amp;Summary!$E$172</f>
        <v>All amounts in USD</v>
      </c>
      <c r="C384" s="13"/>
      <c r="D384" s="13"/>
      <c r="E384" s="13"/>
      <c r="F384" s="13"/>
      <c r="G384" s="13"/>
      <c r="H384" s="13"/>
      <c r="I384" s="13"/>
      <c r="J384" s="13"/>
      <c r="K384" s="13"/>
      <c r="L384" s="13"/>
      <c r="M384" s="13"/>
      <c r="N384" s="13"/>
      <c r="O384" s="13"/>
      <c r="P384" s="13"/>
    </row>
    <row r="385" spans="2:16" ht="15.5" x14ac:dyDescent="0.35">
      <c r="B385" s="65" t="s">
        <v>270</v>
      </c>
      <c r="C385" s="20" t="s">
        <v>293</v>
      </c>
      <c r="D385" s="111">
        <f t="shared" ref="D385:P385" ca="1" si="216">D$20</f>
        <v>2017</v>
      </c>
      <c r="E385" s="111">
        <f t="shared" ca="1" si="216"/>
        <v>2018</v>
      </c>
      <c r="F385" s="111">
        <f t="shared" ca="1" si="216"/>
        <v>2019</v>
      </c>
      <c r="G385" s="70">
        <f t="shared" ca="1" si="216"/>
        <v>2020</v>
      </c>
      <c r="H385" s="70">
        <f t="shared" ca="1" si="216"/>
        <v>2021</v>
      </c>
      <c r="I385" s="70">
        <f t="shared" ca="1" si="216"/>
        <v>2022</v>
      </c>
      <c r="J385" s="70">
        <f t="shared" ca="1" si="216"/>
        <v>2023</v>
      </c>
      <c r="K385" s="70">
        <f t="shared" ca="1" si="216"/>
        <v>2024</v>
      </c>
      <c r="L385" s="70">
        <f t="shared" ca="1" si="216"/>
        <v>2025</v>
      </c>
      <c r="M385" s="70">
        <f t="shared" ca="1" si="216"/>
        <v>2026</v>
      </c>
      <c r="N385" s="70">
        <f t="shared" ca="1" si="216"/>
        <v>2027</v>
      </c>
      <c r="O385" s="70">
        <f t="shared" ca="1" si="216"/>
        <v>2028</v>
      </c>
      <c r="P385" s="70">
        <f t="shared" ca="1" si="216"/>
        <v>2029</v>
      </c>
    </row>
    <row r="386" spans="2:16" x14ac:dyDescent="0.25">
      <c r="B386" s="21"/>
      <c r="C386" s="22"/>
      <c r="D386" s="22"/>
      <c r="E386" s="22"/>
      <c r="F386" s="35"/>
      <c r="G386" s="35"/>
      <c r="H386" s="22"/>
      <c r="I386" s="22"/>
      <c r="J386" s="22"/>
      <c r="K386" s="22"/>
      <c r="L386" s="22"/>
      <c r="M386" s="22"/>
      <c r="N386" s="22"/>
      <c r="O386" s="22"/>
      <c r="P386" s="23"/>
    </row>
    <row r="387" spans="2:16" x14ac:dyDescent="0.25">
      <c r="B387" s="37" t="s">
        <v>342</v>
      </c>
      <c r="C387" s="35"/>
      <c r="D387" s="35"/>
      <c r="E387" s="35"/>
      <c r="F387" s="35"/>
      <c r="G387" s="35"/>
      <c r="H387" s="35"/>
      <c r="I387" s="35"/>
      <c r="J387" s="35"/>
      <c r="K387" s="35"/>
      <c r="L387" s="35"/>
      <c r="M387" s="35"/>
      <c r="N387" s="35"/>
      <c r="O387" s="35"/>
      <c r="P387" s="43"/>
    </row>
    <row r="388" spans="2:16" x14ac:dyDescent="0.25">
      <c r="B388" s="37" t="s">
        <v>343</v>
      </c>
      <c r="C388" s="35"/>
      <c r="D388" s="35"/>
      <c r="E388" s="35"/>
      <c r="F388" s="35"/>
      <c r="G388" s="35"/>
      <c r="H388" s="35"/>
      <c r="I388" s="35"/>
      <c r="J388" s="35"/>
      <c r="K388" s="35"/>
      <c r="L388" s="35"/>
      <c r="M388" s="35"/>
      <c r="N388" s="35"/>
      <c r="O388" s="35"/>
      <c r="P388" s="43"/>
    </row>
    <row r="389" spans="2:16" x14ac:dyDescent="0.25">
      <c r="B389" s="94" t="s">
        <v>334</v>
      </c>
      <c r="C389" s="91" t="str">
        <f>Summary!$E$172</f>
        <v>USD</v>
      </c>
      <c r="D389" s="232" t="str">
        <f>D87</f>
        <v>NA</v>
      </c>
      <c r="E389" s="75">
        <f>-E87</f>
        <v>75000</v>
      </c>
      <c r="F389" s="75">
        <f>-F87</f>
        <v>700000</v>
      </c>
      <c r="G389" s="275">
        <f>-'Financials Quarterly'!V79</f>
        <v>600000</v>
      </c>
      <c r="H389" s="95">
        <f>C398</f>
        <v>1500000</v>
      </c>
      <c r="I389" s="95">
        <f>C399</f>
        <v>400000</v>
      </c>
      <c r="J389" s="95">
        <f>C400</f>
        <v>400000</v>
      </c>
      <c r="K389" s="95">
        <f>C401</f>
        <v>400000</v>
      </c>
      <c r="L389" s="95">
        <f>C402</f>
        <v>800000</v>
      </c>
      <c r="M389" s="95">
        <f>C403</f>
        <v>800000</v>
      </c>
      <c r="N389" s="95">
        <f>C404</f>
        <v>800000</v>
      </c>
      <c r="O389" s="95">
        <f>C405</f>
        <v>800000</v>
      </c>
      <c r="P389" s="104">
        <f>C406</f>
        <v>800000</v>
      </c>
    </row>
    <row r="390" spans="2:16" x14ac:dyDescent="0.25">
      <c r="B390" s="96"/>
      <c r="C390" s="72"/>
      <c r="D390" s="105"/>
      <c r="E390" s="105"/>
      <c r="F390" s="97"/>
      <c r="G390" s="97"/>
      <c r="H390" s="72"/>
      <c r="I390" s="72"/>
      <c r="J390" s="72"/>
      <c r="K390" s="105"/>
      <c r="L390" s="105"/>
      <c r="M390" s="105"/>
      <c r="N390" s="105"/>
      <c r="O390" s="105"/>
      <c r="P390" s="77"/>
    </row>
    <row r="391" spans="2:16" x14ac:dyDescent="0.25">
      <c r="B391" s="94" t="s">
        <v>357</v>
      </c>
      <c r="C391" s="91" t="str">
        <f>Summary!$E$172</f>
        <v>USD</v>
      </c>
      <c r="D391" s="302">
        <f>D412+D410</f>
        <v>2800000</v>
      </c>
      <c r="E391" s="302">
        <f>E412+E410</f>
        <v>2875000</v>
      </c>
      <c r="F391" s="302">
        <f>F412+F410</f>
        <v>3574500</v>
      </c>
      <c r="G391" s="95">
        <f>F391+G389</f>
        <v>4174500</v>
      </c>
      <c r="H391" s="75">
        <f>G391+H389</f>
        <v>5674500</v>
      </c>
      <c r="I391" s="75">
        <f>H391+I389</f>
        <v>6074500</v>
      </c>
      <c r="J391" s="75">
        <f>I391+J389</f>
        <v>6474500</v>
      </c>
      <c r="K391" s="75">
        <f t="shared" ref="K391:P391" si="217">J391+K389</f>
        <v>6874500</v>
      </c>
      <c r="L391" s="75">
        <f t="shared" si="217"/>
        <v>7674500</v>
      </c>
      <c r="M391" s="75">
        <f t="shared" si="217"/>
        <v>8474500</v>
      </c>
      <c r="N391" s="75">
        <f t="shared" si="217"/>
        <v>9274500</v>
      </c>
      <c r="O391" s="75">
        <f t="shared" si="217"/>
        <v>10074500</v>
      </c>
      <c r="P391" s="76">
        <f t="shared" si="217"/>
        <v>10874500</v>
      </c>
    </row>
    <row r="392" spans="2:16" x14ac:dyDescent="0.25">
      <c r="B392" s="96"/>
      <c r="C392" s="72"/>
      <c r="D392" s="105"/>
      <c r="E392" s="105"/>
      <c r="F392" s="72"/>
      <c r="G392" s="72"/>
      <c r="H392" s="72"/>
      <c r="I392" s="72"/>
      <c r="J392" s="72"/>
      <c r="K392" s="105"/>
      <c r="L392" s="105"/>
      <c r="M392" s="105"/>
      <c r="N392" s="105"/>
      <c r="O392" s="105"/>
      <c r="P392" s="77"/>
    </row>
    <row r="393" spans="2:16" x14ac:dyDescent="0.25">
      <c r="B393" s="96" t="s">
        <v>254</v>
      </c>
      <c r="C393" s="72" t="s">
        <v>410</v>
      </c>
      <c r="D393" s="105"/>
      <c r="E393" s="105"/>
      <c r="F393" s="78">
        <f>Summary!E177</f>
        <v>10</v>
      </c>
      <c r="G393" s="72"/>
      <c r="H393" s="72"/>
      <c r="I393" s="72"/>
      <c r="J393" s="72"/>
      <c r="K393" s="105"/>
      <c r="L393" s="105"/>
      <c r="M393" s="105"/>
      <c r="N393" s="105"/>
      <c r="O393" s="105"/>
      <c r="P393" s="77"/>
    </row>
    <row r="394" spans="2:16" x14ac:dyDescent="0.25">
      <c r="B394" s="96"/>
      <c r="C394" s="72"/>
      <c r="D394" s="105"/>
      <c r="E394" s="105"/>
      <c r="F394" s="78"/>
      <c r="G394" s="72"/>
      <c r="H394" s="72"/>
      <c r="I394" s="72"/>
      <c r="J394" s="72"/>
      <c r="K394" s="105"/>
      <c r="L394" s="105"/>
      <c r="M394" s="105"/>
      <c r="N394" s="105"/>
      <c r="O394" s="105"/>
      <c r="P394" s="77"/>
    </row>
    <row r="395" spans="2:16" x14ac:dyDescent="0.25">
      <c r="B395" s="96" t="s">
        <v>255</v>
      </c>
      <c r="C395" s="72"/>
      <c r="D395" s="105"/>
      <c r="E395" s="105"/>
      <c r="F395" s="72"/>
      <c r="G395" s="78"/>
      <c r="H395" s="78"/>
      <c r="I395" s="78"/>
      <c r="J395" s="78"/>
      <c r="K395" s="78"/>
      <c r="L395" s="78"/>
      <c r="M395" s="78"/>
      <c r="N395" s="78"/>
      <c r="O395" s="78"/>
      <c r="P395" s="79"/>
    </row>
    <row r="396" spans="2:16" x14ac:dyDescent="0.25">
      <c r="B396" s="102"/>
      <c r="C396" s="301"/>
      <c r="D396" s="74"/>
      <c r="E396" s="74"/>
      <c r="F396" s="72"/>
      <c r="G396" s="72">
        <f>$F391/$F$393</f>
        <v>357450</v>
      </c>
      <c r="H396" s="72">
        <f>IF(SUM($G396:G396)+$F391/$F$393&gt;$F391,0,$F391/$F$393)</f>
        <v>357450</v>
      </c>
      <c r="I396" s="105">
        <f>IF(SUM($G396:H396)+$F391/$F$393&gt;$F391,0,$F391/$F$393)</f>
        <v>357450</v>
      </c>
      <c r="J396" s="105">
        <f>IF(SUM($G396:I396)+$F391/$F$393&gt;$F391,0,$F391/$F$393)</f>
        <v>357450</v>
      </c>
      <c r="K396" s="105">
        <f>IF(SUM($G396:J396)+$F391/$F$393&gt;$F391,0,$F391/$F$393)</f>
        <v>357450</v>
      </c>
      <c r="L396" s="105">
        <f>IF(SUM($G396:K396)+$F391/$F$393&gt;$F391,0,$F391/$F$393)</f>
        <v>357450</v>
      </c>
      <c r="M396" s="105">
        <f>IF(SUM($G396:L396)+$F391/$F$393&gt;$F391,0,$F391/$F$393)</f>
        <v>357450</v>
      </c>
      <c r="N396" s="105">
        <f>IF(SUM($G396:M396)+$F391/$F$393&gt;$F391,0,$F391/$F$393)</f>
        <v>357450</v>
      </c>
      <c r="O396" s="105">
        <f>IF(SUM($G396:N396)+$F391/$F$393&gt;$F391,0,$F391/$F$393)</f>
        <v>357450</v>
      </c>
      <c r="P396" s="79"/>
    </row>
    <row r="397" spans="2:16" x14ac:dyDescent="0.25">
      <c r="B397" s="103">
        <f ca="1">G385</f>
        <v>2020</v>
      </c>
      <c r="C397" s="152">
        <f>G389</f>
        <v>600000</v>
      </c>
      <c r="D397" s="74"/>
      <c r="E397" s="74"/>
      <c r="F397" s="72"/>
      <c r="G397" s="82"/>
      <c r="H397" s="72">
        <f>$C397/$F$393</f>
        <v>60000</v>
      </c>
      <c r="I397" s="72">
        <f>IF(SUM($G397:H397)+$C397/$F$393&gt;$C397,0,$C397/$F$393)</f>
        <v>60000</v>
      </c>
      <c r="J397" s="72">
        <f>IF(SUM($G397:I397)+$C397/$F$393&gt;$C397,0,$C397/$F$393)</f>
        <v>60000</v>
      </c>
      <c r="K397" s="105">
        <f>IF(SUM($G397:J397)+$C397/$F$393&gt;$C397,0,$C397/$F$393)</f>
        <v>60000</v>
      </c>
      <c r="L397" s="105">
        <f>IF(SUM($G397:K397)+$C397/$F$393&gt;$C397,0,$C397/$F$393)</f>
        <v>60000</v>
      </c>
      <c r="M397" s="105">
        <f>IF(SUM($G397:L397)+$C397/$F$393&gt;$C397,0,$C397/$F$393)</f>
        <v>60000</v>
      </c>
      <c r="N397" s="105">
        <f>IF(SUM($G397:M397)+$C397/$F$393&gt;$C397,0,$C397/$F$393)</f>
        <v>60000</v>
      </c>
      <c r="O397" s="105">
        <f>IF(SUM($G397:N397)+$C397/$F$393&gt;$C397,0,$C397/$F$393)</f>
        <v>60000</v>
      </c>
      <c r="P397" s="79"/>
    </row>
    <row r="398" spans="2:16" x14ac:dyDescent="0.25">
      <c r="B398" s="103">
        <f t="shared" ref="B398:B406" ca="1" si="218">B397+1</f>
        <v>2021</v>
      </c>
      <c r="C398" s="355">
        <v>1500000</v>
      </c>
      <c r="D398" s="74"/>
      <c r="E398" s="74"/>
      <c r="F398" s="72"/>
      <c r="G398" s="82"/>
      <c r="H398" s="82"/>
      <c r="I398" s="72">
        <f>$C398/$F$393</f>
        <v>150000</v>
      </c>
      <c r="J398" s="72">
        <f>IF(SUM($G398:I398)+$C398/$F$393&gt;$C398,0,$C398/$F$393)</f>
        <v>150000</v>
      </c>
      <c r="K398" s="105">
        <f>IF(SUM($G398:J398)+$C398/$F$393&gt;$C398,0,$C398/$F$393)</f>
        <v>150000</v>
      </c>
      <c r="L398" s="105">
        <f>IF(SUM($G398:K398)+$C398/$F$393&gt;$C398,0,$C398/$F$393)</f>
        <v>150000</v>
      </c>
      <c r="M398" s="105">
        <f>IF(SUM($G398:L398)+$C398/$F$393&gt;$C398,0,$C398/$F$393)</f>
        <v>150000</v>
      </c>
      <c r="N398" s="105">
        <f>IF(SUM($G398:M398)+$C398/$F$393&gt;$C398,0,$C398/$F$393)</f>
        <v>150000</v>
      </c>
      <c r="O398" s="105">
        <f>IF(SUM($G398:N398)+$C398/$F$393&gt;$C398,0,$C398/$F$393)</f>
        <v>150000</v>
      </c>
      <c r="P398" s="79"/>
    </row>
    <row r="399" spans="2:16" x14ac:dyDescent="0.25">
      <c r="B399" s="103">
        <f t="shared" ca="1" si="218"/>
        <v>2022</v>
      </c>
      <c r="C399" s="355">
        <v>400000</v>
      </c>
      <c r="D399" s="74"/>
      <c r="E399" s="74"/>
      <c r="F399" s="72"/>
      <c r="G399" s="82"/>
      <c r="H399" s="82"/>
      <c r="I399" s="82"/>
      <c r="J399" s="72">
        <f>$C399/$F$393</f>
        <v>40000</v>
      </c>
      <c r="K399" s="105">
        <f t="shared" ref="K399:O403" si="219">$C399/$F$393</f>
        <v>40000</v>
      </c>
      <c r="L399" s="105">
        <f t="shared" si="219"/>
        <v>40000</v>
      </c>
      <c r="M399" s="105">
        <f t="shared" si="219"/>
        <v>40000</v>
      </c>
      <c r="N399" s="105">
        <f t="shared" si="219"/>
        <v>40000</v>
      </c>
      <c r="O399" s="105">
        <f>IF(SUM($G399:N399)+$C399/$F$393&gt;$C399,0,$C399/$F$393)</f>
        <v>40000</v>
      </c>
      <c r="P399" s="79"/>
    </row>
    <row r="400" spans="2:16" x14ac:dyDescent="0.25">
      <c r="B400" s="103">
        <f t="shared" ca="1" si="218"/>
        <v>2023</v>
      </c>
      <c r="C400" s="355">
        <v>400000</v>
      </c>
      <c r="D400" s="74"/>
      <c r="E400" s="74"/>
      <c r="F400" s="72"/>
      <c r="G400" s="82"/>
      <c r="H400" s="82"/>
      <c r="I400" s="82"/>
      <c r="J400" s="82"/>
      <c r="K400" s="105">
        <f>$C400/$F$393</f>
        <v>40000</v>
      </c>
      <c r="L400" s="105">
        <f t="shared" si="219"/>
        <v>40000</v>
      </c>
      <c r="M400" s="105">
        <f t="shared" si="219"/>
        <v>40000</v>
      </c>
      <c r="N400" s="105">
        <f t="shared" si="219"/>
        <v>40000</v>
      </c>
      <c r="O400" s="105">
        <f t="shared" si="219"/>
        <v>40000</v>
      </c>
      <c r="P400" s="79"/>
    </row>
    <row r="401" spans="2:16" x14ac:dyDescent="0.25">
      <c r="B401" s="103">
        <f t="shared" ca="1" si="218"/>
        <v>2024</v>
      </c>
      <c r="C401" s="355">
        <v>400000</v>
      </c>
      <c r="D401" s="74"/>
      <c r="E401" s="74"/>
      <c r="F401" s="105"/>
      <c r="G401" s="82"/>
      <c r="H401" s="82"/>
      <c r="I401" s="82"/>
      <c r="J401" s="82"/>
      <c r="K401" s="82"/>
      <c r="L401" s="105">
        <f>$C401/$F$393</f>
        <v>40000</v>
      </c>
      <c r="M401" s="105">
        <f t="shared" si="219"/>
        <v>40000</v>
      </c>
      <c r="N401" s="105">
        <f t="shared" si="219"/>
        <v>40000</v>
      </c>
      <c r="O401" s="105">
        <f t="shared" si="219"/>
        <v>40000</v>
      </c>
      <c r="P401" s="79"/>
    </row>
    <row r="402" spans="2:16" x14ac:dyDescent="0.25">
      <c r="B402" s="103">
        <f t="shared" ca="1" si="218"/>
        <v>2025</v>
      </c>
      <c r="C402" s="355">
        <v>800000</v>
      </c>
      <c r="D402" s="74"/>
      <c r="E402" s="74"/>
      <c r="F402" s="105"/>
      <c r="G402" s="82"/>
      <c r="H402" s="82"/>
      <c r="I402" s="82"/>
      <c r="J402" s="82"/>
      <c r="K402" s="82"/>
      <c r="L402" s="82"/>
      <c r="M402" s="105">
        <f>$C402/$F$393</f>
        <v>80000</v>
      </c>
      <c r="N402" s="105">
        <f t="shared" si="219"/>
        <v>80000</v>
      </c>
      <c r="O402" s="105">
        <f t="shared" si="219"/>
        <v>80000</v>
      </c>
      <c r="P402" s="79"/>
    </row>
    <row r="403" spans="2:16" x14ac:dyDescent="0.25">
      <c r="B403" s="103">
        <f t="shared" ca="1" si="218"/>
        <v>2026</v>
      </c>
      <c r="C403" s="355">
        <v>800000</v>
      </c>
      <c r="D403" s="74"/>
      <c r="E403" s="74"/>
      <c r="F403" s="105"/>
      <c r="G403" s="82"/>
      <c r="H403" s="82"/>
      <c r="I403" s="82"/>
      <c r="J403" s="82"/>
      <c r="K403" s="82"/>
      <c r="L403" s="82"/>
      <c r="M403" s="82"/>
      <c r="N403" s="105">
        <f>$C403/$F$393</f>
        <v>80000</v>
      </c>
      <c r="O403" s="105">
        <f t="shared" si="219"/>
        <v>80000</v>
      </c>
      <c r="P403" s="79"/>
    </row>
    <row r="404" spans="2:16" x14ac:dyDescent="0.25">
      <c r="B404" s="103">
        <f t="shared" ca="1" si="218"/>
        <v>2027</v>
      </c>
      <c r="C404" s="355">
        <v>800000</v>
      </c>
      <c r="D404" s="74"/>
      <c r="E404" s="74"/>
      <c r="F404" s="105"/>
      <c r="G404" s="82"/>
      <c r="H404" s="82"/>
      <c r="I404" s="82"/>
      <c r="J404" s="82"/>
      <c r="K404" s="82"/>
      <c r="L404" s="82"/>
      <c r="M404" s="82"/>
      <c r="N404" s="82"/>
      <c r="O404" s="105">
        <f>$C404/$F$393</f>
        <v>80000</v>
      </c>
      <c r="P404" s="79"/>
    </row>
    <row r="405" spans="2:16" x14ac:dyDescent="0.25">
      <c r="B405" s="103">
        <f t="shared" ca="1" si="218"/>
        <v>2028</v>
      </c>
      <c r="C405" s="355">
        <v>800000</v>
      </c>
      <c r="D405" s="74"/>
      <c r="E405" s="74"/>
      <c r="F405" s="105"/>
      <c r="G405" s="82"/>
      <c r="H405" s="82"/>
      <c r="I405" s="82"/>
      <c r="J405" s="82"/>
      <c r="K405" s="82"/>
      <c r="L405" s="82"/>
      <c r="M405" s="82"/>
      <c r="N405" s="82"/>
      <c r="O405" s="82"/>
      <c r="P405" s="79"/>
    </row>
    <row r="406" spans="2:16" x14ac:dyDescent="0.25">
      <c r="B406" s="103">
        <f t="shared" ca="1" si="218"/>
        <v>2029</v>
      </c>
      <c r="C406" s="355">
        <v>800000</v>
      </c>
      <c r="D406" s="74"/>
      <c r="E406" s="74"/>
      <c r="F406" s="72"/>
      <c r="G406" s="82"/>
      <c r="H406" s="82"/>
      <c r="I406" s="82"/>
      <c r="J406" s="82"/>
      <c r="K406" s="82"/>
      <c r="L406" s="82"/>
      <c r="M406" s="82"/>
      <c r="N406" s="82"/>
      <c r="O406" s="82"/>
      <c r="P406" s="79"/>
    </row>
    <row r="407" spans="2:16" x14ac:dyDescent="0.25">
      <c r="B407" s="103"/>
      <c r="C407" s="153"/>
      <c r="D407" s="74"/>
      <c r="E407" s="74"/>
      <c r="F407" s="105"/>
      <c r="G407" s="82"/>
      <c r="H407" s="82"/>
      <c r="I407" s="82"/>
      <c r="J407" s="82"/>
      <c r="K407" s="82"/>
      <c r="L407" s="82"/>
      <c r="M407" s="82"/>
      <c r="N407" s="82"/>
      <c r="O407" s="82"/>
      <c r="P407" s="79"/>
    </row>
    <row r="408" spans="2:16" x14ac:dyDescent="0.25">
      <c r="B408" s="94" t="s">
        <v>111</v>
      </c>
      <c r="C408" s="91" t="str">
        <f>Summary!$E$172</f>
        <v>USD</v>
      </c>
      <c r="D408" s="278">
        <f>-D36</f>
        <v>250000</v>
      </c>
      <c r="E408" s="278">
        <f>-E36</f>
        <v>250000</v>
      </c>
      <c r="F408" s="278">
        <f>-F36</f>
        <v>250500</v>
      </c>
      <c r="G408" s="75">
        <f>SUM(G396:G406)</f>
        <v>357450</v>
      </c>
      <c r="H408" s="75">
        <f t="shared" ref="H408:O408" si="220">SUM(H396:H406)</f>
        <v>417450</v>
      </c>
      <c r="I408" s="75">
        <f t="shared" si="220"/>
        <v>567450</v>
      </c>
      <c r="J408" s="75">
        <f t="shared" si="220"/>
        <v>607450</v>
      </c>
      <c r="K408" s="75">
        <f t="shared" si="220"/>
        <v>647450</v>
      </c>
      <c r="L408" s="75">
        <f t="shared" si="220"/>
        <v>687450</v>
      </c>
      <c r="M408" s="75">
        <f t="shared" si="220"/>
        <v>767450</v>
      </c>
      <c r="N408" s="75">
        <f t="shared" si="220"/>
        <v>847450</v>
      </c>
      <c r="O408" s="75">
        <f t="shared" si="220"/>
        <v>927450</v>
      </c>
      <c r="P408" s="76">
        <f>P389</f>
        <v>800000</v>
      </c>
    </row>
    <row r="409" spans="2:16" x14ac:dyDescent="0.25">
      <c r="B409" s="98"/>
      <c r="C409" s="74"/>
      <c r="D409" s="74"/>
      <c r="E409" s="74"/>
      <c r="F409" s="82"/>
      <c r="G409" s="82"/>
      <c r="H409" s="82"/>
      <c r="I409" s="82"/>
      <c r="J409" s="82"/>
      <c r="K409" s="82"/>
      <c r="L409" s="82"/>
      <c r="M409" s="82"/>
      <c r="N409" s="82"/>
      <c r="O409" s="82"/>
      <c r="P409" s="83"/>
    </row>
    <row r="410" spans="2:16" x14ac:dyDescent="0.25">
      <c r="B410" s="96" t="s">
        <v>276</v>
      </c>
      <c r="C410" s="35" t="str">
        <f>Summary!$E$172</f>
        <v>USD</v>
      </c>
      <c r="D410" s="105">
        <f>E410-D408</f>
        <v>1300000</v>
      </c>
      <c r="E410" s="105">
        <f>F410-E408</f>
        <v>1550000</v>
      </c>
      <c r="F410" s="78">
        <v>1800000</v>
      </c>
      <c r="G410" s="78">
        <f t="shared" ref="G410:P410" si="221">F410+G408</f>
        <v>2157450</v>
      </c>
      <c r="H410" s="78">
        <f t="shared" si="221"/>
        <v>2574900</v>
      </c>
      <c r="I410" s="78">
        <f t="shared" si="221"/>
        <v>3142350</v>
      </c>
      <c r="J410" s="78">
        <f t="shared" si="221"/>
        <v>3749800</v>
      </c>
      <c r="K410" s="78">
        <f t="shared" si="221"/>
        <v>4397250</v>
      </c>
      <c r="L410" s="78">
        <f t="shared" si="221"/>
        <v>5084700</v>
      </c>
      <c r="M410" s="78">
        <f t="shared" si="221"/>
        <v>5852150</v>
      </c>
      <c r="N410" s="78">
        <f t="shared" si="221"/>
        <v>6699600</v>
      </c>
      <c r="O410" s="78">
        <f t="shared" si="221"/>
        <v>7627050</v>
      </c>
      <c r="P410" s="79">
        <f t="shared" si="221"/>
        <v>8427050</v>
      </c>
    </row>
    <row r="411" spans="2:16" x14ac:dyDescent="0.25">
      <c r="B411" s="96"/>
      <c r="C411" s="72"/>
      <c r="D411" s="105"/>
      <c r="E411" s="105"/>
      <c r="F411" s="72"/>
      <c r="G411" s="72"/>
      <c r="H411" s="72"/>
      <c r="I411" s="72"/>
      <c r="J411" s="72"/>
      <c r="K411" s="105"/>
      <c r="L411" s="105"/>
      <c r="M411" s="105"/>
      <c r="N411" s="105"/>
      <c r="O411" s="105"/>
      <c r="P411" s="77"/>
    </row>
    <row r="412" spans="2:16" x14ac:dyDescent="0.25">
      <c r="B412" s="94" t="s">
        <v>204</v>
      </c>
      <c r="C412" s="91" t="str">
        <f>Summary!$E$172</f>
        <v>USD</v>
      </c>
      <c r="D412" s="75">
        <f>D60</f>
        <v>1500000</v>
      </c>
      <c r="E412" s="75">
        <f>E60</f>
        <v>1325000</v>
      </c>
      <c r="F412" s="75">
        <f>F60</f>
        <v>1774500</v>
      </c>
      <c r="G412" s="75">
        <f t="shared" ref="G412:P412" si="222">G391-G410</f>
        <v>2017050</v>
      </c>
      <c r="H412" s="75">
        <f t="shared" si="222"/>
        <v>3099600</v>
      </c>
      <c r="I412" s="75">
        <f t="shared" si="222"/>
        <v>2932150</v>
      </c>
      <c r="J412" s="75">
        <f t="shared" si="222"/>
        <v>2724700</v>
      </c>
      <c r="K412" s="75">
        <f t="shared" si="222"/>
        <v>2477250</v>
      </c>
      <c r="L412" s="75">
        <f t="shared" si="222"/>
        <v>2589800</v>
      </c>
      <c r="M412" s="75">
        <f t="shared" si="222"/>
        <v>2622350</v>
      </c>
      <c r="N412" s="75">
        <f t="shared" si="222"/>
        <v>2574900</v>
      </c>
      <c r="O412" s="75">
        <f t="shared" si="222"/>
        <v>2447450</v>
      </c>
      <c r="P412" s="76">
        <f t="shared" si="222"/>
        <v>2447450</v>
      </c>
    </row>
    <row r="413" spans="2:16" x14ac:dyDescent="0.25">
      <c r="B413" s="27"/>
      <c r="C413" s="28"/>
      <c r="D413" s="28"/>
      <c r="E413" s="28"/>
      <c r="F413" s="28"/>
      <c r="G413" s="28"/>
      <c r="H413" s="28"/>
      <c r="I413" s="28"/>
      <c r="J413" s="28"/>
      <c r="K413" s="28"/>
      <c r="L413" s="28"/>
      <c r="M413" s="28"/>
      <c r="N413" s="28"/>
      <c r="O413" s="28"/>
      <c r="P413" s="29"/>
    </row>
    <row r="415" spans="2:16" x14ac:dyDescent="0.25">
      <c r="B415" s="62"/>
      <c r="C415" s="62"/>
      <c r="D415" s="62"/>
      <c r="E415" s="62"/>
      <c r="F415" s="62"/>
      <c r="G415" s="62"/>
      <c r="H415" s="62"/>
      <c r="I415" s="62"/>
      <c r="J415" s="62"/>
      <c r="K415" s="62"/>
      <c r="L415" s="62"/>
      <c r="M415" s="62"/>
      <c r="N415" s="62"/>
      <c r="O415" s="62"/>
      <c r="P415" s="62"/>
    </row>
    <row r="416" spans="2:16" x14ac:dyDescent="0.25">
      <c r="B416" s="13" t="s">
        <v>379</v>
      </c>
      <c r="C416" s="13"/>
      <c r="D416" s="13"/>
      <c r="E416" s="13"/>
      <c r="F416" s="13"/>
      <c r="G416" s="13"/>
      <c r="H416" s="13"/>
    </row>
    <row r="417" spans="2:8" x14ac:dyDescent="0.25">
      <c r="B417" s="13"/>
      <c r="C417" s="13"/>
      <c r="D417" s="13"/>
      <c r="E417" s="13"/>
      <c r="F417" s="13"/>
      <c r="G417" s="13"/>
      <c r="H417" s="13"/>
    </row>
    <row r="418" spans="2:8" x14ac:dyDescent="0.25">
      <c r="B418" s="13"/>
      <c r="C418" s="13"/>
      <c r="D418" s="13"/>
      <c r="E418" s="13"/>
      <c r="F418" s="13"/>
      <c r="G418" s="13"/>
      <c r="H418" s="13"/>
    </row>
    <row r="419" spans="2:8" x14ac:dyDescent="0.25">
      <c r="B419" s="13"/>
      <c r="C419" s="13"/>
      <c r="D419" s="13"/>
      <c r="E419" s="13"/>
      <c r="F419" s="13"/>
      <c r="G419" s="13"/>
      <c r="H419" s="13"/>
    </row>
    <row r="420" spans="2:8" x14ac:dyDescent="0.25">
      <c r="B420" s="13"/>
      <c r="C420" s="13"/>
      <c r="D420" s="13"/>
      <c r="E420" s="13"/>
      <c r="F420" s="13"/>
      <c r="G420" s="13"/>
      <c r="H420" s="13"/>
    </row>
    <row r="421" spans="2:8" x14ac:dyDescent="0.25">
      <c r="B421" s="57" t="s">
        <v>380</v>
      </c>
      <c r="C421" s="57"/>
      <c r="D421" s="57"/>
      <c r="E421" s="57"/>
      <c r="F421" s="13"/>
      <c r="G421" s="13"/>
      <c r="H421" s="13"/>
    </row>
  </sheetData>
  <phoneticPr fontId="2" type="noConversion"/>
  <hyperlinks>
    <hyperlink ref="B421" r:id="rId1" xr:uid="{00000000-0004-0000-0300-000000000000}"/>
  </hyperlinks>
  <printOptions horizontalCentered="1"/>
  <pageMargins left="0.74803149606299213" right="0.74803149606299213" top="0.98425196850393704" bottom="0.98425196850393704" header="0.51181102362204722" footer="0.51181102362204722"/>
  <pageSetup paperSize="9" scale="47" fitToHeight="0" orientation="portrait" horizontalDpi="4294967292" verticalDpi="4294967292"/>
  <headerFooter>
    <oddFooter>&amp;LConfidential&amp;C&amp;P / &amp;N&amp;R&amp;D</oddFooter>
  </headerFooter>
  <rowBreaks count="7" manualBreakCount="7">
    <brk id="50" max="16383" man="1"/>
    <brk id="103" max="16383" man="1"/>
    <brk id="158" max="16383" man="1"/>
    <brk id="193" max="16383" man="1" pt="1"/>
    <brk id="220" max="16383" man="1" pt="1"/>
    <brk id="302" max="16383" man="1" pt="1"/>
    <brk id="383" max="16383" man="1"/>
  </rowBreaks>
  <ignoredErrors>
    <ignoredError sqref="E91" formulaRange="1" emptyCellReference="1"/>
    <ignoredError sqref="H93:L93 N93 D61:E61 D67" emptyCellReference="1"/>
    <ignoredError sqref="F20" formula="1"/>
  </ignoredErrors>
  <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DY102"/>
  <sheetViews>
    <sheetView showGridLines="0" workbookViewId="0">
      <pane xSplit="3" ySplit="8" topLeftCell="D9" activePane="bottomRight" state="frozenSplit"/>
      <selection activeCell="C20" sqref="C20"/>
      <selection pane="topRight" activeCell="C20" sqref="C20"/>
      <selection pane="bottomLeft" activeCell="C20" sqref="C20"/>
      <selection pane="bottomRight" activeCell="C20" sqref="C20"/>
    </sheetView>
  </sheetViews>
  <sheetFormatPr defaultColWidth="8.15234375" defaultRowHeight="12.5" outlineLevelCol="2" x14ac:dyDescent="0.25"/>
  <cols>
    <col min="1" max="1" width="4.84375" style="58" customWidth="1"/>
    <col min="2" max="2" width="22" style="58" customWidth="1"/>
    <col min="3" max="3" width="8.4609375" style="426" customWidth="1"/>
    <col min="4" max="13" width="9.69140625" style="58" customWidth="1"/>
    <col min="14" max="20" width="9.69140625" style="58" customWidth="1" outlineLevel="1"/>
    <col min="21" max="22" width="9.69140625" style="58" customWidth="1"/>
    <col min="23" max="78" width="8.15234375" style="58"/>
    <col min="79" max="113" width="8.15234375" style="58" outlineLevel="2"/>
    <col min="114" max="115" width="8.15234375" style="58" collapsed="1"/>
    <col min="116" max="116" width="8.15234375" style="58" outlineLevel="2"/>
    <col min="117" max="119" width="8.15234375" style="58" collapsed="1"/>
    <col min="120" max="121" width="8.15234375" style="58" outlineLevel="2"/>
    <col min="122" max="123" width="8.15234375" style="58" collapsed="1"/>
    <col min="124" max="124" width="8.15234375" style="58" outlineLevel="2"/>
    <col min="125" max="129" width="8.15234375" style="58" collapsed="1"/>
    <col min="130" max="16384" width="8.15234375" style="58"/>
  </cols>
  <sheetData>
    <row r="2" spans="2:22" s="13" customFormat="1" ht="13" x14ac:dyDescent="0.3">
      <c r="B2" s="69" t="str">
        <f>Title!C8</f>
        <v>PE Model</v>
      </c>
      <c r="C2" s="410"/>
      <c r="V2" s="15" t="str">
        <f>Title!C14</f>
        <v>March 29th, 2020</v>
      </c>
    </row>
    <row r="3" spans="2:22" s="13" customFormat="1" x14ac:dyDescent="0.25">
      <c r="B3" s="19"/>
      <c r="C3" s="411"/>
      <c r="D3" s="19"/>
      <c r="E3" s="19"/>
      <c r="F3" s="19"/>
      <c r="G3" s="19"/>
      <c r="H3" s="19"/>
      <c r="I3" s="19"/>
      <c r="J3" s="19"/>
      <c r="K3" s="19"/>
      <c r="L3" s="19"/>
      <c r="M3" s="19"/>
      <c r="N3" s="19"/>
      <c r="O3" s="19"/>
      <c r="P3" s="19"/>
      <c r="Q3" s="19"/>
      <c r="R3" s="19"/>
      <c r="S3" s="19"/>
      <c r="T3" s="19"/>
      <c r="U3" s="19"/>
      <c r="V3" s="19" t="str">
        <f>Title!C33</f>
        <v>Confidential</v>
      </c>
    </row>
    <row r="4" spans="2:22" s="13" customFormat="1" x14ac:dyDescent="0.25">
      <c r="C4" s="410"/>
    </row>
    <row r="5" spans="2:22" x14ac:dyDescent="0.25">
      <c r="B5" s="81"/>
      <c r="C5" s="412"/>
      <c r="D5" s="81"/>
      <c r="E5" s="81"/>
      <c r="F5" s="81"/>
      <c r="G5" s="81"/>
      <c r="H5" s="81"/>
      <c r="I5" s="81"/>
      <c r="J5" s="81"/>
      <c r="K5" s="81"/>
      <c r="L5" s="81"/>
      <c r="M5" s="81"/>
      <c r="N5" s="81"/>
      <c r="O5" s="81"/>
      <c r="P5" s="81"/>
      <c r="Q5" s="81"/>
      <c r="R5" s="81"/>
      <c r="S5" s="81"/>
      <c r="T5" s="81"/>
      <c r="U5" s="84"/>
      <c r="V5" s="84"/>
    </row>
    <row r="6" spans="2:22" ht="15.5" x14ac:dyDescent="0.35">
      <c r="B6" s="31" t="str">
        <f>"All amounts in "&amp;Summary!$E$172</f>
        <v>All amounts in USD</v>
      </c>
      <c r="C6" s="413"/>
      <c r="D6" s="111">
        <f ca="1">E6-1</f>
        <v>2018</v>
      </c>
      <c r="E6" s="111">
        <f ca="1">'Financials Yearly'!F20</f>
        <v>2019</v>
      </c>
      <c r="F6" s="111"/>
      <c r="G6" s="111"/>
      <c r="H6" s="111"/>
      <c r="I6" s="111"/>
      <c r="J6" s="111">
        <f ca="1">E6+1</f>
        <v>2020</v>
      </c>
      <c r="K6" s="111"/>
      <c r="L6" s="111"/>
      <c r="M6" s="111"/>
      <c r="N6" s="111"/>
      <c r="O6" s="111"/>
      <c r="P6" s="70">
        <f ca="1">'Financials Yearly'!H20-1</f>
        <v>2020</v>
      </c>
      <c r="Q6" s="111"/>
      <c r="R6" s="111"/>
      <c r="S6" s="111"/>
      <c r="T6" s="111"/>
      <c r="U6" s="13"/>
      <c r="V6" s="13"/>
    </row>
    <row r="7" spans="2:22" ht="15.5" x14ac:dyDescent="0.35">
      <c r="B7" s="52" t="s">
        <v>449</v>
      </c>
      <c r="C7" s="414" t="s">
        <v>450</v>
      </c>
      <c r="D7" s="111">
        <f ca="1">D6</f>
        <v>2018</v>
      </c>
      <c r="E7" s="222" t="s">
        <v>35</v>
      </c>
      <c r="F7" s="222" t="s">
        <v>36</v>
      </c>
      <c r="G7" s="222" t="s">
        <v>33</v>
      </c>
      <c r="H7" s="222" t="s">
        <v>34</v>
      </c>
      <c r="I7" s="111">
        <f ca="1">E6</f>
        <v>2019</v>
      </c>
      <c r="J7" s="222" t="s">
        <v>35</v>
      </c>
      <c r="K7" s="222" t="s">
        <v>36</v>
      </c>
      <c r="L7" s="222" t="s">
        <v>33</v>
      </c>
      <c r="M7" s="222" t="s">
        <v>34</v>
      </c>
      <c r="N7" s="407" t="s">
        <v>90</v>
      </c>
      <c r="O7" s="407"/>
      <c r="P7" s="409" t="s">
        <v>32</v>
      </c>
      <c r="Q7" s="222" t="s">
        <v>35</v>
      </c>
      <c r="R7" s="222" t="s">
        <v>36</v>
      </c>
      <c r="S7" s="222" t="s">
        <v>33</v>
      </c>
      <c r="T7" s="222" t="s">
        <v>34</v>
      </c>
      <c r="U7" s="407" t="s">
        <v>37</v>
      </c>
      <c r="V7" s="70">
        <f ca="1">P6</f>
        <v>2020</v>
      </c>
    </row>
    <row r="8" spans="2:22" s="241" customFormat="1" x14ac:dyDescent="0.25">
      <c r="B8" s="237"/>
      <c r="C8" s="415"/>
      <c r="D8" s="247"/>
      <c r="E8" s="237"/>
      <c r="F8" s="237"/>
      <c r="G8" s="237"/>
      <c r="H8" s="237"/>
      <c r="I8" s="247"/>
      <c r="J8" s="237"/>
      <c r="K8" s="237"/>
      <c r="L8" s="237"/>
      <c r="M8" s="237"/>
      <c r="N8" s="247"/>
      <c r="O8" s="247"/>
      <c r="P8" s="247"/>
      <c r="Q8" s="237"/>
      <c r="R8" s="237"/>
      <c r="S8" s="237"/>
      <c r="T8" s="237"/>
      <c r="U8" s="247"/>
      <c r="V8" s="237"/>
    </row>
    <row r="9" spans="2:22" x14ac:dyDescent="0.25">
      <c r="B9" s="198" t="str">
        <f>'Financials Yearly'!B22</f>
        <v>Revenues</v>
      </c>
      <c r="C9" s="416" t="str">
        <f>Summary!$E$172</f>
        <v>USD</v>
      </c>
      <c r="D9" s="248">
        <f>'Financials Yearly'!E22</f>
        <v>4920000</v>
      </c>
      <c r="E9" s="148">
        <v>1030450</v>
      </c>
      <c r="F9" s="148">
        <v>1180900</v>
      </c>
      <c r="G9" s="148">
        <v>1307899</v>
      </c>
      <c r="H9" s="148">
        <v>1709399</v>
      </c>
      <c r="I9" s="248">
        <f>SUM(E9:H9)</f>
        <v>5228648</v>
      </c>
      <c r="J9" s="148">
        <v>1252700</v>
      </c>
      <c r="K9" s="148">
        <v>1340000</v>
      </c>
      <c r="L9" s="148"/>
      <c r="M9" s="148"/>
      <c r="N9" s="248">
        <f>SUM(G9:H9,J9:K9)</f>
        <v>5609998</v>
      </c>
      <c r="O9" s="248"/>
      <c r="P9" s="248">
        <f>SUM(J9:M9)</f>
        <v>2592700</v>
      </c>
      <c r="Q9" s="148"/>
      <c r="R9" s="148"/>
      <c r="S9" s="148">
        <v>1300000</v>
      </c>
      <c r="T9" s="148">
        <v>1500000</v>
      </c>
      <c r="U9" s="248">
        <f>SUM(Q9:T9)</f>
        <v>2800000</v>
      </c>
      <c r="V9" s="279">
        <f>SUM(J9:M9)+SUM(Q9:T9)</f>
        <v>5392700</v>
      </c>
    </row>
    <row r="10" spans="2:22" s="402" customFormat="1" ht="13" x14ac:dyDescent="0.3">
      <c r="B10" s="404" t="str">
        <f>'Financials Yearly'!B23</f>
        <v>Growth</v>
      </c>
      <c r="C10" s="417" t="s">
        <v>170</v>
      </c>
      <c r="D10" s="249"/>
      <c r="E10" s="154"/>
      <c r="F10" s="154"/>
      <c r="G10" s="154"/>
      <c r="H10" s="154"/>
      <c r="I10" s="249"/>
      <c r="J10" s="154"/>
      <c r="K10" s="154"/>
      <c r="L10" s="154"/>
      <c r="M10" s="154"/>
      <c r="N10" s="249"/>
      <c r="O10" s="249"/>
      <c r="P10" s="249"/>
      <c r="Q10" s="154"/>
      <c r="R10" s="154"/>
      <c r="S10" s="154"/>
      <c r="T10" s="154"/>
      <c r="U10" s="249"/>
      <c r="V10" s="249"/>
    </row>
    <row r="11" spans="2:22" x14ac:dyDescent="0.25">
      <c r="B11" s="35"/>
      <c r="C11" s="123"/>
      <c r="D11" s="250"/>
      <c r="E11" s="99"/>
      <c r="F11" s="99"/>
      <c r="G11" s="99"/>
      <c r="H11" s="99"/>
      <c r="I11" s="250"/>
      <c r="J11" s="99"/>
      <c r="K11" s="99"/>
      <c r="L11" s="99"/>
      <c r="M11" s="99"/>
      <c r="N11" s="250"/>
      <c r="O11" s="250"/>
      <c r="P11" s="250"/>
      <c r="Q11" s="99"/>
      <c r="R11" s="99"/>
      <c r="S11" s="99"/>
      <c r="T11" s="99"/>
      <c r="U11" s="258"/>
      <c r="V11" s="258"/>
    </row>
    <row r="12" spans="2:22" x14ac:dyDescent="0.25">
      <c r="B12" s="198" t="str">
        <f>'Financials Yearly'!B25</f>
        <v>COGS</v>
      </c>
      <c r="C12" s="416" t="str">
        <f>Summary!$E$172</f>
        <v>USD</v>
      </c>
      <c r="D12" s="248">
        <f>'Financials Yearly'!E25</f>
        <v>-2600000</v>
      </c>
      <c r="E12" s="148">
        <f>-E9*0.48</f>
        <v>-494616</v>
      </c>
      <c r="F12" s="148">
        <f>-F9*0.53</f>
        <v>-625877</v>
      </c>
      <c r="G12" s="148">
        <f>-G9*0.49</f>
        <v>-640870.51</v>
      </c>
      <c r="H12" s="148">
        <f>-H9*0.5</f>
        <v>-854699.5</v>
      </c>
      <c r="I12" s="248">
        <f>SUM(E12:H12)</f>
        <v>-2616063.0099999998</v>
      </c>
      <c r="J12" s="148">
        <v>-649600</v>
      </c>
      <c r="K12" s="148">
        <v>-644500</v>
      </c>
      <c r="L12" s="148"/>
      <c r="M12" s="148"/>
      <c r="N12" s="248">
        <f>SUM(G12:H12,J12:K12)</f>
        <v>-2789670.01</v>
      </c>
      <c r="O12" s="248"/>
      <c r="P12" s="248">
        <f>SUM(J12:M12)</f>
        <v>-1294100</v>
      </c>
      <c r="Q12" s="148"/>
      <c r="R12" s="148"/>
      <c r="S12" s="148">
        <v>-650000</v>
      </c>
      <c r="T12" s="148">
        <v>-750000</v>
      </c>
      <c r="U12" s="248">
        <f>SUM(Q12:T12)</f>
        <v>-1400000</v>
      </c>
      <c r="V12" s="257">
        <f>SUM(J12:M12)+SUM(Q12:T12)</f>
        <v>-2694100</v>
      </c>
    </row>
    <row r="13" spans="2:22" x14ac:dyDescent="0.25">
      <c r="B13" s="35" t="str">
        <f>'Financials Yearly'!B26</f>
        <v>Gross Margin</v>
      </c>
      <c r="C13" s="418" t="str">
        <f>Summary!$E$172</f>
        <v>USD</v>
      </c>
      <c r="D13" s="251">
        <f>'Financials Yearly'!A26</f>
        <v>0</v>
      </c>
      <c r="E13" s="199">
        <f>E9+E12</f>
        <v>535834</v>
      </c>
      <c r="F13" s="199">
        <f>F9+F12</f>
        <v>555023</v>
      </c>
      <c r="G13" s="199">
        <f>G9+G12</f>
        <v>667028.49</v>
      </c>
      <c r="H13" s="199">
        <f>H9+H12</f>
        <v>854699.5</v>
      </c>
      <c r="I13" s="251">
        <f>'Financials Yearly'!F26</f>
        <v>2612584.9900000002</v>
      </c>
      <c r="J13" s="199">
        <f>J9+J12</f>
        <v>603100</v>
      </c>
      <c r="K13" s="199">
        <f>K9+K12</f>
        <v>695500</v>
      </c>
      <c r="L13" s="199"/>
      <c r="M13" s="199"/>
      <c r="N13" s="252">
        <f>N9+N12</f>
        <v>2820327.99</v>
      </c>
      <c r="O13" s="252"/>
      <c r="P13" s="252">
        <f>P9+P12</f>
        <v>1298600</v>
      </c>
      <c r="Q13" s="199"/>
      <c r="R13" s="199"/>
      <c r="S13" s="199">
        <f>S9+S12</f>
        <v>650000</v>
      </c>
      <c r="T13" s="199">
        <f>T9+T12</f>
        <v>750000</v>
      </c>
      <c r="U13" s="258">
        <f>U9+U12</f>
        <v>1400000</v>
      </c>
      <c r="V13" s="258">
        <f>V9+V12</f>
        <v>2698600</v>
      </c>
    </row>
    <row r="14" spans="2:22" s="402" customFormat="1" ht="13" x14ac:dyDescent="0.3">
      <c r="B14" s="404" t="str">
        <f>'Financials Yearly'!B27</f>
        <v>%</v>
      </c>
      <c r="C14" s="419" t="s">
        <v>296</v>
      </c>
      <c r="D14" s="249">
        <f t="shared" ref="D14:K14" si="0">IF(ISERR(D13/D$9),"NA",D13/D$9)</f>
        <v>0</v>
      </c>
      <c r="E14" s="154">
        <f t="shared" si="0"/>
        <v>0.52</v>
      </c>
      <c r="F14" s="154">
        <f t="shared" si="0"/>
        <v>0.47</v>
      </c>
      <c r="G14" s="154">
        <f t="shared" si="0"/>
        <v>0.51</v>
      </c>
      <c r="H14" s="154">
        <f t="shared" si="0"/>
        <v>0.5</v>
      </c>
      <c r="I14" s="249">
        <f t="shared" si="0"/>
        <v>0.49966740732977249</v>
      </c>
      <c r="J14" s="154">
        <f t="shared" si="0"/>
        <v>0.48144008940688116</v>
      </c>
      <c r="K14" s="154">
        <f t="shared" si="0"/>
        <v>0.51902985074626862</v>
      </c>
      <c r="L14" s="154"/>
      <c r="M14" s="154"/>
      <c r="N14" s="249">
        <f>IF(ISERR(N13/N$9),"NA",N13/N$9)</f>
        <v>0.50273244125933736</v>
      </c>
      <c r="O14" s="249"/>
      <c r="P14" s="249">
        <f>IF(ISERR(P13/P$9),"NA",P13/P$9)</f>
        <v>0.50086782119026496</v>
      </c>
      <c r="Q14" s="154"/>
      <c r="R14" s="154"/>
      <c r="S14" s="154">
        <f>IF(ISERR(S13/S$9),"NA",S13/S$9)</f>
        <v>0.5</v>
      </c>
      <c r="T14" s="154">
        <f>IF(ISERR(T13/T$9),"NA",T13/T$9)</f>
        <v>0.5</v>
      </c>
      <c r="U14" s="403">
        <f>IF(ISERR(U13/U$9),"NA",U13/U$9)</f>
        <v>0.5</v>
      </c>
      <c r="V14" s="403">
        <f>IF(ISERR(V13/V$9),"NA",V13/V$9)</f>
        <v>0.50041723070076216</v>
      </c>
    </row>
    <row r="15" spans="2:22" x14ac:dyDescent="0.25">
      <c r="B15" s="35"/>
      <c r="C15" s="123"/>
      <c r="D15" s="250"/>
      <c r="E15" s="99"/>
      <c r="F15" s="99"/>
      <c r="G15" s="99"/>
      <c r="H15" s="99"/>
      <c r="I15" s="250"/>
      <c r="J15" s="99"/>
      <c r="K15" s="99"/>
      <c r="L15" s="99"/>
      <c r="M15" s="99"/>
      <c r="N15" s="250"/>
      <c r="O15" s="250"/>
      <c r="P15" s="250"/>
      <c r="Q15" s="99"/>
      <c r="R15" s="99"/>
      <c r="S15" s="99"/>
      <c r="T15" s="99"/>
      <c r="U15" s="258"/>
      <c r="V15" s="258"/>
    </row>
    <row r="16" spans="2:22" x14ac:dyDescent="0.25">
      <c r="B16" s="122" t="str">
        <f>'Financials Yearly'!B29</f>
        <v>Sales &amp; Marketing</v>
      </c>
      <c r="C16" s="418" t="str">
        <f>Summary!$E$172</f>
        <v>USD</v>
      </c>
      <c r="D16" s="252">
        <f>'Financials Yearly'!E29</f>
        <v>-500000</v>
      </c>
      <c r="E16" s="149">
        <v>-130890</v>
      </c>
      <c r="F16" s="149">
        <v>-140790</v>
      </c>
      <c r="G16" s="149">
        <v>-159000</v>
      </c>
      <c r="H16" s="149">
        <v>-158900</v>
      </c>
      <c r="I16" s="252">
        <f>SUM(E16:H16)</f>
        <v>-589580</v>
      </c>
      <c r="J16" s="149">
        <v>-150870</v>
      </c>
      <c r="K16" s="149">
        <v>-148000</v>
      </c>
      <c r="L16" s="149"/>
      <c r="M16" s="149"/>
      <c r="N16" s="252">
        <f>SUM(G16:H16,J16:K16)</f>
        <v>-616770</v>
      </c>
      <c r="O16" s="252"/>
      <c r="P16" s="252">
        <f>SUM(J16:M16)</f>
        <v>-298870</v>
      </c>
      <c r="Q16" s="149"/>
      <c r="R16" s="149"/>
      <c r="S16" s="149">
        <v>-150000</v>
      </c>
      <c r="T16" s="149">
        <v>-150000</v>
      </c>
      <c r="U16" s="252">
        <f>SUM(Q16:T16)</f>
        <v>-300000</v>
      </c>
      <c r="V16" s="258">
        <f>SUM(J16:M16)+SUM(Q16:T16)</f>
        <v>-598870</v>
      </c>
    </row>
    <row r="17" spans="2:22" x14ac:dyDescent="0.25">
      <c r="B17" s="122" t="str">
        <f>'Financials Yearly'!B30</f>
        <v>General &amp; Admin</v>
      </c>
      <c r="C17" s="418" t="str">
        <f>Summary!$E$172</f>
        <v>USD</v>
      </c>
      <c r="D17" s="252">
        <f>'Financials Yearly'!E30</f>
        <v>-500000</v>
      </c>
      <c r="E17" s="149">
        <v>-140800</v>
      </c>
      <c r="F17" s="149">
        <v>-142900</v>
      </c>
      <c r="G17" s="149">
        <v>-145870</v>
      </c>
      <c r="H17" s="149">
        <v>-144859</v>
      </c>
      <c r="I17" s="252">
        <f>SUM(E17:H17)</f>
        <v>-574429</v>
      </c>
      <c r="J17" s="149">
        <v>-120890</v>
      </c>
      <c r="K17" s="149">
        <v>-158595</v>
      </c>
      <c r="L17" s="149"/>
      <c r="M17" s="149"/>
      <c r="N17" s="252">
        <f>SUM(G17:H17,J17:K17)</f>
        <v>-570214</v>
      </c>
      <c r="O17" s="252"/>
      <c r="P17" s="252">
        <f>SUM(J17:M17)</f>
        <v>-279485</v>
      </c>
      <c r="Q17" s="149"/>
      <c r="R17" s="149"/>
      <c r="S17" s="149">
        <v>-125000</v>
      </c>
      <c r="T17" s="149">
        <v>-125000</v>
      </c>
      <c r="U17" s="252">
        <f>SUM(Q17:T17)</f>
        <v>-250000</v>
      </c>
      <c r="V17" s="258">
        <f>SUM(J17:M17)+SUM(Q17:T17)</f>
        <v>-529485</v>
      </c>
    </row>
    <row r="18" spans="2:22" x14ac:dyDescent="0.25">
      <c r="B18" s="122" t="str">
        <f>'Financials Yearly'!B31</f>
        <v>Other operating expenses</v>
      </c>
      <c r="C18" s="418" t="str">
        <f>Summary!$E$172</f>
        <v>USD</v>
      </c>
      <c r="D18" s="252">
        <f>'Financials Yearly'!E31</f>
        <v>-750000</v>
      </c>
      <c r="E18" s="149">
        <v>-190890</v>
      </c>
      <c r="F18" s="149">
        <v>-199800</v>
      </c>
      <c r="G18" s="149">
        <v>-200788</v>
      </c>
      <c r="H18" s="149">
        <v>-180895</v>
      </c>
      <c r="I18" s="252">
        <f>SUM(E18:H18)</f>
        <v>-772373</v>
      </c>
      <c r="J18" s="149">
        <v>-160500</v>
      </c>
      <c r="K18" s="149">
        <v>-193500</v>
      </c>
      <c r="L18" s="149"/>
      <c r="M18" s="149"/>
      <c r="N18" s="252">
        <f>SUM(G18:H18,J18:K18)</f>
        <v>-735683</v>
      </c>
      <c r="O18" s="252"/>
      <c r="P18" s="252">
        <f>SUM(J18:M18)</f>
        <v>-354000</v>
      </c>
      <c r="Q18" s="149"/>
      <c r="R18" s="149"/>
      <c r="S18" s="149">
        <v>-200000</v>
      </c>
      <c r="T18" s="149">
        <v>-200000</v>
      </c>
      <c r="U18" s="252">
        <f>SUM(Q18:T18)</f>
        <v>-400000</v>
      </c>
      <c r="V18" s="258">
        <f>SUM(J18:M18)+SUM(Q18:T18)</f>
        <v>-754000</v>
      </c>
    </row>
    <row r="19" spans="2:22" x14ac:dyDescent="0.25">
      <c r="B19" s="198" t="str">
        <f>'Financials Yearly'!B32</f>
        <v>OPEX</v>
      </c>
      <c r="C19" s="416" t="str">
        <f>Summary!$E$172</f>
        <v>USD</v>
      </c>
      <c r="D19" s="253">
        <f>SUM(D16:D18)</f>
        <v>-1750000</v>
      </c>
      <c r="E19" s="246">
        <f t="shared" ref="E19:N19" si="1">SUM(E16:E18)</f>
        <v>-462580</v>
      </c>
      <c r="F19" s="246">
        <f t="shared" si="1"/>
        <v>-483490</v>
      </c>
      <c r="G19" s="246">
        <f t="shared" si="1"/>
        <v>-505658</v>
      </c>
      <c r="H19" s="246">
        <f t="shared" si="1"/>
        <v>-484654</v>
      </c>
      <c r="I19" s="253">
        <f t="shared" si="1"/>
        <v>-1936382</v>
      </c>
      <c r="J19" s="246">
        <f t="shared" si="1"/>
        <v>-432260</v>
      </c>
      <c r="K19" s="246">
        <f t="shared" si="1"/>
        <v>-500095</v>
      </c>
      <c r="L19" s="246"/>
      <c r="M19" s="246"/>
      <c r="N19" s="248">
        <f t="shared" si="1"/>
        <v>-1922667</v>
      </c>
      <c r="O19" s="248"/>
      <c r="P19" s="248">
        <f>SUM(J19:M19)</f>
        <v>-932355</v>
      </c>
      <c r="Q19" s="246"/>
      <c r="R19" s="246"/>
      <c r="S19" s="246">
        <f>SUM(S16:S18)</f>
        <v>-475000</v>
      </c>
      <c r="T19" s="246">
        <f>SUM(T16:T18)</f>
        <v>-475000</v>
      </c>
      <c r="U19" s="248">
        <f>SUM(U16:U18)</f>
        <v>-950000</v>
      </c>
      <c r="V19" s="248">
        <f>SUM(V16:V18)</f>
        <v>-1882355</v>
      </c>
    </row>
    <row r="20" spans="2:22" x14ac:dyDescent="0.25">
      <c r="B20" s="35" t="str">
        <f>'Financials Yearly'!B33</f>
        <v>EBITDA</v>
      </c>
      <c r="C20" s="418" t="str">
        <f>Summary!$E$172</f>
        <v>USD</v>
      </c>
      <c r="D20" s="252">
        <f>D13+D19</f>
        <v>-1750000</v>
      </c>
      <c r="E20" s="199">
        <f t="shared" ref="E20:V20" si="2">E13+E19</f>
        <v>73254</v>
      </c>
      <c r="F20" s="199">
        <f t="shared" si="2"/>
        <v>71533</v>
      </c>
      <c r="G20" s="199">
        <f t="shared" si="2"/>
        <v>161370.49</v>
      </c>
      <c r="H20" s="199">
        <f t="shared" si="2"/>
        <v>370045.5</v>
      </c>
      <c r="I20" s="252">
        <f t="shared" si="2"/>
        <v>676202.99000000022</v>
      </c>
      <c r="J20" s="199">
        <f t="shared" si="2"/>
        <v>170840</v>
      </c>
      <c r="K20" s="199">
        <f t="shared" si="2"/>
        <v>195405</v>
      </c>
      <c r="L20" s="199"/>
      <c r="M20" s="199"/>
      <c r="N20" s="252">
        <f>N13+N19</f>
        <v>897660.99000000022</v>
      </c>
      <c r="O20" s="252"/>
      <c r="P20" s="252">
        <f>P13+P19</f>
        <v>366245</v>
      </c>
      <c r="Q20" s="199"/>
      <c r="R20" s="199"/>
      <c r="S20" s="199">
        <f>S13+S19</f>
        <v>175000</v>
      </c>
      <c r="T20" s="199">
        <f>T13+T19</f>
        <v>275000</v>
      </c>
      <c r="U20" s="258">
        <f t="shared" si="2"/>
        <v>450000</v>
      </c>
      <c r="V20" s="258">
        <f t="shared" si="2"/>
        <v>816245</v>
      </c>
    </row>
    <row r="21" spans="2:22" s="402" customFormat="1" ht="13" x14ac:dyDescent="0.3">
      <c r="B21" s="404" t="str">
        <f>'Financials Yearly'!B34</f>
        <v>%</v>
      </c>
      <c r="C21" s="419" t="s">
        <v>296</v>
      </c>
      <c r="D21" s="249">
        <f>IF(ISERR(D20/D$9),"NA",D20/D$9)</f>
        <v>-0.35569105691056913</v>
      </c>
      <c r="E21" s="154">
        <f t="shared" ref="E21:K21" si="3">IF(ISERR(E20/E$9),"NA",E20/E$9)</f>
        <v>7.1089329904410692E-2</v>
      </c>
      <c r="F21" s="154">
        <f t="shared" si="3"/>
        <v>6.0574985180794308E-2</v>
      </c>
      <c r="G21" s="154">
        <f t="shared" si="3"/>
        <v>0.12338146141254026</v>
      </c>
      <c r="H21" s="154">
        <f t="shared" si="3"/>
        <v>0.21647696061598257</v>
      </c>
      <c r="I21" s="249">
        <f t="shared" si="3"/>
        <v>0.12932654674784003</v>
      </c>
      <c r="J21" s="154">
        <f t="shared" si="3"/>
        <v>0.13637742476251297</v>
      </c>
      <c r="K21" s="154">
        <f t="shared" si="3"/>
        <v>0.14582462686567163</v>
      </c>
      <c r="L21" s="154"/>
      <c r="M21" s="154"/>
      <c r="N21" s="249">
        <f>IF(ISERR(N20/N$9),"NA",N20/N$9)</f>
        <v>0.16001092870264841</v>
      </c>
      <c r="O21" s="249"/>
      <c r="P21" s="249">
        <f>IF(ISERR(P20/P$9),"NA",P20/P$9)</f>
        <v>0.14126007636826474</v>
      </c>
      <c r="Q21" s="154"/>
      <c r="R21" s="154"/>
      <c r="S21" s="154">
        <f>IF(ISERR(S20/S$9),"NA",S20/S$9)</f>
        <v>0.13461538461538461</v>
      </c>
      <c r="T21" s="154">
        <f>IF(ISERR(T20/T$9),"NA",T20/T$9)</f>
        <v>0.18333333333333332</v>
      </c>
      <c r="U21" s="403">
        <f>IF(ISERR(U20/U$9),"NA",U20/U$9)</f>
        <v>0.16071428571428573</v>
      </c>
      <c r="V21" s="403">
        <f>IF(ISERR(V20/V$9),"NA",V20/V$9)</f>
        <v>0.1513610992638196</v>
      </c>
    </row>
    <row r="22" spans="2:22" x14ac:dyDescent="0.25">
      <c r="B22" s="89"/>
      <c r="C22" s="123"/>
      <c r="D22" s="254"/>
      <c r="E22" s="151"/>
      <c r="F22" s="151"/>
      <c r="G22" s="151"/>
      <c r="H22" s="151"/>
      <c r="I22" s="254"/>
      <c r="J22" s="151"/>
      <c r="K22" s="151"/>
      <c r="L22" s="151"/>
      <c r="M22" s="151"/>
      <c r="N22" s="254"/>
      <c r="O22" s="254"/>
      <c r="P22" s="254"/>
      <c r="Q22" s="151"/>
      <c r="R22" s="151"/>
      <c r="S22" s="151"/>
      <c r="T22" s="151"/>
      <c r="U22" s="259"/>
      <c r="V22" s="259"/>
    </row>
    <row r="23" spans="2:22" x14ac:dyDescent="0.25">
      <c r="B23" s="35" t="str">
        <f>'Financials Yearly'!B36</f>
        <v>Depreciation &amp; Amortization</v>
      </c>
      <c r="C23" s="418" t="str">
        <f>Summary!$E$172</f>
        <v>USD</v>
      </c>
      <c r="D23" s="248">
        <f>'Financials Yearly'!E36</f>
        <v>-250000</v>
      </c>
      <c r="E23" s="148">
        <v>-62500</v>
      </c>
      <c r="F23" s="148">
        <v>-62500</v>
      </c>
      <c r="G23" s="148">
        <v>-62500</v>
      </c>
      <c r="H23" s="148">
        <v>-63000</v>
      </c>
      <c r="I23" s="248">
        <f>SUM(E23:H23)</f>
        <v>-250500</v>
      </c>
      <c r="J23" s="148">
        <f>S23</f>
        <v>-89362.5</v>
      </c>
      <c r="K23" s="148">
        <f>T23</f>
        <v>-89362.5</v>
      </c>
      <c r="L23" s="148"/>
      <c r="M23" s="148"/>
      <c r="N23" s="248">
        <f>SUM(G23:H23,J23:K23)</f>
        <v>-304225</v>
      </c>
      <c r="O23" s="248"/>
      <c r="P23" s="248">
        <f>SUM(J23:M23)</f>
        <v>-178725</v>
      </c>
      <c r="Q23" s="148"/>
      <c r="R23" s="148"/>
      <c r="S23" s="148">
        <f>T23</f>
        <v>-89362.5</v>
      </c>
      <c r="T23" s="148">
        <f>V23/4</f>
        <v>-89362.5</v>
      </c>
      <c r="U23" s="248">
        <f>SUM(Q23:T23)</f>
        <v>-178725</v>
      </c>
      <c r="V23" s="311">
        <f>-'Financials Yearly'!G408</f>
        <v>-357450</v>
      </c>
    </row>
    <row r="24" spans="2:22" x14ac:dyDescent="0.25">
      <c r="B24" s="162" t="str">
        <f>'Financials Yearly'!B37</f>
        <v>EBIT</v>
      </c>
      <c r="C24" s="420" t="str">
        <f>Summary!$E$172</f>
        <v>USD</v>
      </c>
      <c r="D24" s="255">
        <f>D20+SUM(D23:D23)</f>
        <v>-2000000</v>
      </c>
      <c r="E24" s="200">
        <f t="shared" ref="E24:P24" si="4">E20+SUM(E23:E23)</f>
        <v>10754</v>
      </c>
      <c r="F24" s="200">
        <f t="shared" si="4"/>
        <v>9033</v>
      </c>
      <c r="G24" s="200">
        <f t="shared" si="4"/>
        <v>98870.489999999991</v>
      </c>
      <c r="H24" s="200">
        <f t="shared" si="4"/>
        <v>307045.5</v>
      </c>
      <c r="I24" s="255">
        <f t="shared" si="4"/>
        <v>425702.99000000022</v>
      </c>
      <c r="J24" s="200">
        <f t="shared" si="4"/>
        <v>81477.5</v>
      </c>
      <c r="K24" s="200">
        <f t="shared" si="4"/>
        <v>106042.5</v>
      </c>
      <c r="L24" s="200"/>
      <c r="M24" s="200"/>
      <c r="N24" s="255">
        <f t="shared" si="4"/>
        <v>593435.99000000022</v>
      </c>
      <c r="O24" s="255"/>
      <c r="P24" s="255">
        <f t="shared" si="4"/>
        <v>187520</v>
      </c>
      <c r="Q24" s="200"/>
      <c r="R24" s="200"/>
      <c r="S24" s="200">
        <f>S20+SUM(S23:S23)</f>
        <v>85637.5</v>
      </c>
      <c r="T24" s="200">
        <f>T20+SUM(T23:T23)</f>
        <v>185637.5</v>
      </c>
      <c r="U24" s="260">
        <f>U20+SUM(U23:U23)</f>
        <v>271275</v>
      </c>
      <c r="V24" s="260">
        <f>V20+SUM(V23:V23)</f>
        <v>458795</v>
      </c>
    </row>
    <row r="25" spans="2:22" s="402" customFormat="1" ht="13" x14ac:dyDescent="0.3">
      <c r="B25" s="404" t="str">
        <f>'Financials Yearly'!B38</f>
        <v>%</v>
      </c>
      <c r="C25" s="419" t="s">
        <v>296</v>
      </c>
      <c r="D25" s="249"/>
      <c r="E25" s="154"/>
      <c r="F25" s="154"/>
      <c r="G25" s="154">
        <f>IF(ISERR(G24/G$9),"NA",G24/G$9)</f>
        <v>7.5594896853656127E-2</v>
      </c>
      <c r="H25" s="154">
        <f>IF(ISERR(H24/H$9),"NA",H24/H$9)</f>
        <v>0.179621902200715</v>
      </c>
      <c r="I25" s="249"/>
      <c r="J25" s="154">
        <f>IF(ISERR(J24/J$9),"NA",J24/J$9)</f>
        <v>6.5041510337670638E-2</v>
      </c>
      <c r="K25" s="154">
        <f>IF(ISERR(K24/K$9),"NA",K24/K$9)</f>
        <v>7.913619402985074E-2</v>
      </c>
      <c r="L25" s="154"/>
      <c r="M25" s="154"/>
      <c r="N25" s="249">
        <f>IF(ISERR(N24/N$9),"NA",N24/N$9)</f>
        <v>0.10578185411117798</v>
      </c>
      <c r="O25" s="249"/>
      <c r="P25" s="249">
        <f>IF(ISERR(P24/P$9),"NA",P24/P$9)</f>
        <v>7.2326146488216919E-2</v>
      </c>
      <c r="Q25" s="154"/>
      <c r="R25" s="154"/>
      <c r="S25" s="154">
        <f>IF(ISERR(S24/S$9),"NA",S24/S$9)</f>
        <v>6.5875000000000003E-2</v>
      </c>
      <c r="T25" s="154">
        <f>IF(ISERR(T24/T$9),"NA",T24/T$9)</f>
        <v>0.12375833333333333</v>
      </c>
      <c r="U25" s="403">
        <f>IF(ISERR(U24/U$9),"NA",U24/U$9)</f>
        <v>9.6883928571428565E-2</v>
      </c>
      <c r="V25" s="403">
        <f>IF(ISERR(V24/V$9),"NA",V24/V$9)</f>
        <v>8.5077048602740749E-2</v>
      </c>
    </row>
    <row r="26" spans="2:22" x14ac:dyDescent="0.25">
      <c r="B26" s="89"/>
      <c r="C26" s="123"/>
      <c r="D26" s="250"/>
      <c r="E26" s="99"/>
      <c r="F26" s="99"/>
      <c r="G26" s="99"/>
      <c r="H26" s="99"/>
      <c r="I26" s="250"/>
      <c r="J26" s="99"/>
      <c r="K26" s="99"/>
      <c r="L26" s="99"/>
      <c r="M26" s="99"/>
      <c r="N26" s="250"/>
      <c r="O26" s="250"/>
      <c r="P26" s="250"/>
      <c r="Q26" s="99"/>
      <c r="R26" s="99"/>
      <c r="S26" s="99"/>
      <c r="T26" s="99"/>
      <c r="U26" s="259"/>
      <c r="V26" s="259"/>
    </row>
    <row r="27" spans="2:22" x14ac:dyDescent="0.25">
      <c r="B27" s="35" t="str">
        <f>'Financials Yearly'!B40</f>
        <v>Interest payment</v>
      </c>
      <c r="C27" s="418" t="str">
        <f>Summary!$E$172</f>
        <v>USD</v>
      </c>
      <c r="D27" s="248">
        <f>'Financials Yearly'!E40</f>
        <v>-60000</v>
      </c>
      <c r="E27" s="148">
        <v>-7000</v>
      </c>
      <c r="F27" s="148">
        <v>-6500</v>
      </c>
      <c r="G27" s="148">
        <v>-7000</v>
      </c>
      <c r="H27" s="148">
        <v>-6500</v>
      </c>
      <c r="I27" s="248">
        <f>SUM(E27:H27)</f>
        <v>-27000</v>
      </c>
      <c r="J27" s="148">
        <v>-7000</v>
      </c>
      <c r="K27" s="148">
        <v>-7000</v>
      </c>
      <c r="L27" s="148"/>
      <c r="M27" s="148"/>
      <c r="N27" s="248">
        <f>SUM(G27:H27,J27:K27)</f>
        <v>-27500</v>
      </c>
      <c r="O27" s="248"/>
      <c r="P27" s="248">
        <f>SUM(J27:M27)</f>
        <v>-14000</v>
      </c>
      <c r="Q27" s="148"/>
      <c r="R27" s="148"/>
      <c r="S27" s="150">
        <f ca="1">T27</f>
        <v>-93562.5</v>
      </c>
      <c r="T27" s="150">
        <f ca="1">U27/2</f>
        <v>-93562.5</v>
      </c>
      <c r="U27" s="295">
        <f ca="1">'Financials Yearly'!G324</f>
        <v>-187125</v>
      </c>
      <c r="V27" s="257">
        <f ca="1">SUM(J27:M27)+SUM(Q27:T27)</f>
        <v>-201125</v>
      </c>
    </row>
    <row r="28" spans="2:22" x14ac:dyDescent="0.25">
      <c r="B28" s="162" t="str">
        <f>'Financials Yearly'!B41</f>
        <v>EBT</v>
      </c>
      <c r="C28" s="420" t="str">
        <f>Summary!$E$172</f>
        <v>USD</v>
      </c>
      <c r="D28" s="255">
        <f>D24+D27</f>
        <v>-2060000</v>
      </c>
      <c r="E28" s="200">
        <f>E24+E27</f>
        <v>3754</v>
      </c>
      <c r="F28" s="200">
        <f>F24+F27</f>
        <v>2533</v>
      </c>
      <c r="G28" s="200">
        <f t="shared" ref="G28:P28" si="5">G24+G27</f>
        <v>91870.489999999991</v>
      </c>
      <c r="H28" s="200">
        <f t="shared" si="5"/>
        <v>300545.5</v>
      </c>
      <c r="I28" s="255">
        <f>I24+I27</f>
        <v>398702.99000000022</v>
      </c>
      <c r="J28" s="200">
        <f t="shared" si="5"/>
        <v>74477.5</v>
      </c>
      <c r="K28" s="200">
        <f t="shared" si="5"/>
        <v>99042.5</v>
      </c>
      <c r="L28" s="200"/>
      <c r="M28" s="200"/>
      <c r="N28" s="255">
        <f t="shared" si="5"/>
        <v>565935.99000000022</v>
      </c>
      <c r="O28" s="255"/>
      <c r="P28" s="255">
        <f t="shared" si="5"/>
        <v>173520</v>
      </c>
      <c r="Q28" s="200"/>
      <c r="R28" s="200"/>
      <c r="S28" s="200">
        <f ca="1">S24+S27</f>
        <v>-7925</v>
      </c>
      <c r="T28" s="200">
        <f ca="1">T24+T27</f>
        <v>92075</v>
      </c>
      <c r="U28" s="260">
        <f ca="1">U24+U27</f>
        <v>84150</v>
      </c>
      <c r="V28" s="260">
        <f ca="1">V24+V27</f>
        <v>257670</v>
      </c>
    </row>
    <row r="29" spans="2:22" s="402" customFormat="1" ht="13" x14ac:dyDescent="0.3">
      <c r="B29" s="404" t="str">
        <f>'Financials Yearly'!B42</f>
        <v>%</v>
      </c>
      <c r="C29" s="419" t="s">
        <v>296</v>
      </c>
      <c r="D29" s="249">
        <f t="shared" ref="D29:K29" si="6">IF(ISERR(D28/D$9),"NA",D28/D$9)</f>
        <v>-0.41869918699186992</v>
      </c>
      <c r="E29" s="154">
        <f t="shared" si="6"/>
        <v>3.6430685622786162E-3</v>
      </c>
      <c r="F29" s="154">
        <f t="shared" si="6"/>
        <v>2.1449741722415106E-3</v>
      </c>
      <c r="G29" s="154">
        <f t="shared" si="6"/>
        <v>7.0242801623061096E-2</v>
      </c>
      <c r="H29" s="154">
        <f t="shared" si="6"/>
        <v>0.17581939617374293</v>
      </c>
      <c r="I29" s="249">
        <f t="shared" si="6"/>
        <v>7.6253553499872284E-2</v>
      </c>
      <c r="J29" s="154">
        <f t="shared" si="6"/>
        <v>5.945358026662409E-2</v>
      </c>
      <c r="K29" s="154">
        <f t="shared" si="6"/>
        <v>7.3912313432835816E-2</v>
      </c>
      <c r="L29" s="154"/>
      <c r="M29" s="154"/>
      <c r="N29" s="249">
        <f>IF(ISERR(N28/N$9),"NA",N28/N$9)</f>
        <v>0.10087989157928402</v>
      </c>
      <c r="O29" s="249"/>
      <c r="P29" s="249">
        <f>IF(ISERR(P28/P$9),"NA",P28/P$9)</f>
        <v>6.6926370193234858E-2</v>
      </c>
      <c r="Q29" s="154"/>
      <c r="R29" s="154"/>
      <c r="S29" s="154">
        <f ca="1">IF(ISERR(S28/S$9),"NA",S28/S$9)</f>
        <v>-6.0961538461538458E-3</v>
      </c>
      <c r="T29" s="154">
        <f ca="1">IF(ISERR(T28/T$9),"NA",T28/T$9)</f>
        <v>6.1383333333333331E-2</v>
      </c>
      <c r="U29" s="403">
        <f ca="1">IF(ISERR(U28/U$9),"NA",U28/U$9)</f>
        <v>3.0053571428571429E-2</v>
      </c>
      <c r="V29" s="403">
        <f ca="1">IF(ISERR(V28/V$9),"NA",V28/V$9)</f>
        <v>4.7781259851280435E-2</v>
      </c>
    </row>
    <row r="30" spans="2:22" x14ac:dyDescent="0.25">
      <c r="B30" s="35"/>
      <c r="C30" s="123"/>
      <c r="D30" s="250"/>
      <c r="E30" s="99"/>
      <c r="F30" s="99"/>
      <c r="G30" s="99"/>
      <c r="H30" s="99"/>
      <c r="I30" s="250"/>
      <c r="J30" s="99"/>
      <c r="K30" s="99"/>
      <c r="L30" s="99"/>
      <c r="M30" s="99"/>
      <c r="N30" s="250"/>
      <c r="O30" s="250"/>
      <c r="P30" s="250"/>
      <c r="Q30" s="99"/>
      <c r="R30" s="99"/>
      <c r="S30" s="99"/>
      <c r="T30" s="99"/>
      <c r="U30" s="261"/>
      <c r="V30" s="261"/>
    </row>
    <row r="31" spans="2:22" ht="13" x14ac:dyDescent="0.3">
      <c r="B31" s="35" t="str">
        <f>'Financials Yearly'!B44</f>
        <v>Tax rate</v>
      </c>
      <c r="C31" s="123" t="s">
        <v>296</v>
      </c>
      <c r="D31" s="256"/>
      <c r="E31" s="202"/>
      <c r="F31" s="202"/>
      <c r="G31" s="202"/>
      <c r="H31" s="202"/>
      <c r="I31" s="256"/>
      <c r="J31" s="202"/>
      <c r="K31" s="202"/>
      <c r="L31" s="202"/>
      <c r="M31" s="202"/>
      <c r="N31" s="256">
        <f>IF(ISERR(-N32/N28),"NA",-N32/N28)</f>
        <v>0.10601905703152043</v>
      </c>
      <c r="O31" s="256"/>
      <c r="P31" s="256"/>
      <c r="Q31" s="202"/>
      <c r="R31" s="202"/>
      <c r="S31" s="202"/>
      <c r="T31" s="202"/>
      <c r="U31" s="262"/>
      <c r="V31" s="262">
        <f>Summary!P180</f>
        <v>0.25</v>
      </c>
    </row>
    <row r="32" spans="2:22" x14ac:dyDescent="0.25">
      <c r="B32" s="35" t="str">
        <f>'Financials Yearly'!B45</f>
        <v>Taxes</v>
      </c>
      <c r="C32" s="418" t="str">
        <f>Summary!$E$172</f>
        <v>USD</v>
      </c>
      <c r="D32" s="248">
        <f>'Financials Yearly'!E45</f>
        <v>-140000</v>
      </c>
      <c r="E32" s="148"/>
      <c r="F32" s="148"/>
      <c r="G32" s="148"/>
      <c r="H32" s="148">
        <v>-60000</v>
      </c>
      <c r="I32" s="248">
        <f>SUM(E32:H32)</f>
        <v>-60000</v>
      </c>
      <c r="J32" s="148"/>
      <c r="K32" s="148"/>
      <c r="L32" s="148"/>
      <c r="M32" s="148"/>
      <c r="N32" s="248">
        <f>SUM(G32:H32,J32:K32)</f>
        <v>-60000</v>
      </c>
      <c r="O32" s="248"/>
      <c r="P32" s="248">
        <f>SUM(J32:M32)</f>
        <v>0</v>
      </c>
      <c r="Q32" s="148"/>
      <c r="R32" s="148"/>
      <c r="S32" s="148"/>
      <c r="T32" s="148">
        <f ca="1">V32</f>
        <v>-64417.5</v>
      </c>
      <c r="U32" s="248">
        <f ca="1">SUM(Q32:T32)</f>
        <v>-64417.5</v>
      </c>
      <c r="V32" s="248">
        <f ca="1">IF(V28&gt;0,-V28*V31,0)</f>
        <v>-64417.5</v>
      </c>
    </row>
    <row r="33" spans="2:29" x14ac:dyDescent="0.25">
      <c r="B33" s="162" t="str">
        <f>'Financials Yearly'!B46</f>
        <v>Net Income</v>
      </c>
      <c r="C33" s="420" t="str">
        <f>Summary!$E$172</f>
        <v>USD</v>
      </c>
      <c r="D33" s="255">
        <f>D28+D32</f>
        <v>-2200000</v>
      </c>
      <c r="E33" s="200">
        <f>E28+E32</f>
        <v>3754</v>
      </c>
      <c r="F33" s="200">
        <f>F28+F32</f>
        <v>2533</v>
      </c>
      <c r="G33" s="200">
        <f t="shared" ref="G33:P33" si="7">G28+G32</f>
        <v>91870.489999999991</v>
      </c>
      <c r="H33" s="200">
        <f t="shared" si="7"/>
        <v>240545.5</v>
      </c>
      <c r="I33" s="255">
        <f>I28+I32</f>
        <v>338702.99000000022</v>
      </c>
      <c r="J33" s="200">
        <f t="shared" si="7"/>
        <v>74477.5</v>
      </c>
      <c r="K33" s="200">
        <f t="shared" si="7"/>
        <v>99042.5</v>
      </c>
      <c r="L33" s="200"/>
      <c r="M33" s="200"/>
      <c r="N33" s="255">
        <f t="shared" si="7"/>
        <v>505935.99000000022</v>
      </c>
      <c r="O33" s="255"/>
      <c r="P33" s="255">
        <f t="shared" si="7"/>
        <v>173520</v>
      </c>
      <c r="Q33" s="200"/>
      <c r="R33" s="200"/>
      <c r="S33" s="200">
        <f ca="1">S28+S32</f>
        <v>-7925</v>
      </c>
      <c r="T33" s="200">
        <f ca="1">T28+T32</f>
        <v>27657.5</v>
      </c>
      <c r="U33" s="271">
        <f ca="1">U28+U32</f>
        <v>19732.5</v>
      </c>
      <c r="V33" s="271">
        <f ca="1">V28+V32</f>
        <v>193252.5</v>
      </c>
    </row>
    <row r="34" spans="2:29" s="402" customFormat="1" ht="13" x14ac:dyDescent="0.3">
      <c r="B34" s="404" t="str">
        <f>'Financials Yearly'!B47</f>
        <v>%</v>
      </c>
      <c r="C34" s="419" t="s">
        <v>296</v>
      </c>
      <c r="D34" s="400">
        <f t="shared" ref="D34:K34" si="8">IF(ISERR(D33/D$9),"NA",D33/D$9)</f>
        <v>-0.44715447154471544</v>
      </c>
      <c r="E34" s="401">
        <f t="shared" si="8"/>
        <v>3.6430685622786162E-3</v>
      </c>
      <c r="F34" s="401">
        <f t="shared" si="8"/>
        <v>2.1449741722415106E-3</v>
      </c>
      <c r="G34" s="401">
        <f t="shared" si="8"/>
        <v>7.0242801623061096E-2</v>
      </c>
      <c r="H34" s="401">
        <f t="shared" si="8"/>
        <v>0.14071934054015475</v>
      </c>
      <c r="I34" s="400">
        <f t="shared" si="8"/>
        <v>6.4778311716527912E-2</v>
      </c>
      <c r="J34" s="401">
        <f t="shared" si="8"/>
        <v>5.945358026662409E-2</v>
      </c>
      <c r="K34" s="401">
        <f t="shared" si="8"/>
        <v>7.3912313432835816E-2</v>
      </c>
      <c r="L34" s="401"/>
      <c r="M34" s="401"/>
      <c r="N34" s="400">
        <f>IF(ISERR(N33/N$9),"NA",N33/N$9)</f>
        <v>9.0184700600606321E-2</v>
      </c>
      <c r="O34" s="400"/>
      <c r="P34" s="400">
        <f>IF(ISERR(P33/P$9),"NA",P33/P$9)</f>
        <v>6.6926370193234858E-2</v>
      </c>
      <c r="Q34" s="401"/>
      <c r="R34" s="401"/>
      <c r="S34" s="401">
        <f ca="1">IF(ISERR(S33/S$9),"NA",S33/S$9)</f>
        <v>-6.0961538461538458E-3</v>
      </c>
      <c r="T34" s="401">
        <f ca="1">IF(ISERR(T33/T$9),"NA",T33/T$9)</f>
        <v>1.8438333333333334E-2</v>
      </c>
      <c r="U34" s="400">
        <f ca="1">IF(ISERR(U33/U$9),"NA",U33/U$9)</f>
        <v>7.0473214285714288E-3</v>
      </c>
      <c r="V34" s="400">
        <f ca="1">IF(ISERR(V33/V$9),"NA",V33/V$9)</f>
        <v>3.5835944888460328E-2</v>
      </c>
    </row>
    <row r="35" spans="2:29" x14ac:dyDescent="0.25">
      <c r="B35" s="89"/>
      <c r="C35" s="123"/>
      <c r="D35" s="35"/>
      <c r="E35" s="35"/>
      <c r="F35" s="35"/>
      <c r="G35" s="35"/>
      <c r="H35" s="35"/>
      <c r="I35" s="35"/>
      <c r="J35" s="35"/>
      <c r="K35" s="35"/>
      <c r="L35" s="35"/>
      <c r="M35" s="35"/>
      <c r="N35" s="35"/>
      <c r="O35" s="35"/>
      <c r="P35" s="35"/>
      <c r="Q35" s="35"/>
      <c r="R35" s="35"/>
      <c r="S35" s="35"/>
      <c r="T35" s="35"/>
      <c r="U35" s="191"/>
      <c r="V35" s="191"/>
    </row>
    <row r="36" spans="2:29" x14ac:dyDescent="0.25">
      <c r="B36" s="89"/>
      <c r="C36" s="123"/>
      <c r="D36" s="35"/>
      <c r="E36" s="35"/>
      <c r="F36" s="35"/>
      <c r="G36" s="35"/>
      <c r="H36" s="35"/>
      <c r="I36" s="35"/>
      <c r="J36" s="35"/>
      <c r="K36" s="35"/>
      <c r="L36" s="35"/>
      <c r="M36" s="35"/>
      <c r="N36" s="35"/>
      <c r="O36" s="35"/>
      <c r="P36" s="35"/>
      <c r="Q36" s="35"/>
      <c r="R36" s="35"/>
      <c r="S36" s="35"/>
      <c r="T36" s="35"/>
      <c r="U36" s="191"/>
      <c r="V36" s="191"/>
    </row>
    <row r="37" spans="2:29" x14ac:dyDescent="0.25">
      <c r="B37" s="89"/>
      <c r="C37" s="123"/>
      <c r="D37" s="35"/>
      <c r="E37" s="35"/>
      <c r="F37" s="35"/>
      <c r="G37" s="35"/>
      <c r="H37" s="35"/>
      <c r="I37" s="35"/>
      <c r="J37" s="35"/>
      <c r="K37" s="35"/>
      <c r="L37" s="35"/>
      <c r="M37" s="35"/>
      <c r="N37" s="35"/>
      <c r="O37" s="35"/>
      <c r="P37" s="35"/>
      <c r="Q37" s="35"/>
      <c r="R37" s="35"/>
      <c r="S37" s="35"/>
      <c r="T37" s="35"/>
      <c r="U37" s="191"/>
      <c r="V37" s="191"/>
    </row>
    <row r="38" spans="2:29" x14ac:dyDescent="0.25">
      <c r="B38" s="89"/>
      <c r="C38" s="123"/>
      <c r="D38" s="35"/>
      <c r="E38" s="35"/>
      <c r="F38" s="35"/>
      <c r="G38" s="35"/>
      <c r="H38" s="35"/>
      <c r="I38" s="35"/>
      <c r="J38" s="35"/>
      <c r="K38" s="35"/>
      <c r="L38" s="35"/>
      <c r="M38" s="35"/>
      <c r="N38" s="35"/>
      <c r="O38" s="35"/>
      <c r="P38" s="35"/>
      <c r="Q38" s="35"/>
      <c r="R38" s="35"/>
      <c r="S38" s="35"/>
      <c r="T38" s="35"/>
      <c r="U38" s="35"/>
      <c r="V38" s="191"/>
      <c r="W38" s="191"/>
      <c r="X38" s="191"/>
      <c r="Y38" s="191"/>
      <c r="Z38" s="191"/>
      <c r="AA38" s="191"/>
      <c r="AB38" s="191"/>
      <c r="AC38" s="191"/>
    </row>
    <row r="39" spans="2:29" ht="15.5" x14ac:dyDescent="0.35">
      <c r="B39" s="31" t="str">
        <f>"All amounts in "&amp;Summary!$E$172</f>
        <v>All amounts in USD</v>
      </c>
      <c r="C39" s="421"/>
      <c r="D39" s="31"/>
      <c r="W39" s="191"/>
      <c r="X39" s="191"/>
      <c r="Y39" s="191"/>
      <c r="Z39" s="191"/>
      <c r="AA39" s="191"/>
      <c r="AB39" s="191"/>
      <c r="AC39" s="191"/>
    </row>
    <row r="40" spans="2:29" ht="15.5" x14ac:dyDescent="0.35">
      <c r="B40" s="31"/>
      <c r="C40" s="421"/>
      <c r="D40" s="31"/>
      <c r="E40" s="224" t="s">
        <v>105</v>
      </c>
      <c r="F40" s="224"/>
      <c r="G40" s="225"/>
      <c r="H40" s="225"/>
      <c r="I40" s="225"/>
      <c r="J40" s="225"/>
      <c r="K40" s="225"/>
      <c r="L40" s="225"/>
      <c r="M40" s="225"/>
      <c r="N40" s="225"/>
      <c r="O40" s="226" t="s">
        <v>106</v>
      </c>
      <c r="P40" s="223"/>
      <c r="Q40" s="223"/>
      <c r="R40" s="223"/>
      <c r="S40" s="223"/>
      <c r="T40" s="223"/>
      <c r="U40" s="223"/>
      <c r="V40" s="223"/>
      <c r="W40" s="191"/>
      <c r="X40" s="191"/>
      <c r="Y40" s="191"/>
      <c r="Z40" s="191"/>
      <c r="AA40" s="191"/>
      <c r="AB40" s="191"/>
      <c r="AC40" s="191"/>
    </row>
    <row r="41" spans="2:29" ht="15.5" x14ac:dyDescent="0.35">
      <c r="B41" s="52" t="s">
        <v>284</v>
      </c>
      <c r="C41" s="414" t="s">
        <v>450</v>
      </c>
      <c r="D41" s="52">
        <f ca="1">'Financials Yearly'!E6</f>
        <v>2018</v>
      </c>
      <c r="E41" s="222" t="str">
        <f t="shared" ref="E41:M41" si="9">E$7</f>
        <v>Q1</v>
      </c>
      <c r="F41" s="222" t="str">
        <f t="shared" si="9"/>
        <v>Q2</v>
      </c>
      <c r="G41" s="222" t="str">
        <f t="shared" si="9"/>
        <v>Q3</v>
      </c>
      <c r="H41" s="222" t="str">
        <f t="shared" si="9"/>
        <v>Q4</v>
      </c>
      <c r="I41" s="111">
        <f t="shared" ca="1" si="9"/>
        <v>2019</v>
      </c>
      <c r="J41" s="222" t="str">
        <f t="shared" si="9"/>
        <v>Q1</v>
      </c>
      <c r="K41" s="222" t="str">
        <f t="shared" si="9"/>
        <v>Q2</v>
      </c>
      <c r="L41" s="222" t="str">
        <f t="shared" si="9"/>
        <v>Q3</v>
      </c>
      <c r="M41" s="222" t="str">
        <f t="shared" si="9"/>
        <v>Q4</v>
      </c>
      <c r="N41" s="407" t="s">
        <v>90</v>
      </c>
      <c r="O41" s="428" t="s">
        <v>10</v>
      </c>
      <c r="P41" s="407" t="s">
        <v>182</v>
      </c>
      <c r="Q41" s="222" t="str">
        <f t="shared" ref="Q41:V41" si="10">Q$7</f>
        <v>Q1</v>
      </c>
      <c r="R41" s="222" t="str">
        <f t="shared" si="10"/>
        <v>Q2</v>
      </c>
      <c r="S41" s="222" t="str">
        <f t="shared" si="10"/>
        <v>Q3</v>
      </c>
      <c r="T41" s="222" t="str">
        <f t="shared" si="10"/>
        <v>Q4</v>
      </c>
      <c r="U41" s="407" t="str">
        <f t="shared" si="10"/>
        <v>Post period</v>
      </c>
      <c r="V41" s="70">
        <f t="shared" ca="1" si="10"/>
        <v>2020</v>
      </c>
      <c r="W41" s="191"/>
      <c r="X41" s="191"/>
      <c r="Y41" s="191"/>
      <c r="Z41" s="191"/>
      <c r="AA41" s="191"/>
      <c r="AB41" s="191"/>
      <c r="AC41" s="191"/>
    </row>
    <row r="42" spans="2:29" ht="15.5" x14ac:dyDescent="0.35">
      <c r="B42" s="52"/>
      <c r="C42" s="414"/>
      <c r="D42" s="52"/>
      <c r="E42" s="222"/>
      <c r="F42" s="222"/>
      <c r="G42" s="222"/>
      <c r="H42" s="222"/>
      <c r="I42" s="111"/>
      <c r="J42" s="222"/>
      <c r="K42" s="222"/>
      <c r="L42" s="222"/>
      <c r="M42" s="222"/>
      <c r="N42" s="408">
        <f ca="1">Summary!E131</f>
        <v>43099</v>
      </c>
      <c r="O42" s="429" t="s">
        <v>11</v>
      </c>
      <c r="P42" s="408">
        <f ca="1">Summary!E132</f>
        <v>42550</v>
      </c>
      <c r="Q42" s="222"/>
      <c r="R42" s="222"/>
      <c r="S42" s="222"/>
      <c r="T42" s="222"/>
      <c r="U42" s="408">
        <f ca="1">Summary!E133</f>
        <v>43099</v>
      </c>
      <c r="V42" s="168">
        <f ca="1">U42</f>
        <v>43099</v>
      </c>
      <c r="W42" s="191"/>
      <c r="X42" s="191"/>
      <c r="Y42" s="191"/>
      <c r="Z42" s="191"/>
      <c r="AA42" s="191"/>
      <c r="AB42" s="191"/>
      <c r="AC42" s="191"/>
    </row>
    <row r="43" spans="2:29" x14ac:dyDescent="0.25">
      <c r="B43" s="34"/>
      <c r="C43" s="422"/>
      <c r="D43" s="264"/>
      <c r="E43" s="35"/>
      <c r="F43" s="35"/>
      <c r="G43" s="35"/>
      <c r="H43" s="35"/>
      <c r="I43" s="264"/>
      <c r="J43" s="35"/>
      <c r="K43" s="35"/>
      <c r="L43" s="35"/>
      <c r="M43" s="35"/>
      <c r="N43" s="264"/>
      <c r="O43" s="35"/>
      <c r="P43" s="261"/>
      <c r="Q43" s="35"/>
      <c r="R43" s="35"/>
      <c r="S43" s="35"/>
      <c r="T43" s="35"/>
      <c r="U43" s="264"/>
      <c r="V43" s="264" t="s">
        <v>350</v>
      </c>
      <c r="W43" s="191"/>
      <c r="X43" s="191"/>
      <c r="Y43" s="191"/>
      <c r="Z43" s="191"/>
      <c r="AA43" s="191"/>
      <c r="AB43" s="191"/>
      <c r="AC43" s="191"/>
    </row>
    <row r="44" spans="2:29" x14ac:dyDescent="0.25">
      <c r="B44" s="35" t="s">
        <v>151</v>
      </c>
      <c r="C44" s="418" t="str">
        <f>Summary!$E$172</f>
        <v>USD</v>
      </c>
      <c r="D44" s="280">
        <f>'Financials Yearly'!E55</f>
        <v>495000</v>
      </c>
      <c r="E44" s="90">
        <f>E92</f>
        <v>361254</v>
      </c>
      <c r="F44" s="90">
        <f>F92</f>
        <v>226287</v>
      </c>
      <c r="G44" s="90">
        <f>G92</f>
        <v>180657.49</v>
      </c>
      <c r="H44" s="90">
        <f>H92</f>
        <v>384202.99</v>
      </c>
      <c r="I44" s="265">
        <f t="shared" ref="I44:I49" si="11">H44</f>
        <v>384202.99</v>
      </c>
      <c r="J44" s="90">
        <f>J92</f>
        <v>348042.99</v>
      </c>
      <c r="K44" s="90">
        <f>K92</f>
        <v>236447.99</v>
      </c>
      <c r="L44" s="141"/>
      <c r="M44" s="141"/>
      <c r="N44" s="265">
        <f>K44</f>
        <v>236447.99</v>
      </c>
      <c r="O44" s="283">
        <f>Summary!E145</f>
        <v>1600000</v>
      </c>
      <c r="P44" s="265">
        <f t="shared" ref="P44:P49" si="12">SUM(N44:O44)</f>
        <v>1836447.99</v>
      </c>
      <c r="Q44" s="287"/>
      <c r="R44" s="287"/>
      <c r="S44" s="287">
        <f ca="1">S92</f>
        <v>1867885.49</v>
      </c>
      <c r="T44" s="287">
        <f ca="1">T92</f>
        <v>1847941.865</v>
      </c>
      <c r="U44" s="265">
        <f t="shared" ref="U44:V49" ca="1" si="13">T44</f>
        <v>1847941.865</v>
      </c>
      <c r="V44" s="258">
        <f t="shared" ca="1" si="13"/>
        <v>1847941.865</v>
      </c>
      <c r="W44" s="191"/>
      <c r="X44" s="191"/>
      <c r="Y44" s="191"/>
      <c r="Z44" s="191"/>
      <c r="AA44" s="191"/>
      <c r="AB44" s="191"/>
      <c r="AC44" s="191"/>
    </row>
    <row r="45" spans="2:29" x14ac:dyDescent="0.25">
      <c r="B45" s="35" t="s">
        <v>152</v>
      </c>
      <c r="C45" s="418" t="str">
        <f>Summary!$E$172</f>
        <v>USD</v>
      </c>
      <c r="D45" s="280">
        <f>'Financials Yearly'!E56</f>
        <v>500000</v>
      </c>
      <c r="E45" s="141">
        <v>500000</v>
      </c>
      <c r="F45" s="141">
        <v>500000</v>
      </c>
      <c r="G45" s="141">
        <v>500000</v>
      </c>
      <c r="H45" s="141">
        <v>500000</v>
      </c>
      <c r="I45" s="265">
        <f t="shared" si="11"/>
        <v>500000</v>
      </c>
      <c r="J45" s="141">
        <v>500000</v>
      </c>
      <c r="K45" s="141">
        <v>500000</v>
      </c>
      <c r="L45" s="141"/>
      <c r="M45" s="141"/>
      <c r="N45" s="265">
        <f>K45</f>
        <v>500000</v>
      </c>
      <c r="O45" s="270">
        <v>-100000</v>
      </c>
      <c r="P45" s="265">
        <f t="shared" si="12"/>
        <v>400000</v>
      </c>
      <c r="Q45" s="287"/>
      <c r="R45" s="287"/>
      <c r="S45" s="141">
        <v>400000</v>
      </c>
      <c r="T45" s="141">
        <v>400000</v>
      </c>
      <c r="U45" s="265">
        <f t="shared" si="13"/>
        <v>400000</v>
      </c>
      <c r="V45" s="258">
        <f t="shared" si="13"/>
        <v>400000</v>
      </c>
      <c r="W45" s="191"/>
      <c r="X45" s="191"/>
      <c r="Y45" s="191"/>
      <c r="Z45" s="191"/>
      <c r="AA45" s="191"/>
      <c r="AB45" s="191"/>
      <c r="AC45" s="191"/>
    </row>
    <row r="46" spans="2:29" x14ac:dyDescent="0.25">
      <c r="B46" s="35" t="s">
        <v>153</v>
      </c>
      <c r="C46" s="418" t="str">
        <f>Summary!$E$172</f>
        <v>USD</v>
      </c>
      <c r="D46" s="280">
        <f>'Financials Yearly'!E57</f>
        <v>500000</v>
      </c>
      <c r="E46" s="141">
        <v>500000</v>
      </c>
      <c r="F46" s="141">
        <v>500000</v>
      </c>
      <c r="G46" s="141">
        <v>500000</v>
      </c>
      <c r="H46" s="141">
        <v>500000</v>
      </c>
      <c r="I46" s="265">
        <f t="shared" si="11"/>
        <v>500000</v>
      </c>
      <c r="J46" s="141">
        <v>500000</v>
      </c>
      <c r="K46" s="141">
        <v>500000</v>
      </c>
      <c r="L46" s="141"/>
      <c r="M46" s="141"/>
      <c r="N46" s="265">
        <f>K46</f>
        <v>500000</v>
      </c>
      <c r="O46" s="270">
        <v>0</v>
      </c>
      <c r="P46" s="265">
        <f t="shared" si="12"/>
        <v>500000</v>
      </c>
      <c r="Q46" s="287"/>
      <c r="R46" s="287"/>
      <c r="S46" s="141">
        <v>500000</v>
      </c>
      <c r="T46" s="141">
        <v>500000</v>
      </c>
      <c r="U46" s="265">
        <f t="shared" si="13"/>
        <v>500000</v>
      </c>
      <c r="V46" s="258">
        <f t="shared" si="13"/>
        <v>500000</v>
      </c>
      <c r="W46" s="191"/>
      <c r="X46" s="191"/>
      <c r="Y46" s="191"/>
      <c r="Z46" s="191"/>
      <c r="AA46" s="191"/>
      <c r="AB46" s="191"/>
      <c r="AC46" s="191"/>
    </row>
    <row r="47" spans="2:29" x14ac:dyDescent="0.25">
      <c r="B47" s="25" t="s">
        <v>409</v>
      </c>
      <c r="C47" s="418" t="str">
        <f>Summary!$E$172</f>
        <v>USD</v>
      </c>
      <c r="D47" s="280">
        <f>'Financials Yearly'!E58</f>
        <v>500000</v>
      </c>
      <c r="E47" s="141">
        <v>500000</v>
      </c>
      <c r="F47" s="141">
        <v>500000</v>
      </c>
      <c r="G47" s="141">
        <v>500000</v>
      </c>
      <c r="H47" s="141">
        <v>500000</v>
      </c>
      <c r="I47" s="265">
        <f t="shared" si="11"/>
        <v>500000</v>
      </c>
      <c r="J47" s="141">
        <v>500000</v>
      </c>
      <c r="K47" s="141">
        <v>500000</v>
      </c>
      <c r="L47" s="141"/>
      <c r="M47" s="141"/>
      <c r="N47" s="265">
        <f>K47</f>
        <v>500000</v>
      </c>
      <c r="O47" s="270">
        <v>0</v>
      </c>
      <c r="P47" s="265">
        <f t="shared" si="12"/>
        <v>500000</v>
      </c>
      <c r="Q47" s="287"/>
      <c r="R47" s="287"/>
      <c r="S47" s="141">
        <v>500000</v>
      </c>
      <c r="T47" s="141">
        <v>500000</v>
      </c>
      <c r="U47" s="265">
        <f t="shared" si="13"/>
        <v>500000</v>
      </c>
      <c r="V47" s="258">
        <f t="shared" si="13"/>
        <v>500000</v>
      </c>
      <c r="W47" s="191"/>
      <c r="X47" s="191"/>
      <c r="Y47" s="191"/>
      <c r="Z47" s="191"/>
      <c r="AA47" s="191"/>
      <c r="AB47" s="191"/>
      <c r="AC47" s="191"/>
    </row>
    <row r="48" spans="2:29" x14ac:dyDescent="0.25">
      <c r="B48" s="25" t="s">
        <v>0</v>
      </c>
      <c r="C48" s="418"/>
      <c r="D48" s="280">
        <f>'Financials Yearly'!E59</f>
        <v>0</v>
      </c>
      <c r="E48" s="141"/>
      <c r="F48" s="141"/>
      <c r="G48" s="141"/>
      <c r="H48" s="90"/>
      <c r="I48" s="265">
        <f t="shared" si="11"/>
        <v>0</v>
      </c>
      <c r="J48" s="141"/>
      <c r="K48" s="141"/>
      <c r="L48" s="141"/>
      <c r="M48" s="141"/>
      <c r="N48" s="266"/>
      <c r="O48" s="285">
        <f>Summary!K145</f>
        <v>1599544.4350000017</v>
      </c>
      <c r="P48" s="265">
        <f t="shared" si="12"/>
        <v>1599544.4350000017</v>
      </c>
      <c r="Q48" s="287"/>
      <c r="R48" s="287"/>
      <c r="S48" s="141">
        <f>P48</f>
        <v>1599544.4350000017</v>
      </c>
      <c r="T48" s="141">
        <f>S48</f>
        <v>1599544.4350000017</v>
      </c>
      <c r="U48" s="265">
        <f t="shared" si="13"/>
        <v>1599544.4350000017</v>
      </c>
      <c r="V48" s="258">
        <f t="shared" si="13"/>
        <v>1599544.4350000017</v>
      </c>
      <c r="W48" s="191"/>
      <c r="X48" s="191"/>
      <c r="Y48" s="191"/>
      <c r="Z48" s="191"/>
      <c r="AA48" s="191"/>
      <c r="AB48" s="191"/>
      <c r="AC48" s="191"/>
    </row>
    <row r="49" spans="2:29" x14ac:dyDescent="0.25">
      <c r="B49" s="91" t="s">
        <v>203</v>
      </c>
      <c r="C49" s="416" t="str">
        <f>Summary!$E$172</f>
        <v>USD</v>
      </c>
      <c r="D49" s="281">
        <f>'Financials Yearly'!E60</f>
        <v>1325000</v>
      </c>
      <c r="E49" s="206">
        <f>D49-E79-E69</f>
        <v>1462500</v>
      </c>
      <c r="F49" s="206">
        <f>E49-F79-F69</f>
        <v>1600000</v>
      </c>
      <c r="G49" s="206">
        <f>F49-G79-G69</f>
        <v>1737500</v>
      </c>
      <c r="H49" s="206">
        <f>G49-H79-H69</f>
        <v>1774500</v>
      </c>
      <c r="I49" s="267">
        <f t="shared" si="11"/>
        <v>1774500</v>
      </c>
      <c r="J49" s="206">
        <f>I49-J79-J69</f>
        <v>1885137.5</v>
      </c>
      <c r="K49" s="206">
        <f>J49-K79-K69</f>
        <v>2095775</v>
      </c>
      <c r="L49" s="263"/>
      <c r="M49" s="263"/>
      <c r="N49" s="267">
        <f>K49</f>
        <v>2095775</v>
      </c>
      <c r="O49" s="263"/>
      <c r="P49" s="267">
        <f t="shared" si="12"/>
        <v>2095775</v>
      </c>
      <c r="Q49" s="288"/>
      <c r="R49" s="289"/>
      <c r="S49" s="221">
        <f>$P49-S79-S69</f>
        <v>2056412.5</v>
      </c>
      <c r="T49" s="206">
        <f>S49-T79-T69</f>
        <v>2017050</v>
      </c>
      <c r="U49" s="267">
        <f t="shared" si="13"/>
        <v>2017050</v>
      </c>
      <c r="V49" s="309">
        <f t="shared" si="13"/>
        <v>2017050</v>
      </c>
      <c r="W49" s="191"/>
      <c r="X49" s="191"/>
      <c r="Y49" s="191"/>
      <c r="Z49" s="191"/>
      <c r="AA49" s="191"/>
      <c r="AB49" s="191"/>
      <c r="AC49" s="191"/>
    </row>
    <row r="50" spans="2:29" x14ac:dyDescent="0.25">
      <c r="B50" s="35" t="s">
        <v>97</v>
      </c>
      <c r="C50" s="418" t="str">
        <f>Summary!$E$172</f>
        <v>USD</v>
      </c>
      <c r="D50" s="265">
        <f t="shared" ref="D50:P50" si="14">SUM(D44:D49)</f>
        <v>3320000</v>
      </c>
      <c r="E50" s="90">
        <f t="shared" si="14"/>
        <v>3323754</v>
      </c>
      <c r="F50" s="90">
        <f t="shared" si="14"/>
        <v>3326287</v>
      </c>
      <c r="G50" s="90">
        <f t="shared" si="14"/>
        <v>3418157.49</v>
      </c>
      <c r="H50" s="105">
        <f t="shared" si="14"/>
        <v>3658702.99</v>
      </c>
      <c r="I50" s="265">
        <f t="shared" si="14"/>
        <v>3658702.99</v>
      </c>
      <c r="J50" s="90">
        <f t="shared" si="14"/>
        <v>3733180.49</v>
      </c>
      <c r="K50" s="90">
        <f t="shared" si="14"/>
        <v>3832222.99</v>
      </c>
      <c r="L50" s="90">
        <f t="shared" si="14"/>
        <v>0</v>
      </c>
      <c r="M50" s="90">
        <f t="shared" si="14"/>
        <v>0</v>
      </c>
      <c r="N50" s="265">
        <f t="shared" si="14"/>
        <v>3832222.99</v>
      </c>
      <c r="O50" s="90">
        <f t="shared" si="14"/>
        <v>3099544.4350000015</v>
      </c>
      <c r="P50" s="265">
        <f t="shared" si="14"/>
        <v>6931767.4250000017</v>
      </c>
      <c r="Q50" s="90"/>
      <c r="R50" s="90"/>
      <c r="S50" s="90">
        <f ca="1">SUM(S44:S49)</f>
        <v>6923842.4250000017</v>
      </c>
      <c r="T50" s="90">
        <f ca="1">SUM(T44:T49)</f>
        <v>6864536.3000000017</v>
      </c>
      <c r="U50" s="265">
        <f ca="1">SUM(U44:U49)</f>
        <v>6864536.3000000017</v>
      </c>
      <c r="V50" s="258">
        <f ca="1">U50</f>
        <v>6864536.3000000017</v>
      </c>
      <c r="W50" s="191"/>
      <c r="X50" s="191"/>
      <c r="Y50" s="191"/>
      <c r="Z50" s="191"/>
      <c r="AA50" s="191"/>
      <c r="AB50" s="191"/>
      <c r="AC50" s="191"/>
    </row>
    <row r="51" spans="2:29" x14ac:dyDescent="0.25">
      <c r="B51" s="35"/>
      <c r="C51" s="123"/>
      <c r="D51" s="265"/>
      <c r="E51" s="90"/>
      <c r="F51" s="90"/>
      <c r="G51" s="90"/>
      <c r="H51" s="105"/>
      <c r="I51" s="265"/>
      <c r="J51" s="90"/>
      <c r="K51" s="90"/>
      <c r="L51" s="90"/>
      <c r="M51" s="90"/>
      <c r="N51" s="265"/>
      <c r="O51" s="90"/>
      <c r="P51" s="265"/>
      <c r="Q51" s="90"/>
      <c r="R51" s="90"/>
      <c r="S51" s="90"/>
      <c r="T51" s="90"/>
      <c r="U51" s="265"/>
      <c r="V51" s="258"/>
      <c r="W51" s="191"/>
      <c r="X51" s="191"/>
      <c r="Y51" s="191"/>
      <c r="Z51" s="191"/>
      <c r="AA51" s="191"/>
      <c r="AB51" s="191"/>
      <c r="AC51" s="191"/>
    </row>
    <row r="52" spans="2:29" x14ac:dyDescent="0.25">
      <c r="B52" s="25" t="s">
        <v>154</v>
      </c>
      <c r="C52" s="418" t="str">
        <f>Summary!$E$172</f>
        <v>USD</v>
      </c>
      <c r="D52" s="280">
        <f>'Financials Yearly'!E63</f>
        <v>450000</v>
      </c>
      <c r="E52" s="141">
        <v>450000</v>
      </c>
      <c r="F52" s="141">
        <v>450000</v>
      </c>
      <c r="G52" s="141">
        <v>450000</v>
      </c>
      <c r="H52" s="141">
        <v>450000</v>
      </c>
      <c r="I52" s="265">
        <f>H52</f>
        <v>450000</v>
      </c>
      <c r="J52" s="141">
        <v>450000</v>
      </c>
      <c r="K52" s="141">
        <v>450000</v>
      </c>
      <c r="L52" s="141"/>
      <c r="M52" s="141"/>
      <c r="N52" s="265">
        <f>K52</f>
        <v>450000</v>
      </c>
      <c r="O52" s="141">
        <v>100000</v>
      </c>
      <c r="P52" s="265">
        <f>SUM(N52:O52)</f>
        <v>550000</v>
      </c>
      <c r="Q52" s="287"/>
      <c r="R52" s="287"/>
      <c r="S52" s="141">
        <v>550000</v>
      </c>
      <c r="T52" s="141">
        <f t="shared" ref="T52:V55" si="15">S52</f>
        <v>550000</v>
      </c>
      <c r="U52" s="265">
        <f t="shared" si="15"/>
        <v>550000</v>
      </c>
      <c r="V52" s="258">
        <f t="shared" si="15"/>
        <v>550000</v>
      </c>
      <c r="W52" s="191"/>
      <c r="X52" s="191"/>
      <c r="Y52" s="191"/>
      <c r="Z52" s="191"/>
      <c r="AA52" s="191"/>
      <c r="AB52" s="191"/>
      <c r="AC52" s="191"/>
    </row>
    <row r="53" spans="2:29" x14ac:dyDescent="0.25">
      <c r="B53" s="35" t="s">
        <v>95</v>
      </c>
      <c r="C53" s="418" t="str">
        <f>Summary!$E$172</f>
        <v>USD</v>
      </c>
      <c r="D53" s="280">
        <f>'Financials Yearly'!E64</f>
        <v>150000</v>
      </c>
      <c r="E53" s="141">
        <v>150000</v>
      </c>
      <c r="F53" s="141">
        <v>150000</v>
      </c>
      <c r="G53" s="141">
        <v>150000</v>
      </c>
      <c r="H53" s="141">
        <v>150000</v>
      </c>
      <c r="I53" s="265">
        <f>H53</f>
        <v>150000</v>
      </c>
      <c r="J53" s="141">
        <v>150000</v>
      </c>
      <c r="K53" s="141">
        <v>150000</v>
      </c>
      <c r="L53" s="141"/>
      <c r="M53" s="141"/>
      <c r="N53" s="265">
        <f>K53</f>
        <v>150000</v>
      </c>
      <c r="O53" s="141">
        <v>0</v>
      </c>
      <c r="P53" s="265">
        <f>SUM(N53:O53)</f>
        <v>150000</v>
      </c>
      <c r="Q53" s="287"/>
      <c r="R53" s="287"/>
      <c r="S53" s="141">
        <f>P53</f>
        <v>150000</v>
      </c>
      <c r="T53" s="141">
        <f t="shared" si="15"/>
        <v>150000</v>
      </c>
      <c r="U53" s="265">
        <f t="shared" si="15"/>
        <v>150000</v>
      </c>
      <c r="V53" s="258">
        <f t="shared" si="15"/>
        <v>150000</v>
      </c>
      <c r="W53" s="191"/>
      <c r="X53" s="191"/>
      <c r="Y53" s="191"/>
      <c r="Z53" s="191"/>
      <c r="AA53" s="191"/>
      <c r="AB53" s="191"/>
      <c r="AC53" s="191"/>
    </row>
    <row r="54" spans="2:29" x14ac:dyDescent="0.25">
      <c r="B54" s="35" t="s">
        <v>128</v>
      </c>
      <c r="C54" s="418" t="str">
        <f>Summary!$E$172</f>
        <v>USD</v>
      </c>
      <c r="D54" s="280">
        <f>'Financials Yearly'!E65</f>
        <v>0</v>
      </c>
      <c r="E54" s="141">
        <f t="shared" ref="E54:H55" si="16">D54</f>
        <v>0</v>
      </c>
      <c r="F54" s="141">
        <f t="shared" si="16"/>
        <v>0</v>
      </c>
      <c r="G54" s="141">
        <f t="shared" si="16"/>
        <v>0</v>
      </c>
      <c r="H54" s="141">
        <f t="shared" si="16"/>
        <v>0</v>
      </c>
      <c r="I54" s="265">
        <f>H54</f>
        <v>0</v>
      </c>
      <c r="J54" s="141"/>
      <c r="K54" s="141"/>
      <c r="L54" s="141"/>
      <c r="M54" s="141"/>
      <c r="N54" s="265">
        <f>K54</f>
        <v>0</v>
      </c>
      <c r="O54" s="90">
        <f ca="1">P54-N54</f>
        <v>255000</v>
      </c>
      <c r="P54" s="280">
        <f ca="1">'Financials Yearly'!F360</f>
        <v>255000</v>
      </c>
      <c r="Q54" s="287"/>
      <c r="R54" s="287"/>
      <c r="S54" s="141">
        <f ca="1">P54</f>
        <v>255000</v>
      </c>
      <c r="T54" s="141">
        <f t="shared" ca="1" si="15"/>
        <v>255000</v>
      </c>
      <c r="U54" s="265">
        <f t="shared" ca="1" si="15"/>
        <v>255000</v>
      </c>
      <c r="V54" s="258">
        <f t="shared" ca="1" si="15"/>
        <v>255000</v>
      </c>
      <c r="W54" s="191"/>
      <c r="X54" s="191"/>
      <c r="Y54" s="191"/>
      <c r="Z54" s="191"/>
      <c r="AA54" s="191"/>
      <c r="AB54" s="191"/>
      <c r="AC54" s="191"/>
    </row>
    <row r="55" spans="2:29" x14ac:dyDescent="0.25">
      <c r="B55" s="35" t="s">
        <v>129</v>
      </c>
      <c r="C55" s="418" t="str">
        <f>Summary!$E$172</f>
        <v>USD</v>
      </c>
      <c r="D55" s="280">
        <f>'Financials Yearly'!E66</f>
        <v>2000000</v>
      </c>
      <c r="E55" s="141">
        <f t="shared" si="16"/>
        <v>2000000</v>
      </c>
      <c r="F55" s="141">
        <f t="shared" si="16"/>
        <v>2000000</v>
      </c>
      <c r="G55" s="141">
        <f t="shared" si="16"/>
        <v>2000000</v>
      </c>
      <c r="H55" s="141">
        <f t="shared" si="16"/>
        <v>2000000</v>
      </c>
      <c r="I55" s="265">
        <f>H55</f>
        <v>2000000</v>
      </c>
      <c r="J55" s="141">
        <f>I55</f>
        <v>2000000</v>
      </c>
      <c r="K55" s="141">
        <v>2000000</v>
      </c>
      <c r="L55" s="141"/>
      <c r="M55" s="141"/>
      <c r="N55" s="265">
        <f>K55</f>
        <v>2000000</v>
      </c>
      <c r="O55" s="90">
        <f ca="1">P55-N55</f>
        <v>1145000</v>
      </c>
      <c r="P55" s="280">
        <f ca="1">'Financials Yearly'!F361</f>
        <v>3145000</v>
      </c>
      <c r="Q55" s="287"/>
      <c r="R55" s="287"/>
      <c r="S55" s="141">
        <f ca="1">P55</f>
        <v>3145000</v>
      </c>
      <c r="T55" s="141">
        <f t="shared" ca="1" si="15"/>
        <v>3145000</v>
      </c>
      <c r="U55" s="265">
        <f t="shared" ca="1" si="15"/>
        <v>3145000</v>
      </c>
      <c r="V55" s="258">
        <f t="shared" ca="1" si="15"/>
        <v>3145000</v>
      </c>
      <c r="W55" s="191"/>
      <c r="X55" s="191"/>
      <c r="Y55" s="191"/>
      <c r="Z55" s="191"/>
      <c r="AA55" s="191"/>
      <c r="AB55" s="191"/>
      <c r="AC55" s="191"/>
    </row>
    <row r="56" spans="2:29" x14ac:dyDescent="0.25">
      <c r="B56" s="91" t="s">
        <v>110</v>
      </c>
      <c r="C56" s="416" t="str">
        <f>Summary!$E$172</f>
        <v>USD</v>
      </c>
      <c r="D56" s="281">
        <f>'Financials Yearly'!E67</f>
        <v>720000</v>
      </c>
      <c r="E56" s="206">
        <f>D56+E67+E85+E86</f>
        <v>723754</v>
      </c>
      <c r="F56" s="206">
        <f>E56+F67+F85+F86</f>
        <v>726287</v>
      </c>
      <c r="G56" s="206">
        <f>F56+G67+G85+G86</f>
        <v>818157.49</v>
      </c>
      <c r="H56" s="206">
        <f>G56+H67+H85+H86</f>
        <v>1058702.99</v>
      </c>
      <c r="I56" s="267">
        <f>H56</f>
        <v>1058702.99</v>
      </c>
      <c r="J56" s="206">
        <f>I56+J67+J85+J86</f>
        <v>1133180.49</v>
      </c>
      <c r="K56" s="206">
        <f>J56+K67+K85+K86</f>
        <v>1232222.99</v>
      </c>
      <c r="L56" s="206">
        <f>SUM(L50:L55)</f>
        <v>0</v>
      </c>
      <c r="M56" s="269">
        <f>SUM(M50:M55)</f>
        <v>0</v>
      </c>
      <c r="N56" s="267">
        <f>K56</f>
        <v>1232222.99</v>
      </c>
      <c r="O56" s="284">
        <f>'Financials Yearly'!F155</f>
        <v>1599544.4350000017</v>
      </c>
      <c r="P56" s="267">
        <f>SUM(N56:O56)</f>
        <v>2831767.4250000017</v>
      </c>
      <c r="Q56" s="287"/>
      <c r="R56" s="287"/>
      <c r="S56" s="221">
        <f ca="1">$P56+S67+S85+S86</f>
        <v>2823842.4250000017</v>
      </c>
      <c r="T56" s="206">
        <f ca="1">S56+T67+T85+T86</f>
        <v>2764536.3000000017</v>
      </c>
      <c r="U56" s="267">
        <f ca="1">T56</f>
        <v>2764536.3000000017</v>
      </c>
      <c r="V56" s="258">
        <f ca="1">U56</f>
        <v>2764536.3000000017</v>
      </c>
      <c r="W56" s="191"/>
      <c r="X56" s="191"/>
      <c r="Y56" s="191"/>
      <c r="Z56" s="191"/>
      <c r="AA56" s="191"/>
      <c r="AB56" s="191"/>
      <c r="AC56" s="191"/>
    </row>
    <row r="57" spans="2:29" x14ac:dyDescent="0.25">
      <c r="B57" s="35" t="s">
        <v>96</v>
      </c>
      <c r="C57" s="418" t="str">
        <f>Summary!$E$172</f>
        <v>USD</v>
      </c>
      <c r="D57" s="265">
        <f t="shared" ref="D57:P57" si="17">SUM(D52:D56)</f>
        <v>3320000</v>
      </c>
      <c r="E57" s="90">
        <f t="shared" si="17"/>
        <v>3323754</v>
      </c>
      <c r="F57" s="90">
        <f t="shared" si="17"/>
        <v>3326287</v>
      </c>
      <c r="G57" s="90">
        <f t="shared" si="17"/>
        <v>3418157.49</v>
      </c>
      <c r="H57" s="105">
        <f t="shared" si="17"/>
        <v>3658702.99</v>
      </c>
      <c r="I57" s="265">
        <f t="shared" si="17"/>
        <v>3658702.99</v>
      </c>
      <c r="J57" s="90">
        <f t="shared" si="17"/>
        <v>3733180.49</v>
      </c>
      <c r="K57" s="90">
        <f t="shared" si="17"/>
        <v>3832222.99</v>
      </c>
      <c r="L57" s="90">
        <f t="shared" si="17"/>
        <v>0</v>
      </c>
      <c r="M57" s="90">
        <f t="shared" si="17"/>
        <v>0</v>
      </c>
      <c r="N57" s="265">
        <f t="shared" si="17"/>
        <v>3832222.99</v>
      </c>
      <c r="O57" s="90">
        <f t="shared" ca="1" si="17"/>
        <v>3099544.4350000015</v>
      </c>
      <c r="P57" s="265">
        <f t="shared" ca="1" si="17"/>
        <v>6931767.4250000017</v>
      </c>
      <c r="Q57" s="290"/>
      <c r="R57" s="188"/>
      <c r="S57" s="90">
        <f ca="1">SUM(S52:S56)</f>
        <v>6923842.4250000017</v>
      </c>
      <c r="T57" s="90">
        <f ca="1">SUM(T52:T56)</f>
        <v>6864536.3000000017</v>
      </c>
      <c r="U57" s="265">
        <f ca="1">SUM(U52:U56)</f>
        <v>6864536.3000000017</v>
      </c>
      <c r="V57" s="258">
        <f ca="1">SUM(V52:V56)</f>
        <v>6864536.3000000017</v>
      </c>
      <c r="W57" s="191"/>
      <c r="X57" s="191"/>
      <c r="Y57" s="191"/>
      <c r="Z57" s="191"/>
      <c r="AA57" s="191"/>
      <c r="AB57" s="191"/>
      <c r="AC57" s="191"/>
    </row>
    <row r="58" spans="2:29" ht="13" x14ac:dyDescent="0.3">
      <c r="B58" s="85" t="s">
        <v>291</v>
      </c>
      <c r="C58" s="423"/>
      <c r="D58" s="268">
        <f t="shared" ref="D58:P58" si="18">D50-D57</f>
        <v>0</v>
      </c>
      <c r="E58" s="236">
        <f t="shared" si="18"/>
        <v>0</v>
      </c>
      <c r="F58" s="236">
        <f t="shared" si="18"/>
        <v>0</v>
      </c>
      <c r="G58" s="236">
        <f t="shared" si="18"/>
        <v>0</v>
      </c>
      <c r="H58" s="86">
        <f t="shared" si="18"/>
        <v>0</v>
      </c>
      <c r="I58" s="268">
        <f t="shared" si="18"/>
        <v>0</v>
      </c>
      <c r="J58" s="236">
        <f t="shared" si="18"/>
        <v>0</v>
      </c>
      <c r="K58" s="236">
        <f t="shared" si="18"/>
        <v>0</v>
      </c>
      <c r="L58" s="236">
        <f t="shared" si="18"/>
        <v>0</v>
      </c>
      <c r="M58" s="236">
        <f t="shared" si="18"/>
        <v>0</v>
      </c>
      <c r="N58" s="268">
        <f t="shared" si="18"/>
        <v>0</v>
      </c>
      <c r="O58" s="236">
        <f t="shared" ca="1" si="18"/>
        <v>0</v>
      </c>
      <c r="P58" s="268">
        <f t="shared" ca="1" si="18"/>
        <v>0</v>
      </c>
      <c r="Q58" s="236"/>
      <c r="R58" s="236"/>
      <c r="S58" s="236">
        <f ca="1">S50-S57</f>
        <v>0</v>
      </c>
      <c r="T58" s="236">
        <f ca="1">T50-T57</f>
        <v>0</v>
      </c>
      <c r="U58" s="268">
        <f ca="1">U50-U57</f>
        <v>0</v>
      </c>
      <c r="V58" s="310">
        <f ca="1">V50-V57</f>
        <v>0</v>
      </c>
      <c r="W58" s="191"/>
      <c r="X58" s="191"/>
      <c r="Y58" s="191"/>
      <c r="Z58" s="191"/>
      <c r="AA58" s="191"/>
      <c r="AB58" s="191"/>
      <c r="AC58" s="191"/>
    </row>
    <row r="59" spans="2:29" ht="13" x14ac:dyDescent="0.3">
      <c r="B59" s="85"/>
      <c r="C59" s="423"/>
      <c r="D59" s="85"/>
      <c r="E59" s="86"/>
      <c r="F59" s="86"/>
      <c r="G59" s="86"/>
      <c r="H59" s="86"/>
      <c r="I59" s="86"/>
      <c r="J59" s="86"/>
      <c r="K59" s="86"/>
      <c r="L59" s="86"/>
      <c r="M59" s="86"/>
      <c r="N59" s="86"/>
      <c r="O59" s="86"/>
      <c r="P59" s="86"/>
      <c r="Q59" s="86"/>
      <c r="R59" s="86"/>
      <c r="S59" s="86"/>
      <c r="T59" s="86"/>
      <c r="U59" s="191"/>
      <c r="V59" s="191"/>
      <c r="W59" s="191"/>
      <c r="X59" s="191"/>
      <c r="Y59" s="191"/>
      <c r="Z59" s="191"/>
      <c r="AA59" s="191"/>
      <c r="AB59" s="191"/>
      <c r="AC59" s="191"/>
    </row>
    <row r="60" spans="2:29" ht="13" x14ac:dyDescent="0.3">
      <c r="B60" s="35"/>
      <c r="C60" s="418"/>
      <c r="D60" s="85"/>
      <c r="E60" s="86"/>
      <c r="F60" s="86"/>
      <c r="G60" s="86"/>
      <c r="H60" s="86"/>
      <c r="I60" s="86"/>
      <c r="J60" s="86"/>
      <c r="K60" s="86"/>
      <c r="L60" s="86"/>
      <c r="M60" s="86"/>
      <c r="N60" s="86"/>
      <c r="O60" s="86"/>
      <c r="P60" s="86"/>
      <c r="Q60" s="86"/>
      <c r="R60" s="86"/>
      <c r="S60" s="86"/>
      <c r="T60" s="86"/>
      <c r="U60" s="191"/>
      <c r="V60" s="191"/>
      <c r="W60" s="191"/>
      <c r="X60" s="191"/>
      <c r="Y60" s="191"/>
      <c r="Z60" s="191"/>
      <c r="AA60" s="191"/>
      <c r="AB60" s="191"/>
      <c r="AC60" s="191"/>
    </row>
    <row r="61" spans="2:29" ht="13" x14ac:dyDescent="0.3">
      <c r="B61" s="85"/>
      <c r="C61" s="423"/>
      <c r="D61" s="85"/>
      <c r="E61" s="86"/>
      <c r="F61" s="86"/>
      <c r="G61" s="86"/>
      <c r="H61" s="86"/>
      <c r="I61" s="86"/>
      <c r="J61" s="86"/>
      <c r="K61" s="86"/>
      <c r="L61" s="86"/>
      <c r="M61" s="86"/>
      <c r="N61" s="86"/>
      <c r="O61" s="86"/>
      <c r="P61" s="86"/>
      <c r="Q61" s="86"/>
      <c r="R61" s="86"/>
      <c r="S61" s="86"/>
      <c r="T61" s="86"/>
      <c r="U61" s="191"/>
      <c r="V61" s="191"/>
      <c r="W61" s="191"/>
      <c r="X61" s="191"/>
      <c r="Y61" s="191"/>
      <c r="Z61" s="191"/>
      <c r="AA61" s="191"/>
      <c r="AB61" s="191"/>
      <c r="AC61" s="191"/>
    </row>
    <row r="62" spans="2:29" ht="15.5" x14ac:dyDescent="0.35">
      <c r="B62" s="31" t="str">
        <f>"All amounts in "&amp;Summary!$E$172</f>
        <v>All amounts in USD</v>
      </c>
      <c r="C62" s="421"/>
      <c r="D62" s="31"/>
      <c r="E62" s="224" t="s">
        <v>351</v>
      </c>
      <c r="F62" s="224"/>
      <c r="G62" s="225"/>
      <c r="H62" s="225"/>
      <c r="I62" s="225"/>
      <c r="J62" s="225"/>
      <c r="K62" s="225"/>
      <c r="L62" s="225"/>
      <c r="M62" s="225"/>
      <c r="N62" s="225"/>
      <c r="O62" s="226" t="s">
        <v>352</v>
      </c>
      <c r="P62" s="223"/>
      <c r="Q62" s="223"/>
      <c r="R62" s="223"/>
      <c r="S62" s="223"/>
      <c r="T62" s="223"/>
      <c r="U62" s="223"/>
      <c r="V62" s="223"/>
      <c r="W62" s="191"/>
      <c r="X62" s="191"/>
      <c r="Y62" s="191"/>
    </row>
    <row r="63" spans="2:29" ht="15.5" x14ac:dyDescent="0.35">
      <c r="B63" s="52" t="s">
        <v>292</v>
      </c>
      <c r="C63" s="414" t="s">
        <v>293</v>
      </c>
      <c r="D63" s="52"/>
      <c r="E63" s="222" t="str">
        <f>E$7</f>
        <v>Q1</v>
      </c>
      <c r="F63" s="222" t="str">
        <f>F$7</f>
        <v>Q2</v>
      </c>
      <c r="G63" s="222" t="str">
        <f>G$7</f>
        <v>Q3</v>
      </c>
      <c r="H63" s="222" t="str">
        <f>H$7</f>
        <v>Q4</v>
      </c>
      <c r="I63" s="111">
        <f ca="1">I7</f>
        <v>2019</v>
      </c>
      <c r="J63" s="222" t="str">
        <f>J$7</f>
        <v>Q1</v>
      </c>
      <c r="K63" s="222" t="str">
        <f>K$7</f>
        <v>Q2</v>
      </c>
      <c r="L63" s="222" t="str">
        <f>L$7</f>
        <v>Q3</v>
      </c>
      <c r="M63" s="222" t="str">
        <f>M$7</f>
        <v>Q4</v>
      </c>
      <c r="N63" s="407" t="s">
        <v>90</v>
      </c>
      <c r="O63" s="428" t="s">
        <v>10</v>
      </c>
      <c r="P63" s="407" t="s">
        <v>182</v>
      </c>
      <c r="Q63" s="222" t="str">
        <f t="shared" ref="Q63:V63" si="19">Q$7</f>
        <v>Q1</v>
      </c>
      <c r="R63" s="222" t="str">
        <f t="shared" si="19"/>
        <v>Q2</v>
      </c>
      <c r="S63" s="222" t="str">
        <f t="shared" si="19"/>
        <v>Q3</v>
      </c>
      <c r="T63" s="222" t="str">
        <f t="shared" si="19"/>
        <v>Q4</v>
      </c>
      <c r="U63" s="407" t="str">
        <f t="shared" si="19"/>
        <v>Post period</v>
      </c>
      <c r="V63" s="70">
        <f t="shared" ca="1" si="19"/>
        <v>2020</v>
      </c>
      <c r="W63" s="191"/>
      <c r="X63" s="191"/>
      <c r="Y63" s="191"/>
    </row>
    <row r="64" spans="2:29" ht="15.5" x14ac:dyDescent="0.35">
      <c r="B64" s="52"/>
      <c r="C64" s="414"/>
      <c r="D64" s="52"/>
      <c r="E64" s="222"/>
      <c r="F64" s="222"/>
      <c r="G64" s="222"/>
      <c r="H64" s="222"/>
      <c r="I64" s="111"/>
      <c r="J64" s="222"/>
      <c r="K64" s="222"/>
      <c r="L64" s="222"/>
      <c r="M64" s="222"/>
      <c r="N64" s="407"/>
      <c r="O64" s="429" t="s">
        <v>11</v>
      </c>
      <c r="P64" s="408">
        <f ca="1">P42</f>
        <v>42550</v>
      </c>
      <c r="Q64" s="222"/>
      <c r="R64" s="222"/>
      <c r="S64" s="222"/>
      <c r="T64" s="222"/>
      <c r="U64" s="407"/>
      <c r="V64" s="70"/>
      <c r="W64" s="191"/>
      <c r="X64" s="191"/>
      <c r="Y64" s="191"/>
    </row>
    <row r="65" spans="2:25" x14ac:dyDescent="0.25">
      <c r="B65" s="35"/>
      <c r="C65" s="123"/>
      <c r="D65" s="35"/>
      <c r="E65" s="35"/>
      <c r="F65" s="35"/>
      <c r="G65" s="105"/>
      <c r="H65" s="105"/>
      <c r="I65" s="258"/>
      <c r="J65" s="105"/>
      <c r="K65" s="105"/>
      <c r="L65" s="105"/>
      <c r="M65" s="105"/>
      <c r="N65" s="258"/>
      <c r="O65" s="105"/>
      <c r="P65" s="258"/>
      <c r="Q65" s="105"/>
      <c r="R65" s="105"/>
      <c r="S65" s="105"/>
      <c r="T65" s="105"/>
      <c r="U65" s="258"/>
      <c r="V65" s="258"/>
      <c r="W65" s="191"/>
      <c r="X65" s="191"/>
      <c r="Y65" s="191"/>
    </row>
    <row r="66" spans="2:25" x14ac:dyDescent="0.25">
      <c r="B66" s="89" t="s">
        <v>294</v>
      </c>
      <c r="C66" s="424"/>
      <c r="D66" s="89"/>
      <c r="E66" s="89"/>
      <c r="F66" s="89"/>
      <c r="G66" s="105"/>
      <c r="H66" s="105"/>
      <c r="I66" s="258"/>
      <c r="J66" s="105"/>
      <c r="K66" s="105"/>
      <c r="L66" s="105"/>
      <c r="M66" s="105"/>
      <c r="N66" s="258"/>
      <c r="O66" s="105"/>
      <c r="P66" s="258"/>
      <c r="Q66" s="105"/>
      <c r="R66" s="105"/>
      <c r="S66" s="105"/>
      <c r="T66" s="105"/>
      <c r="U66" s="258"/>
      <c r="V66" s="258"/>
      <c r="W66" s="191"/>
      <c r="X66" s="191"/>
      <c r="Y66" s="191"/>
    </row>
    <row r="67" spans="2:25" x14ac:dyDescent="0.25">
      <c r="B67" s="35" t="s">
        <v>295</v>
      </c>
      <c r="C67" s="418" t="str">
        <f>Summary!$E$172</f>
        <v>USD</v>
      </c>
      <c r="D67" s="114"/>
      <c r="E67" s="114">
        <f>E33</f>
        <v>3754</v>
      </c>
      <c r="F67" s="114">
        <f>F33</f>
        <v>2533</v>
      </c>
      <c r="G67" s="114">
        <f>G33</f>
        <v>91870.489999999991</v>
      </c>
      <c r="H67" s="114">
        <f>H33</f>
        <v>240545.5</v>
      </c>
      <c r="I67" s="265">
        <f>SUM(E67:H67)</f>
        <v>338702.99</v>
      </c>
      <c r="J67" s="114">
        <f>J33</f>
        <v>74477.5</v>
      </c>
      <c r="K67" s="114">
        <f>K33</f>
        <v>99042.5</v>
      </c>
      <c r="L67" s="114"/>
      <c r="M67" s="114"/>
      <c r="N67" s="258">
        <f t="shared" ref="N67:N75" si="20">SUM(J67:M67)</f>
        <v>173520</v>
      </c>
      <c r="O67" s="105"/>
      <c r="P67" s="286">
        <f>SUM(N67:O67)</f>
        <v>173520</v>
      </c>
      <c r="Q67" s="105"/>
      <c r="R67" s="105"/>
      <c r="S67" s="114">
        <f ca="1">S33</f>
        <v>-7925</v>
      </c>
      <c r="T67" s="114">
        <f ca="1">T33</f>
        <v>27657.5</v>
      </c>
      <c r="U67" s="292">
        <f ca="1">U33</f>
        <v>19732.5</v>
      </c>
      <c r="V67" s="292">
        <f ca="1">V33</f>
        <v>193252.5</v>
      </c>
      <c r="W67" s="191"/>
      <c r="X67" s="191"/>
      <c r="Y67" s="191"/>
    </row>
    <row r="68" spans="2:25" x14ac:dyDescent="0.25">
      <c r="B68" s="25" t="s">
        <v>160</v>
      </c>
      <c r="C68" s="418" t="str">
        <f>Summary!$E$172</f>
        <v>USD</v>
      </c>
      <c r="D68" s="114"/>
      <c r="E68" s="114">
        <f>-E27</f>
        <v>7000</v>
      </c>
      <c r="F68" s="114">
        <f>-F27</f>
        <v>6500</v>
      </c>
      <c r="G68" s="114">
        <f>-G27</f>
        <v>7000</v>
      </c>
      <c r="H68" s="114">
        <f>-H27</f>
        <v>6500</v>
      </c>
      <c r="I68" s="265">
        <f t="shared" ref="I68:I74" si="21">SUM(E68:H68)</f>
        <v>27000</v>
      </c>
      <c r="J68" s="114">
        <f>-J27</f>
        <v>7000</v>
      </c>
      <c r="K68" s="114">
        <f>-K27</f>
        <v>7000</v>
      </c>
      <c r="L68" s="114"/>
      <c r="M68" s="114"/>
      <c r="N68" s="258">
        <f t="shared" si="20"/>
        <v>14000</v>
      </c>
      <c r="O68" s="90"/>
      <c r="P68" s="286">
        <f t="shared" ref="P68:P74" si="22">SUM(N68:O68)</f>
        <v>14000</v>
      </c>
      <c r="Q68" s="90"/>
      <c r="R68" s="90"/>
      <c r="S68" s="114">
        <f ca="1">-S27</f>
        <v>93562.5</v>
      </c>
      <c r="T68" s="114">
        <f ca="1">-T27</f>
        <v>93562.5</v>
      </c>
      <c r="U68" s="292">
        <f ca="1">-U27</f>
        <v>187125</v>
      </c>
      <c r="V68" s="292">
        <f ca="1">-V27</f>
        <v>201125</v>
      </c>
      <c r="W68" s="191"/>
      <c r="X68" s="191"/>
      <c r="Y68" s="191"/>
    </row>
    <row r="69" spans="2:25" x14ac:dyDescent="0.25">
      <c r="B69" s="35" t="s">
        <v>266</v>
      </c>
      <c r="C69" s="418" t="str">
        <f>Summary!$E$172</f>
        <v>USD</v>
      </c>
      <c r="D69" s="114"/>
      <c r="E69" s="114">
        <f>-E23</f>
        <v>62500</v>
      </c>
      <c r="F69" s="114">
        <f>-F23</f>
        <v>62500</v>
      </c>
      <c r="G69" s="114">
        <f>-G23</f>
        <v>62500</v>
      </c>
      <c r="H69" s="114">
        <f>-H23</f>
        <v>63000</v>
      </c>
      <c r="I69" s="265">
        <f t="shared" si="21"/>
        <v>250500</v>
      </c>
      <c r="J69" s="114">
        <f>-J23</f>
        <v>89362.5</v>
      </c>
      <c r="K69" s="114">
        <f>-K23</f>
        <v>89362.5</v>
      </c>
      <c r="L69" s="114"/>
      <c r="M69" s="114"/>
      <c r="N69" s="258">
        <f t="shared" si="20"/>
        <v>178725</v>
      </c>
      <c r="O69" s="90"/>
      <c r="P69" s="286">
        <f t="shared" si="22"/>
        <v>178725</v>
      </c>
      <c r="Q69" s="90"/>
      <c r="R69" s="90"/>
      <c r="S69" s="114">
        <f>-S23</f>
        <v>89362.5</v>
      </c>
      <c r="T69" s="114">
        <f>-T23</f>
        <v>89362.5</v>
      </c>
      <c r="U69" s="292">
        <f>-U23</f>
        <v>178725</v>
      </c>
      <c r="V69" s="292">
        <f>-V23</f>
        <v>357450</v>
      </c>
      <c r="W69" s="191"/>
      <c r="X69" s="191"/>
      <c r="Y69" s="191"/>
    </row>
    <row r="70" spans="2:25" x14ac:dyDescent="0.25">
      <c r="B70" s="35" t="s">
        <v>14</v>
      </c>
      <c r="C70" s="418" t="str">
        <f>Summary!$E$172</f>
        <v>USD</v>
      </c>
      <c r="D70" s="114"/>
      <c r="E70" s="114">
        <f t="shared" ref="E70:H72" si="23">D45-E45</f>
        <v>0</v>
      </c>
      <c r="F70" s="114">
        <f t="shared" si="23"/>
        <v>0</v>
      </c>
      <c r="G70" s="114">
        <f t="shared" si="23"/>
        <v>0</v>
      </c>
      <c r="H70" s="114">
        <f t="shared" si="23"/>
        <v>0</v>
      </c>
      <c r="I70" s="265">
        <f t="shared" si="21"/>
        <v>0</v>
      </c>
      <c r="J70" s="114">
        <f t="shared" ref="J70:K72" si="24">I45-J45</f>
        <v>0</v>
      </c>
      <c r="K70" s="114">
        <f t="shared" si="24"/>
        <v>0</v>
      </c>
      <c r="L70" s="114"/>
      <c r="M70" s="114"/>
      <c r="N70" s="258">
        <f t="shared" si="20"/>
        <v>0</v>
      </c>
      <c r="O70" s="114">
        <f>-O45</f>
        <v>100000</v>
      </c>
      <c r="P70" s="286">
        <f t="shared" si="22"/>
        <v>100000</v>
      </c>
      <c r="Q70" s="105"/>
      <c r="R70" s="105"/>
      <c r="S70" s="291">
        <f>$P45-S45</f>
        <v>0</v>
      </c>
      <c r="T70" s="114">
        <f>S45-T45</f>
        <v>0</v>
      </c>
      <c r="U70" s="286">
        <f>SUM(S70:T70)</f>
        <v>0</v>
      </c>
      <c r="V70" s="258">
        <f>U70+P70</f>
        <v>100000</v>
      </c>
      <c r="W70" s="191"/>
      <c r="X70" s="191"/>
      <c r="Y70" s="191"/>
    </row>
    <row r="71" spans="2:25" x14ac:dyDescent="0.25">
      <c r="B71" s="35" t="s">
        <v>15</v>
      </c>
      <c r="C71" s="418" t="str">
        <f>Summary!$E$172</f>
        <v>USD</v>
      </c>
      <c r="D71" s="114"/>
      <c r="E71" s="114">
        <f t="shared" si="23"/>
        <v>0</v>
      </c>
      <c r="F71" s="114">
        <f t="shared" si="23"/>
        <v>0</v>
      </c>
      <c r="G71" s="114">
        <f t="shared" si="23"/>
        <v>0</v>
      </c>
      <c r="H71" s="114">
        <f t="shared" si="23"/>
        <v>0</v>
      </c>
      <c r="I71" s="265">
        <f t="shared" si="21"/>
        <v>0</v>
      </c>
      <c r="J71" s="114">
        <f t="shared" si="24"/>
        <v>0</v>
      </c>
      <c r="K71" s="114">
        <f t="shared" si="24"/>
        <v>0</v>
      </c>
      <c r="L71" s="114"/>
      <c r="M71" s="114"/>
      <c r="N71" s="258">
        <f t="shared" si="20"/>
        <v>0</v>
      </c>
      <c r="O71" s="114">
        <f>-O46</f>
        <v>0</v>
      </c>
      <c r="P71" s="286">
        <f t="shared" si="22"/>
        <v>0</v>
      </c>
      <c r="Q71" s="105"/>
      <c r="R71" s="105"/>
      <c r="S71" s="292">
        <f>$P46-S46</f>
        <v>0</v>
      </c>
      <c r="T71" s="114">
        <f>S46-T46</f>
        <v>0</v>
      </c>
      <c r="U71" s="286">
        <f>SUM(S71:T71)</f>
        <v>0</v>
      </c>
      <c r="V71" s="258">
        <f>U71+P71</f>
        <v>0</v>
      </c>
      <c r="W71" s="191"/>
      <c r="X71" s="191"/>
      <c r="Y71" s="191"/>
    </row>
    <row r="72" spans="2:25" x14ac:dyDescent="0.25">
      <c r="B72" s="35" t="s">
        <v>161</v>
      </c>
      <c r="C72" s="418" t="str">
        <f>Summary!$E$172</f>
        <v>USD</v>
      </c>
      <c r="D72" s="114"/>
      <c r="E72" s="114">
        <f t="shared" si="23"/>
        <v>0</v>
      </c>
      <c r="F72" s="114">
        <f t="shared" si="23"/>
        <v>0</v>
      </c>
      <c r="G72" s="114">
        <f t="shared" si="23"/>
        <v>0</v>
      </c>
      <c r="H72" s="114">
        <f t="shared" si="23"/>
        <v>0</v>
      </c>
      <c r="I72" s="265">
        <f t="shared" si="21"/>
        <v>0</v>
      </c>
      <c r="J72" s="114">
        <f t="shared" si="24"/>
        <v>0</v>
      </c>
      <c r="K72" s="114">
        <f t="shared" si="24"/>
        <v>0</v>
      </c>
      <c r="L72" s="114"/>
      <c r="M72" s="114"/>
      <c r="N72" s="258">
        <f t="shared" si="20"/>
        <v>0</v>
      </c>
      <c r="O72" s="114">
        <f>-O47</f>
        <v>0</v>
      </c>
      <c r="P72" s="286">
        <f t="shared" si="22"/>
        <v>0</v>
      </c>
      <c r="Q72" s="105"/>
      <c r="R72" s="105"/>
      <c r="S72" s="292">
        <f>$P47-S47</f>
        <v>0</v>
      </c>
      <c r="T72" s="114">
        <f>S47-T47</f>
        <v>0</v>
      </c>
      <c r="U72" s="286">
        <f>SUM(S72:T72)</f>
        <v>0</v>
      </c>
      <c r="V72" s="258">
        <f>U72+P72</f>
        <v>0</v>
      </c>
      <c r="W72" s="191"/>
      <c r="X72" s="191"/>
      <c r="Y72" s="191"/>
    </row>
    <row r="73" spans="2:25" x14ac:dyDescent="0.25">
      <c r="B73" s="35" t="s">
        <v>162</v>
      </c>
      <c r="C73" s="418" t="str">
        <f>Summary!$E$172</f>
        <v>USD</v>
      </c>
      <c r="D73" s="114"/>
      <c r="E73" s="114">
        <f t="shared" ref="E73:H74" si="25">E52-D52</f>
        <v>0</v>
      </c>
      <c r="F73" s="114">
        <f t="shared" si="25"/>
        <v>0</v>
      </c>
      <c r="G73" s="114">
        <f t="shared" si="25"/>
        <v>0</v>
      </c>
      <c r="H73" s="114">
        <f t="shared" si="25"/>
        <v>0</v>
      </c>
      <c r="I73" s="265">
        <f t="shared" si="21"/>
        <v>0</v>
      </c>
      <c r="J73" s="114">
        <f>J52-I52</f>
        <v>0</v>
      </c>
      <c r="K73" s="114">
        <f>K52-J52</f>
        <v>0</v>
      </c>
      <c r="L73" s="114"/>
      <c r="M73" s="114"/>
      <c r="N73" s="258">
        <f t="shared" si="20"/>
        <v>0</v>
      </c>
      <c r="O73" s="105">
        <f>O52</f>
        <v>100000</v>
      </c>
      <c r="P73" s="286">
        <f t="shared" si="22"/>
        <v>100000</v>
      </c>
      <c r="Q73" s="105"/>
      <c r="R73" s="105"/>
      <c r="S73" s="292">
        <f>S52-$P52</f>
        <v>0</v>
      </c>
      <c r="T73" s="114">
        <f>T52-S52</f>
        <v>0</v>
      </c>
      <c r="U73" s="286">
        <f>SUM(S73:T73)</f>
        <v>0</v>
      </c>
      <c r="V73" s="258">
        <f>U73+P73</f>
        <v>100000</v>
      </c>
      <c r="W73" s="191"/>
      <c r="X73" s="191"/>
      <c r="Y73" s="191"/>
    </row>
    <row r="74" spans="2:25" x14ac:dyDescent="0.25">
      <c r="B74" s="35" t="s">
        <v>393</v>
      </c>
      <c r="C74" s="418" t="str">
        <f>Summary!$E$172</f>
        <v>USD</v>
      </c>
      <c r="D74" s="114"/>
      <c r="E74" s="114">
        <f t="shared" si="25"/>
        <v>0</v>
      </c>
      <c r="F74" s="114">
        <f t="shared" si="25"/>
        <v>0</v>
      </c>
      <c r="G74" s="114">
        <f t="shared" si="25"/>
        <v>0</v>
      </c>
      <c r="H74" s="114">
        <f t="shared" si="25"/>
        <v>0</v>
      </c>
      <c r="I74" s="265">
        <f t="shared" si="21"/>
        <v>0</v>
      </c>
      <c r="J74" s="114">
        <f>J53-I53</f>
        <v>0</v>
      </c>
      <c r="K74" s="114">
        <f>K53-J53</f>
        <v>0</v>
      </c>
      <c r="L74" s="114"/>
      <c r="M74" s="114"/>
      <c r="N74" s="258">
        <f t="shared" si="20"/>
        <v>0</v>
      </c>
      <c r="O74" s="105">
        <f>O53</f>
        <v>0</v>
      </c>
      <c r="P74" s="286">
        <f t="shared" si="22"/>
        <v>0</v>
      </c>
      <c r="Q74" s="105"/>
      <c r="R74" s="105"/>
      <c r="S74" s="293">
        <f>S53-$P53</f>
        <v>0</v>
      </c>
      <c r="T74" s="114">
        <f>T53-S53</f>
        <v>0</v>
      </c>
      <c r="U74" s="286">
        <f>SUM(S74:T74)</f>
        <v>0</v>
      </c>
      <c r="V74" s="258">
        <f>U74+P74</f>
        <v>0</v>
      </c>
      <c r="W74" s="191"/>
      <c r="X74" s="191"/>
      <c r="Y74" s="191"/>
    </row>
    <row r="75" spans="2:25" x14ac:dyDescent="0.25">
      <c r="B75" s="180" t="s">
        <v>394</v>
      </c>
      <c r="C75" s="416" t="str">
        <f>Summary!$E$172</f>
        <v>USD</v>
      </c>
      <c r="D75" s="75"/>
      <c r="E75" s="75">
        <f t="shared" ref="E75:K75" si="26">SUM(E67:E74)</f>
        <v>73254</v>
      </c>
      <c r="F75" s="75">
        <f t="shared" si="26"/>
        <v>71533</v>
      </c>
      <c r="G75" s="75">
        <f t="shared" si="26"/>
        <v>161370.49</v>
      </c>
      <c r="H75" s="75">
        <f t="shared" si="26"/>
        <v>310045.5</v>
      </c>
      <c r="I75" s="267">
        <f t="shared" si="26"/>
        <v>616202.99</v>
      </c>
      <c r="J75" s="75">
        <f t="shared" si="26"/>
        <v>170840</v>
      </c>
      <c r="K75" s="75">
        <f t="shared" si="26"/>
        <v>195405</v>
      </c>
      <c r="L75" s="75"/>
      <c r="M75" s="75"/>
      <c r="N75" s="267">
        <f t="shared" si="20"/>
        <v>366245</v>
      </c>
      <c r="O75" s="267">
        <f>SUM(O67:O74)</f>
        <v>200000</v>
      </c>
      <c r="P75" s="267">
        <f>SUM(P67:P74)</f>
        <v>566245</v>
      </c>
      <c r="Q75" s="75"/>
      <c r="R75" s="75"/>
      <c r="S75" s="75">
        <f ca="1">SUM(S67:S74)</f>
        <v>175000</v>
      </c>
      <c r="T75" s="75">
        <f ca="1">SUM(T67:T74)</f>
        <v>210582.5</v>
      </c>
      <c r="U75" s="257">
        <f ca="1">SUM(U67:U74)</f>
        <v>385582.5</v>
      </c>
      <c r="V75" s="257">
        <f ca="1">SUM(V67:V74)</f>
        <v>951827.5</v>
      </c>
      <c r="W75" s="191"/>
      <c r="X75" s="191"/>
      <c r="Y75" s="191"/>
    </row>
    <row r="76" spans="2:25" x14ac:dyDescent="0.25">
      <c r="B76" s="35"/>
      <c r="C76" s="123"/>
      <c r="D76" s="105"/>
      <c r="E76" s="105"/>
      <c r="F76" s="105"/>
      <c r="G76" s="105"/>
      <c r="H76" s="105"/>
      <c r="I76" s="258"/>
      <c r="J76" s="105"/>
      <c r="K76" s="105"/>
      <c r="L76" s="105"/>
      <c r="M76" s="105"/>
      <c r="N76" s="258"/>
      <c r="O76" s="105"/>
      <c r="P76" s="286"/>
      <c r="Q76" s="105"/>
      <c r="R76" s="105"/>
      <c r="S76" s="105"/>
      <c r="T76" s="105"/>
      <c r="U76" s="258"/>
      <c r="V76" s="258"/>
      <c r="W76" s="191"/>
      <c r="X76" s="191"/>
      <c r="Y76" s="191"/>
    </row>
    <row r="77" spans="2:25" x14ac:dyDescent="0.25">
      <c r="B77" s="89" t="s">
        <v>395</v>
      </c>
      <c r="C77" s="424"/>
      <c r="D77" s="105"/>
      <c r="E77" s="105"/>
      <c r="F77" s="105"/>
      <c r="G77" s="105"/>
      <c r="H77" s="105"/>
      <c r="I77" s="258"/>
      <c r="J77" s="105"/>
      <c r="K77" s="105"/>
      <c r="L77" s="105"/>
      <c r="M77" s="105"/>
      <c r="N77" s="258"/>
      <c r="O77" s="105"/>
      <c r="P77" s="286"/>
      <c r="Q77" s="105"/>
      <c r="R77" s="105"/>
      <c r="S77" s="105"/>
      <c r="T77" s="105"/>
      <c r="U77" s="258"/>
      <c r="V77" s="258"/>
      <c r="W77" s="191"/>
      <c r="X77" s="191"/>
      <c r="Y77" s="191"/>
    </row>
    <row r="78" spans="2:25" x14ac:dyDescent="0.25">
      <c r="B78" s="35" t="s">
        <v>175</v>
      </c>
      <c r="C78" s="418" t="str">
        <f>Summary!$E$172</f>
        <v>USD</v>
      </c>
      <c r="D78" s="105"/>
      <c r="E78" s="105"/>
      <c r="F78" s="105"/>
      <c r="G78" s="105"/>
      <c r="H78" s="105"/>
      <c r="I78" s="258"/>
      <c r="J78" s="105"/>
      <c r="K78" s="105"/>
      <c r="L78" s="105"/>
      <c r="M78" s="105"/>
      <c r="N78" s="258"/>
      <c r="O78" s="105">
        <f>-O48</f>
        <v>-1599544.4350000017</v>
      </c>
      <c r="P78" s="286">
        <f>SUM(N78:O78)</f>
        <v>-1599544.4350000017</v>
      </c>
      <c r="Q78" s="105"/>
      <c r="R78" s="105"/>
      <c r="S78" s="105"/>
      <c r="T78" s="105"/>
      <c r="U78" s="258"/>
      <c r="V78" s="258">
        <f>U78+P78</f>
        <v>-1599544.4350000017</v>
      </c>
      <c r="W78" s="191"/>
      <c r="X78" s="191"/>
      <c r="Y78" s="191"/>
    </row>
    <row r="79" spans="2:25" x14ac:dyDescent="0.25">
      <c r="B79" s="35" t="s">
        <v>334</v>
      </c>
      <c r="C79" s="418" t="str">
        <f>Summary!$E$172</f>
        <v>USD</v>
      </c>
      <c r="D79" s="272"/>
      <c r="E79" s="272">
        <v>-200000</v>
      </c>
      <c r="F79" s="272">
        <v>-200000</v>
      </c>
      <c r="G79" s="272">
        <v>-200000</v>
      </c>
      <c r="H79" s="272">
        <v>-100000</v>
      </c>
      <c r="I79" s="265">
        <f>SUM(E79:H79)</f>
        <v>-700000</v>
      </c>
      <c r="J79" s="272">
        <v>-200000</v>
      </c>
      <c r="K79" s="272">
        <v>-300000</v>
      </c>
      <c r="L79" s="272"/>
      <c r="M79" s="272"/>
      <c r="N79" s="258">
        <f>SUM(J79:M79)</f>
        <v>-500000</v>
      </c>
      <c r="O79" s="105"/>
      <c r="P79" s="286">
        <f>SUM(N79:O79)</f>
        <v>-500000</v>
      </c>
      <c r="Q79" s="105"/>
      <c r="R79" s="105"/>
      <c r="S79" s="272">
        <v>-50000</v>
      </c>
      <c r="T79" s="272">
        <v>-50000</v>
      </c>
      <c r="U79" s="286">
        <f>SUM(S79:T79)</f>
        <v>-100000</v>
      </c>
      <c r="V79" s="258">
        <f>U79+P79</f>
        <v>-600000</v>
      </c>
      <c r="W79" s="191"/>
      <c r="X79" s="191"/>
      <c r="Y79" s="191"/>
    </row>
    <row r="80" spans="2:25" x14ac:dyDescent="0.25">
      <c r="B80" s="180" t="s">
        <v>335</v>
      </c>
      <c r="C80" s="416" t="str">
        <f>Summary!$E$172</f>
        <v>USD</v>
      </c>
      <c r="D80" s="75"/>
      <c r="E80" s="75">
        <f t="shared" ref="E80:K80" si="27">SUM(E78:E79)</f>
        <v>-200000</v>
      </c>
      <c r="F80" s="75">
        <f t="shared" si="27"/>
        <v>-200000</v>
      </c>
      <c r="G80" s="75">
        <f t="shared" si="27"/>
        <v>-200000</v>
      </c>
      <c r="H80" s="75">
        <f t="shared" si="27"/>
        <v>-100000</v>
      </c>
      <c r="I80" s="257">
        <f t="shared" si="27"/>
        <v>-700000</v>
      </c>
      <c r="J80" s="75">
        <f t="shared" si="27"/>
        <v>-200000</v>
      </c>
      <c r="K80" s="75">
        <f t="shared" si="27"/>
        <v>-300000</v>
      </c>
      <c r="L80" s="75"/>
      <c r="M80" s="75"/>
      <c r="N80" s="257">
        <f>SUM(N78:N79)</f>
        <v>-500000</v>
      </c>
      <c r="O80" s="257">
        <f>SUM(O78:O79)</f>
        <v>-1599544.4350000017</v>
      </c>
      <c r="P80" s="257">
        <f>SUM(P78:P79)</f>
        <v>-2099544.4350000015</v>
      </c>
      <c r="Q80" s="75"/>
      <c r="R80" s="75"/>
      <c r="S80" s="75">
        <f>SUM(S78:S79)</f>
        <v>-50000</v>
      </c>
      <c r="T80" s="75">
        <f>SUM(T78:T79)</f>
        <v>-50000</v>
      </c>
      <c r="U80" s="257">
        <f>SUM(U78:U79)</f>
        <v>-100000</v>
      </c>
      <c r="V80" s="257">
        <f>SUM(V78:V79)</f>
        <v>-2199544.4350000015</v>
      </c>
      <c r="W80" s="191"/>
      <c r="X80" s="191"/>
      <c r="Y80" s="191"/>
    </row>
    <row r="81" spans="2:29" x14ac:dyDescent="0.25">
      <c r="B81" s="35"/>
      <c r="C81" s="123"/>
      <c r="D81" s="105"/>
      <c r="E81" s="105"/>
      <c r="F81" s="105"/>
      <c r="G81" s="105"/>
      <c r="H81" s="105"/>
      <c r="I81" s="258"/>
      <c r="J81" s="105"/>
      <c r="K81" s="105"/>
      <c r="L81" s="105"/>
      <c r="M81" s="105"/>
      <c r="N81" s="258"/>
      <c r="O81" s="105"/>
      <c r="P81" s="286"/>
      <c r="Q81" s="105"/>
      <c r="R81" s="105"/>
      <c r="S81" s="105"/>
      <c r="T81" s="105"/>
      <c r="U81" s="258"/>
      <c r="V81" s="258"/>
      <c r="W81" s="191"/>
      <c r="X81" s="191"/>
      <c r="Y81" s="191"/>
    </row>
    <row r="82" spans="2:29" x14ac:dyDescent="0.25">
      <c r="B82" s="89" t="s">
        <v>336</v>
      </c>
      <c r="C82" s="424"/>
      <c r="D82" s="105"/>
      <c r="E82" s="105"/>
      <c r="F82" s="105"/>
      <c r="G82" s="105"/>
      <c r="H82" s="105"/>
      <c r="I82" s="258"/>
      <c r="J82" s="105"/>
      <c r="K82" s="105"/>
      <c r="L82" s="105"/>
      <c r="M82" s="105"/>
      <c r="N82" s="258"/>
      <c r="O82" s="105"/>
      <c r="P82" s="286"/>
      <c r="Q82" s="105"/>
      <c r="R82" s="105"/>
      <c r="S82" s="105"/>
      <c r="T82" s="105"/>
      <c r="U82" s="258"/>
      <c r="V82" s="258">
        <f>U82+P82</f>
        <v>0</v>
      </c>
      <c r="W82" s="191"/>
      <c r="X82" s="191"/>
      <c r="Y82" s="191"/>
    </row>
    <row r="83" spans="2:29" x14ac:dyDescent="0.25">
      <c r="B83" s="35" t="s">
        <v>337</v>
      </c>
      <c r="C83" s="418" t="str">
        <f>Summary!$E$172</f>
        <v>USD</v>
      </c>
      <c r="D83" s="78"/>
      <c r="E83" s="78">
        <f>SUM(E54:E55)-SUM(D54:D55)</f>
        <v>0</v>
      </c>
      <c r="F83" s="78">
        <f>SUM(F54:F55)-SUM(E54:E55)</f>
        <v>0</v>
      </c>
      <c r="G83" s="78">
        <f>SUM(G54:G55)-SUM(F54:F55)</f>
        <v>0</v>
      </c>
      <c r="H83" s="78">
        <f>SUM(H54:H55)-SUM(G54:G55)</f>
        <v>0</v>
      </c>
      <c r="I83" s="265">
        <f>SUM(E83:H83)</f>
        <v>0</v>
      </c>
      <c r="J83" s="78">
        <f>SUM(J54:J55)-SUM(I54:I55)</f>
        <v>0</v>
      </c>
      <c r="K83" s="78">
        <f>SUM(K54:K55)-SUM(J54:J55)</f>
        <v>0</v>
      </c>
      <c r="L83" s="78"/>
      <c r="M83" s="78"/>
      <c r="N83" s="258">
        <f>SUM(J83:M83)</f>
        <v>0</v>
      </c>
      <c r="O83" s="78">
        <f ca="1">O54+O55</f>
        <v>1400000</v>
      </c>
      <c r="P83" s="286">
        <f ca="1">SUM(N83:O83)</f>
        <v>1400000</v>
      </c>
      <c r="Q83" s="78"/>
      <c r="R83" s="78"/>
      <c r="S83" s="294">
        <f ca="1">SUM(S54:S55)-SUM($P54:$P55)</f>
        <v>0</v>
      </c>
      <c r="T83" s="78">
        <f ca="1">SUM(T54:T55)-SUM(S54:S55)</f>
        <v>0</v>
      </c>
      <c r="U83" s="286">
        <f ca="1">SUM(S83:T83)</f>
        <v>0</v>
      </c>
      <c r="V83" s="258">
        <f ca="1">U83+P83</f>
        <v>1400000</v>
      </c>
      <c r="W83" s="191"/>
      <c r="X83" s="191"/>
      <c r="Y83" s="191"/>
    </row>
    <row r="84" spans="2:29" x14ac:dyDescent="0.25">
      <c r="B84" s="25" t="s">
        <v>338</v>
      </c>
      <c r="C84" s="418" t="str">
        <f>Summary!$E$172</f>
        <v>USD</v>
      </c>
      <c r="D84" s="92"/>
      <c r="E84" s="92">
        <f>-E68</f>
        <v>-7000</v>
      </c>
      <c r="F84" s="92">
        <f>-F68</f>
        <v>-6500</v>
      </c>
      <c r="G84" s="92">
        <f>-G68</f>
        <v>-7000</v>
      </c>
      <c r="H84" s="92">
        <f>-H68</f>
        <v>-6500</v>
      </c>
      <c r="I84" s="265">
        <f>SUM(E84:H84)</f>
        <v>-27000</v>
      </c>
      <c r="J84" s="92">
        <f>-J68</f>
        <v>-7000</v>
      </c>
      <c r="K84" s="92">
        <f>-K68</f>
        <v>-7000</v>
      </c>
      <c r="L84" s="92"/>
      <c r="M84" s="92"/>
      <c r="N84" s="258">
        <f>SUM(J84:M84)</f>
        <v>-14000</v>
      </c>
      <c r="O84" s="92"/>
      <c r="P84" s="286">
        <f>SUM(N84:O84)</f>
        <v>-14000</v>
      </c>
      <c r="Q84" s="92"/>
      <c r="R84" s="92"/>
      <c r="S84" s="92">
        <f ca="1">-S68</f>
        <v>-93562.5</v>
      </c>
      <c r="T84" s="92">
        <f ca="1">-T68</f>
        <v>-93562.5</v>
      </c>
      <c r="U84" s="286">
        <f ca="1">SUM(S84:T84)</f>
        <v>-187125</v>
      </c>
      <c r="V84" s="258">
        <f ca="1">U84+P84</f>
        <v>-201125</v>
      </c>
      <c r="W84" s="191"/>
      <c r="X84" s="191"/>
      <c r="Y84" s="191"/>
    </row>
    <row r="85" spans="2:29" x14ac:dyDescent="0.25">
      <c r="B85" s="25" t="s">
        <v>339</v>
      </c>
      <c r="C85" s="418" t="str">
        <f>Summary!$E$172</f>
        <v>USD</v>
      </c>
      <c r="D85" s="141"/>
      <c r="E85" s="141">
        <v>0</v>
      </c>
      <c r="F85" s="141">
        <v>0</v>
      </c>
      <c r="G85" s="141">
        <v>0</v>
      </c>
      <c r="H85" s="141">
        <v>0</v>
      </c>
      <c r="I85" s="265">
        <f>SUM(E85:H85)</f>
        <v>0</v>
      </c>
      <c r="J85" s="141">
        <v>0</v>
      </c>
      <c r="K85" s="141">
        <v>0</v>
      </c>
      <c r="L85" s="141"/>
      <c r="M85" s="141"/>
      <c r="N85" s="258">
        <f>SUM(J85:M85)</f>
        <v>0</v>
      </c>
      <c r="O85" s="90">
        <f>O56</f>
        <v>1599544.4350000017</v>
      </c>
      <c r="P85" s="286">
        <f>SUM(N85:O85)</f>
        <v>1599544.4350000017</v>
      </c>
      <c r="Q85" s="90"/>
      <c r="R85" s="90"/>
      <c r="S85" s="141">
        <v>0</v>
      </c>
      <c r="T85" s="141">
        <v>0</v>
      </c>
      <c r="U85" s="286">
        <f>SUM(S85:T85)</f>
        <v>0</v>
      </c>
      <c r="V85" s="258">
        <f>U85+P85</f>
        <v>1599544.4350000017</v>
      </c>
      <c r="W85" s="191"/>
      <c r="X85" s="191"/>
      <c r="Y85" s="191"/>
    </row>
    <row r="86" spans="2:29" x14ac:dyDescent="0.25">
      <c r="B86" s="25" t="s">
        <v>340</v>
      </c>
      <c r="C86" s="418" t="str">
        <f>Summary!$E$172</f>
        <v>USD</v>
      </c>
      <c r="D86" s="90"/>
      <c r="E86" s="90">
        <v>0</v>
      </c>
      <c r="F86" s="90">
        <v>0</v>
      </c>
      <c r="G86" s="90">
        <v>0</v>
      </c>
      <c r="H86" s="141">
        <v>0</v>
      </c>
      <c r="I86" s="265">
        <f>SUM(E86:H86)</f>
        <v>0</v>
      </c>
      <c r="J86" s="90">
        <v>0</v>
      </c>
      <c r="K86" s="90">
        <v>0</v>
      </c>
      <c r="L86" s="90"/>
      <c r="M86" s="141"/>
      <c r="N86" s="258">
        <f>SUM(J86:M86)</f>
        <v>0</v>
      </c>
      <c r="O86" s="90"/>
      <c r="P86" s="286">
        <f>SUM(N86:O86)</f>
        <v>0</v>
      </c>
      <c r="Q86" s="90"/>
      <c r="R86" s="90"/>
      <c r="S86" s="90">
        <v>0</v>
      </c>
      <c r="T86" s="304">
        <f ca="1">'Financials Yearly'!G120</f>
        <v>-86963.625</v>
      </c>
      <c r="U86" s="286">
        <f ca="1">SUM(S86:T86)</f>
        <v>-86963.625</v>
      </c>
      <c r="V86" s="286">
        <f ca="1">U86+P86</f>
        <v>-86963.625</v>
      </c>
      <c r="W86" s="191"/>
      <c r="X86" s="191"/>
      <c r="Y86" s="191"/>
    </row>
    <row r="87" spans="2:29" x14ac:dyDescent="0.25">
      <c r="B87" s="180" t="s">
        <v>335</v>
      </c>
      <c r="C87" s="416" t="str">
        <f>Summary!$E$172</f>
        <v>USD</v>
      </c>
      <c r="D87" s="75"/>
      <c r="E87" s="75">
        <f>SUM(E83:E86)</f>
        <v>-7000</v>
      </c>
      <c r="F87" s="75">
        <f>SUM(F83:F86)</f>
        <v>-6500</v>
      </c>
      <c r="G87" s="75">
        <f>SUM(G83:G86)</f>
        <v>-7000</v>
      </c>
      <c r="H87" s="75">
        <f>SUM(H83:H86)</f>
        <v>-6500</v>
      </c>
      <c r="I87" s="267">
        <f>SUM(E87:H87)</f>
        <v>-27000</v>
      </c>
      <c r="J87" s="75">
        <f>SUM(J83:J86)</f>
        <v>-7000</v>
      </c>
      <c r="K87" s="75">
        <f>SUM(K83:K86)</f>
        <v>-7000</v>
      </c>
      <c r="L87" s="75"/>
      <c r="M87" s="75"/>
      <c r="N87" s="257">
        <f>SUM(N83:N86)</f>
        <v>-14000</v>
      </c>
      <c r="O87" s="257">
        <f ca="1">SUM(O83:O86)</f>
        <v>2999544.4350000015</v>
      </c>
      <c r="P87" s="257">
        <f ca="1">SUM(P83:P86)</f>
        <v>2985544.4350000015</v>
      </c>
      <c r="Q87" s="75"/>
      <c r="R87" s="75"/>
      <c r="S87" s="75">
        <f ca="1">SUM(S83:S86)</f>
        <v>-93562.5</v>
      </c>
      <c r="T87" s="75">
        <f ca="1">SUM(T83:T86)</f>
        <v>-180526.125</v>
      </c>
      <c r="U87" s="257">
        <f ca="1">SUM(U83:U86)</f>
        <v>-274088.625</v>
      </c>
      <c r="V87" s="257">
        <f ca="1">SUM(V83:V86)</f>
        <v>2711455.8100000015</v>
      </c>
      <c r="W87" s="191"/>
      <c r="X87" s="191"/>
      <c r="Y87" s="191"/>
    </row>
    <row r="88" spans="2:29" x14ac:dyDescent="0.25">
      <c r="B88" s="35"/>
      <c r="C88" s="123"/>
      <c r="D88" s="105"/>
      <c r="E88" s="105"/>
      <c r="F88" s="105"/>
      <c r="G88" s="105"/>
      <c r="H88" s="105"/>
      <c r="I88" s="258"/>
      <c r="J88" s="105"/>
      <c r="K88" s="105"/>
      <c r="L88" s="105"/>
      <c r="M88" s="105"/>
      <c r="N88" s="258"/>
      <c r="O88" s="105"/>
      <c r="P88" s="286"/>
      <c r="Q88" s="105"/>
      <c r="R88" s="105"/>
      <c r="S88" s="105"/>
      <c r="T88" s="105"/>
      <c r="U88" s="258"/>
      <c r="V88" s="258"/>
      <c r="W88" s="191"/>
      <c r="X88" s="191"/>
      <c r="Y88" s="191"/>
    </row>
    <row r="89" spans="2:29" x14ac:dyDescent="0.25">
      <c r="B89" s="180" t="s">
        <v>341</v>
      </c>
      <c r="C89" s="416" t="str">
        <f>Summary!$E$172</f>
        <v>USD</v>
      </c>
      <c r="D89" s="75"/>
      <c r="E89" s="75">
        <f>E75+E80+E87</f>
        <v>-133746</v>
      </c>
      <c r="F89" s="75">
        <f>F75+F80+F87</f>
        <v>-134967</v>
      </c>
      <c r="G89" s="75">
        <f>G75+G80+G87</f>
        <v>-45629.510000000009</v>
      </c>
      <c r="H89" s="75">
        <f>H75+H80+H87</f>
        <v>203545.5</v>
      </c>
      <c r="I89" s="267">
        <f>SUM(E89:H89)</f>
        <v>-110797.01000000001</v>
      </c>
      <c r="J89" s="75">
        <f>J75+J80+J87</f>
        <v>-36160</v>
      </c>
      <c r="K89" s="75">
        <f>K75+K80+K87</f>
        <v>-111595</v>
      </c>
      <c r="L89" s="75"/>
      <c r="M89" s="75"/>
      <c r="N89" s="257">
        <f>N75+N80+N87</f>
        <v>-147755</v>
      </c>
      <c r="O89" s="257">
        <f ca="1">O75+O80+O87</f>
        <v>1599999.9999999998</v>
      </c>
      <c r="P89" s="257">
        <f ca="1">P75+P80+P87</f>
        <v>1452245</v>
      </c>
      <c r="Q89" s="75"/>
      <c r="R89" s="75"/>
      <c r="S89" s="75">
        <f ca="1">S75+S80+S87</f>
        <v>31437.5</v>
      </c>
      <c r="T89" s="75">
        <f ca="1">T75+T80+T87</f>
        <v>-19943.625</v>
      </c>
      <c r="U89" s="257">
        <f ca="1">U75+U80+U87</f>
        <v>11493.875</v>
      </c>
      <c r="V89" s="257">
        <f ca="1">V75+V80+V87</f>
        <v>1463738.875</v>
      </c>
      <c r="W89" s="191"/>
      <c r="X89" s="191"/>
      <c r="Y89" s="191"/>
    </row>
    <row r="90" spans="2:29" x14ac:dyDescent="0.25">
      <c r="B90" s="34"/>
      <c r="C90" s="123"/>
      <c r="D90" s="105"/>
      <c r="E90" s="105"/>
      <c r="F90" s="105"/>
      <c r="G90" s="105"/>
      <c r="H90" s="105"/>
      <c r="I90" s="258"/>
      <c r="J90" s="105"/>
      <c r="K90" s="105"/>
      <c r="L90" s="105"/>
      <c r="M90" s="105"/>
      <c r="N90" s="258"/>
      <c r="O90" s="105"/>
      <c r="P90" s="286"/>
      <c r="Q90" s="105"/>
      <c r="R90" s="105"/>
      <c r="S90" s="105"/>
      <c r="T90" s="105"/>
      <c r="U90" s="258"/>
      <c r="V90" s="258"/>
      <c r="W90" s="191"/>
      <c r="X90" s="191"/>
      <c r="Y90" s="191"/>
    </row>
    <row r="91" spans="2:29" x14ac:dyDescent="0.25">
      <c r="B91" s="25" t="s">
        <v>277</v>
      </c>
      <c r="C91" s="418" t="str">
        <f>Summary!$E$172</f>
        <v>USD</v>
      </c>
      <c r="D91" s="105"/>
      <c r="E91" s="105">
        <f>D92</f>
        <v>495000</v>
      </c>
      <c r="F91" s="105">
        <f>E92</f>
        <v>361254</v>
      </c>
      <c r="G91" s="105">
        <f>F92</f>
        <v>226287</v>
      </c>
      <c r="H91" s="105">
        <f>G92</f>
        <v>180657.49</v>
      </c>
      <c r="I91" s="258">
        <f>D92</f>
        <v>495000</v>
      </c>
      <c r="J91" s="105">
        <f>I92</f>
        <v>384202.99</v>
      </c>
      <c r="K91" s="105">
        <f>J92</f>
        <v>348042.99</v>
      </c>
      <c r="L91" s="105"/>
      <c r="M91" s="105"/>
      <c r="N91" s="258">
        <f>I92</f>
        <v>384202.99</v>
      </c>
      <c r="O91" s="105">
        <f>N92</f>
        <v>236447.99</v>
      </c>
      <c r="P91" s="286">
        <f>N91</f>
        <v>384202.99</v>
      </c>
      <c r="Q91" s="105"/>
      <c r="R91" s="105"/>
      <c r="S91" s="278">
        <f ca="1">P92</f>
        <v>1836447.99</v>
      </c>
      <c r="T91" s="105">
        <f ca="1">S92</f>
        <v>1867885.49</v>
      </c>
      <c r="U91" s="258">
        <f ca="1">P92</f>
        <v>1836447.99</v>
      </c>
      <c r="V91" s="258">
        <f>I92</f>
        <v>384202.99</v>
      </c>
      <c r="W91" s="191"/>
      <c r="X91" s="191"/>
      <c r="Y91" s="191"/>
    </row>
    <row r="92" spans="2:29" x14ac:dyDescent="0.25">
      <c r="B92" s="180" t="s">
        <v>137</v>
      </c>
      <c r="C92" s="416" t="str">
        <f>Summary!$E$172</f>
        <v>USD</v>
      </c>
      <c r="D92" s="75">
        <f>D44</f>
        <v>495000</v>
      </c>
      <c r="E92" s="75">
        <f>E89+E91</f>
        <v>361254</v>
      </c>
      <c r="F92" s="75">
        <f>F89+F91</f>
        <v>226287</v>
      </c>
      <c r="G92" s="75">
        <f>G89+G91</f>
        <v>180657.49</v>
      </c>
      <c r="H92" s="75">
        <f>H89+H91</f>
        <v>384202.99</v>
      </c>
      <c r="I92" s="257">
        <f>H92</f>
        <v>384202.99</v>
      </c>
      <c r="J92" s="75">
        <f>J89+J91</f>
        <v>348042.99</v>
      </c>
      <c r="K92" s="75">
        <f>K89+K91</f>
        <v>236447.99</v>
      </c>
      <c r="L92" s="75"/>
      <c r="M92" s="75"/>
      <c r="N92" s="257">
        <f>N89+N91</f>
        <v>236447.99</v>
      </c>
      <c r="O92" s="257">
        <f ca="1">O89+O91</f>
        <v>1836447.9899999998</v>
      </c>
      <c r="P92" s="257">
        <f ca="1">P89+P91</f>
        <v>1836447.99</v>
      </c>
      <c r="Q92" s="75"/>
      <c r="R92" s="75"/>
      <c r="S92" s="75">
        <f ca="1">S89+S91</f>
        <v>1867885.49</v>
      </c>
      <c r="T92" s="75">
        <f ca="1">T89+T91</f>
        <v>1847941.865</v>
      </c>
      <c r="U92" s="257">
        <f ca="1">U89+U91</f>
        <v>1847941.865</v>
      </c>
      <c r="V92" s="257">
        <f ca="1">V89+V91</f>
        <v>1847941.865</v>
      </c>
      <c r="W92" s="191"/>
      <c r="X92" s="191"/>
      <c r="Y92" s="191"/>
    </row>
    <row r="93" spans="2:29" x14ac:dyDescent="0.25">
      <c r="B93" s="25"/>
      <c r="C93" s="425"/>
      <c r="D93" s="25"/>
      <c r="E93" s="25"/>
      <c r="F93" s="25"/>
      <c r="G93" s="35"/>
      <c r="H93" s="35"/>
      <c r="I93" s="35"/>
      <c r="J93" s="35"/>
      <c r="K93" s="35"/>
      <c r="L93" s="35"/>
      <c r="M93" s="35"/>
      <c r="N93" s="35"/>
      <c r="O93" s="35"/>
      <c r="P93" s="35"/>
      <c r="Q93" s="35"/>
      <c r="R93" s="35"/>
      <c r="S93" s="35"/>
      <c r="T93" s="35"/>
      <c r="U93" s="35"/>
      <c r="V93" s="35"/>
      <c r="W93" s="191"/>
      <c r="X93" s="191"/>
      <c r="Y93" s="191"/>
    </row>
    <row r="94" spans="2:29" ht="13" x14ac:dyDescent="0.3">
      <c r="B94" s="86" t="s">
        <v>176</v>
      </c>
      <c r="C94" s="423"/>
      <c r="D94" s="85"/>
      <c r="E94" s="86"/>
      <c r="F94" s="86"/>
      <c r="G94" s="86"/>
      <c r="H94" s="86"/>
      <c r="I94" s="86">
        <f>I92-'Financials Yearly'!F55</f>
        <v>0</v>
      </c>
      <c r="J94" s="86"/>
      <c r="K94" s="86"/>
      <c r="L94" s="86"/>
      <c r="M94" s="86"/>
      <c r="N94" s="86"/>
      <c r="O94" s="86">
        <f ca="1">O89-O44</f>
        <v>0</v>
      </c>
      <c r="P94" s="86">
        <f ca="1">P92-O92</f>
        <v>0</v>
      </c>
      <c r="Q94" s="86"/>
      <c r="R94" s="86"/>
      <c r="S94" s="86"/>
      <c r="T94" s="86"/>
      <c r="U94" s="191"/>
      <c r="V94" s="86">
        <f ca="1">V92-U92</f>
        <v>0</v>
      </c>
      <c r="W94" s="191"/>
      <c r="X94" s="191"/>
      <c r="Y94" s="191"/>
      <c r="Z94" s="191"/>
      <c r="AA94" s="191"/>
      <c r="AB94" s="191"/>
      <c r="AC94" s="191"/>
    </row>
    <row r="95" spans="2:29" x14ac:dyDescent="0.25">
      <c r="W95" s="191"/>
      <c r="X95" s="191"/>
      <c r="Y95" s="191"/>
    </row>
    <row r="96" spans="2:29" x14ac:dyDescent="0.25">
      <c r="B96" s="62"/>
      <c r="C96" s="427"/>
      <c r="D96" s="62"/>
      <c r="E96" s="62"/>
      <c r="F96" s="62"/>
      <c r="G96" s="62"/>
      <c r="H96" s="62"/>
      <c r="I96" s="62"/>
      <c r="J96" s="62"/>
      <c r="K96" s="62"/>
      <c r="L96" s="62"/>
      <c r="M96" s="62"/>
      <c r="N96" s="62"/>
      <c r="O96" s="62"/>
      <c r="P96" s="62"/>
      <c r="Q96" s="62"/>
      <c r="R96" s="62"/>
      <c r="S96" s="62"/>
      <c r="T96" s="62"/>
      <c r="U96" s="62"/>
      <c r="V96" s="62"/>
      <c r="W96" s="191"/>
      <c r="X96" s="191"/>
      <c r="Y96" s="191"/>
    </row>
    <row r="97" spans="2:25" x14ac:dyDescent="0.25">
      <c r="B97" s="13" t="s">
        <v>379</v>
      </c>
      <c r="C97" s="410"/>
      <c r="D97" s="13"/>
      <c r="E97" s="13"/>
      <c r="F97" s="13"/>
      <c r="G97" s="13"/>
      <c r="H97" s="13"/>
      <c r="I97" s="13"/>
      <c r="J97" s="13"/>
      <c r="K97" s="13"/>
      <c r="L97" s="13"/>
      <c r="M97" s="13"/>
      <c r="N97" s="13"/>
      <c r="O97" s="13"/>
      <c r="P97" s="13"/>
      <c r="Q97" s="13"/>
      <c r="R97" s="13"/>
      <c r="S97" s="13"/>
      <c r="T97" s="13"/>
      <c r="U97" s="13"/>
      <c r="V97" s="13"/>
      <c r="W97" s="191"/>
      <c r="X97" s="191"/>
      <c r="Y97" s="191"/>
    </row>
    <row r="98" spans="2:25" x14ac:dyDescent="0.25">
      <c r="B98" s="13"/>
      <c r="C98" s="410"/>
      <c r="D98" s="13"/>
      <c r="E98" s="13"/>
      <c r="F98" s="13"/>
      <c r="G98" s="13"/>
      <c r="H98" s="13"/>
      <c r="I98" s="13"/>
      <c r="J98" s="13"/>
      <c r="K98" s="13"/>
      <c r="L98" s="13"/>
      <c r="M98" s="13"/>
      <c r="N98" s="13"/>
      <c r="O98" s="13"/>
      <c r="P98" s="13"/>
      <c r="Q98" s="13"/>
      <c r="R98" s="13"/>
      <c r="S98" s="13"/>
      <c r="T98" s="13"/>
      <c r="U98" s="13"/>
      <c r="V98" s="13"/>
      <c r="W98" s="191"/>
      <c r="X98" s="191"/>
      <c r="Y98" s="191"/>
    </row>
    <row r="99" spans="2:25" x14ac:dyDescent="0.25">
      <c r="B99" s="13"/>
      <c r="C99" s="410"/>
      <c r="D99" s="13"/>
      <c r="E99" s="13"/>
      <c r="F99" s="13"/>
      <c r="G99" s="13"/>
      <c r="H99" s="13"/>
      <c r="I99" s="13"/>
      <c r="J99" s="13"/>
      <c r="K99" s="13"/>
      <c r="L99" s="13"/>
      <c r="M99" s="13"/>
      <c r="N99" s="13"/>
      <c r="O99" s="13"/>
      <c r="P99" s="13"/>
      <c r="Q99" s="13"/>
      <c r="R99" s="13"/>
      <c r="S99" s="13"/>
      <c r="T99" s="13"/>
      <c r="U99" s="13"/>
      <c r="V99" s="13"/>
    </row>
    <row r="100" spans="2:25" x14ac:dyDescent="0.25">
      <c r="B100" s="13"/>
      <c r="C100" s="410"/>
      <c r="D100" s="13"/>
      <c r="E100" s="13"/>
      <c r="F100" s="13"/>
      <c r="G100" s="13"/>
      <c r="H100" s="13"/>
      <c r="I100" s="13"/>
      <c r="J100" s="13"/>
      <c r="K100" s="13"/>
      <c r="L100" s="13"/>
      <c r="M100" s="13"/>
      <c r="N100" s="13"/>
      <c r="O100" s="13"/>
      <c r="P100" s="13"/>
      <c r="Q100" s="13"/>
      <c r="R100" s="13"/>
      <c r="S100" s="13"/>
      <c r="T100" s="13"/>
      <c r="U100" s="13"/>
      <c r="V100" s="13"/>
    </row>
    <row r="101" spans="2:25" x14ac:dyDescent="0.25">
      <c r="B101" s="13"/>
      <c r="C101" s="410"/>
      <c r="D101" s="13"/>
      <c r="E101" s="13"/>
      <c r="F101" s="13"/>
      <c r="G101" s="13"/>
      <c r="H101" s="13"/>
      <c r="I101" s="13"/>
      <c r="J101" s="13"/>
      <c r="K101" s="13"/>
      <c r="L101" s="13"/>
      <c r="M101" s="13"/>
      <c r="N101" s="13"/>
      <c r="O101" s="13"/>
      <c r="P101" s="13"/>
      <c r="Q101" s="13"/>
      <c r="R101" s="13"/>
      <c r="S101" s="13"/>
      <c r="T101" s="13"/>
      <c r="U101" s="13"/>
      <c r="V101" s="13"/>
    </row>
    <row r="102" spans="2:25" x14ac:dyDescent="0.25">
      <c r="B102" s="57" t="s">
        <v>380</v>
      </c>
      <c r="C102" s="57"/>
      <c r="D102" s="57"/>
      <c r="E102" s="57"/>
      <c r="F102" s="57"/>
      <c r="G102" s="13"/>
      <c r="H102" s="13"/>
      <c r="I102" s="13"/>
      <c r="J102" s="13"/>
      <c r="K102" s="13"/>
      <c r="L102" s="13"/>
      <c r="M102" s="13"/>
      <c r="N102" s="13"/>
      <c r="O102" s="13"/>
      <c r="P102" s="13"/>
      <c r="Q102" s="13"/>
      <c r="R102" s="13"/>
      <c r="S102" s="13"/>
      <c r="T102" s="13"/>
      <c r="U102" s="13"/>
      <c r="V102" s="13"/>
    </row>
  </sheetData>
  <phoneticPr fontId="2" type="noConversion"/>
  <hyperlinks>
    <hyperlink ref="B102" r:id="rId1" xr:uid="{00000000-0004-0000-0400-000000000000}"/>
  </hyperlinks>
  <printOptions horizontalCentered="1"/>
  <pageMargins left="0.74803149606299213" right="0.74803149606299213" top="0.98425196850393704" bottom="0.98425196850393704" header="0.51181102362204722" footer="0.51181102362204722"/>
  <pageSetup paperSize="9" scale="37" fitToHeight="0" orientation="portrait" horizontalDpi="0" verticalDpi="0"/>
  <headerFooter>
    <oddFooter>&amp;LConfidential&amp;C&amp;P / &amp;N&amp;R&amp;D</oddFooter>
  </headerFooter>
  <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Title</vt:lpstr>
      <vt:lpstr>Abbreviations</vt:lpstr>
      <vt:lpstr>Summary</vt:lpstr>
      <vt:lpstr>Financials Yearly</vt:lpstr>
      <vt:lpstr>Financials Quarterly</vt:lpstr>
      <vt:lpstr>'Financials Quarterly'!Print_Area</vt:lpstr>
      <vt:lpstr>'Financials Yearly'!Print_Area</vt:lpstr>
      <vt:lpstr>'Financials Quarterly'!Print_Titles</vt:lpstr>
      <vt:lpstr>'Financials Yearly'!Print_Titles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Cyrill Haenni</dc:creator>
  <cp:lastModifiedBy>daplet chris</cp:lastModifiedBy>
  <cp:lastPrinted>2020-03-29T17:46:25Z</cp:lastPrinted>
  <dcterms:created xsi:type="dcterms:W3CDTF">2016-06-24T13:26:38Z</dcterms:created>
  <dcterms:modified xsi:type="dcterms:W3CDTF">2021-02-04T10:04:19Z</dcterms:modified>
</cp:coreProperties>
</file>