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immuneinc-my.sharepoint.com/personal/christopher_dallarosa_systimmune_com/Documents/Desktop/"/>
    </mc:Choice>
  </mc:AlternateContent>
  <xr:revisionPtr revIDLastSave="0" documentId="8_{522D46E3-5B4B-4652-AD44-5FD711107076}" xr6:coauthVersionLast="47" xr6:coauthVersionMax="47" xr10:uidLastSave="{00000000-0000-0000-0000-000000000000}"/>
  <bookViews>
    <workbookView xWindow="-57710" yWindow="-3970" windowWidth="38620" windowHeight="21100" xr2:uid="{BC3E2FAD-3112-4D91-B068-5E6DA3BDA58E}"/>
  </bookViews>
  <sheets>
    <sheet name="2025" sheetId="2" r:id="rId1"/>
  </sheets>
  <definedNames>
    <definedName name="_xlnm.Print_Area" localSheetId="0">'2025'!#REF!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9" i="2" l="1"/>
  <c r="S90" i="2"/>
  <c r="S91" i="2"/>
  <c r="S92" i="2"/>
  <c r="S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Y59" i="2" l="1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58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S17" i="2"/>
  <c r="S16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15" i="2"/>
  <c r="O29" i="2"/>
  <c r="O28" i="2"/>
  <c r="O25" i="2"/>
  <c r="O24" i="2"/>
  <c r="O21" i="2"/>
  <c r="O20" i="2"/>
  <c r="O17" i="2"/>
  <c r="O16" i="2"/>
  <c r="R32" i="2"/>
  <c r="O32" i="2" s="1"/>
  <c r="R31" i="2"/>
  <c r="O31" i="2" s="1"/>
  <c r="R30" i="2"/>
  <c r="O30" i="2" s="1"/>
  <c r="R29" i="2"/>
  <c r="R28" i="2"/>
  <c r="R27" i="2"/>
  <c r="O27" i="2" s="1"/>
  <c r="R26" i="2"/>
  <c r="O26" i="2" s="1"/>
  <c r="R25" i="2"/>
  <c r="R24" i="2"/>
  <c r="R23" i="2"/>
  <c r="O23" i="2" s="1"/>
  <c r="R22" i="2"/>
  <c r="O22" i="2" s="1"/>
  <c r="R21" i="2"/>
  <c r="R20" i="2"/>
  <c r="R19" i="2"/>
  <c r="O19" i="2" s="1"/>
  <c r="R18" i="2"/>
  <c r="O18" i="2" s="1"/>
  <c r="R17" i="2"/>
  <c r="R16" i="2"/>
  <c r="R15" i="2"/>
  <c r="O15" i="2" s="1"/>
  <c r="R14" i="2"/>
  <c r="R13" i="2"/>
  <c r="R12" i="2"/>
  <c r="R11" i="2"/>
  <c r="R9" i="2"/>
  <c r="R10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<sst xmlns="http://schemas.openxmlformats.org/spreadsheetml/2006/main" count="328" uniqueCount="178">
  <si>
    <t xml:space="preserve">Project </t>
  </si>
  <si>
    <t>SIP number</t>
  </si>
  <si>
    <t>Sample ID</t>
  </si>
  <si>
    <t>FB ID</t>
  </si>
  <si>
    <t>Description (MP/BP/ BP SCC/MP SCC)</t>
  </si>
  <si>
    <t>Analyst (CLD)</t>
  </si>
  <si>
    <t>harvest date</t>
  </si>
  <si>
    <t>Mass confirmed</t>
  </si>
  <si>
    <t>UNIFI#</t>
  </si>
  <si>
    <t>Titer Comment</t>
  </si>
  <si>
    <t>Intact or reduced</t>
  </si>
  <si>
    <t>CLD 30ml Octet titer (g/L)</t>
  </si>
  <si>
    <t>ProAqa Titer (g/L)</t>
  </si>
  <si>
    <t>Fast ProA Recovery %</t>
  </si>
  <si>
    <t>Purification recovery A280 (g/L)</t>
  </si>
  <si>
    <t>ProA eluate A280 conc (mg/ml)</t>
  </si>
  <si>
    <t>ProA eluate volume (ml)</t>
  </si>
  <si>
    <t>HCCF loading volume (ml)</t>
  </si>
  <si>
    <t>ProA Recovery (%)</t>
  </si>
  <si>
    <t>ProA column size(mL)</t>
  </si>
  <si>
    <t>Resin Loading (mg/mL-r)</t>
  </si>
  <si>
    <t>protein A conc</t>
  </si>
  <si>
    <t>Column ID</t>
  </si>
  <si>
    <t>Note</t>
  </si>
  <si>
    <t>SI-84</t>
  </si>
  <si>
    <t>SIP3275</t>
  </si>
  <si>
    <t>2E8'</t>
  </si>
  <si>
    <t>subcloning SCC</t>
  </si>
  <si>
    <t>YY</t>
  </si>
  <si>
    <t>yes</t>
  </si>
  <si>
    <t>#2412,2454</t>
  </si>
  <si>
    <t>5D10</t>
  </si>
  <si>
    <t>#2412,2455</t>
  </si>
  <si>
    <t>6C2</t>
  </si>
  <si>
    <t>#2412,2456</t>
  </si>
  <si>
    <t>6E10'</t>
  </si>
  <si>
    <t>#2412,2457</t>
  </si>
  <si>
    <t>8B8</t>
  </si>
  <si>
    <t>#2412,2458</t>
  </si>
  <si>
    <t>10C8</t>
  </si>
  <si>
    <t>#2412,2459</t>
  </si>
  <si>
    <t>SI-145T2</t>
  </si>
  <si>
    <t>SIP5683</t>
  </si>
  <si>
    <t>25E9'</t>
  </si>
  <si>
    <t>SCC</t>
  </si>
  <si>
    <t>Yes</t>
  </si>
  <si>
    <t>#1030,1069</t>
  </si>
  <si>
    <t>26E2'</t>
  </si>
  <si>
    <t>#1030,1070</t>
  </si>
  <si>
    <t>26E10'</t>
  </si>
  <si>
    <t>#1030,1071</t>
  </si>
  <si>
    <t>27D9</t>
  </si>
  <si>
    <t>#1030,1072</t>
  </si>
  <si>
    <t>28G4</t>
  </si>
  <si>
    <t>#1030,1073</t>
  </si>
  <si>
    <t>29G9</t>
  </si>
  <si>
    <t>#1030,1074</t>
  </si>
  <si>
    <t>30D2</t>
  </si>
  <si>
    <t>#1030,1075</t>
  </si>
  <si>
    <t>SI-49T5</t>
  </si>
  <si>
    <t>SIP5607</t>
  </si>
  <si>
    <t>1A2</t>
  </si>
  <si>
    <t>BP SCC</t>
  </si>
  <si>
    <t>JS</t>
  </si>
  <si>
    <t>#2419</t>
  </si>
  <si>
    <t>1B2</t>
  </si>
  <si>
    <t>1E1</t>
  </si>
  <si>
    <t>1F3</t>
  </si>
  <si>
    <t>3H11</t>
  </si>
  <si>
    <t>6H2</t>
  </si>
  <si>
    <t>10F10</t>
  </si>
  <si>
    <t>11E9</t>
  </si>
  <si>
    <t>12A7</t>
  </si>
  <si>
    <t>14D4</t>
  </si>
  <si>
    <t>15C4</t>
  </si>
  <si>
    <t>21B12</t>
  </si>
  <si>
    <t>21C9</t>
  </si>
  <si>
    <t>21E11</t>
  </si>
  <si>
    <t>23C12</t>
  </si>
  <si>
    <t>25H8</t>
  </si>
  <si>
    <t>27E4</t>
  </si>
  <si>
    <t>27F4</t>
  </si>
  <si>
    <t>SI-151E1</t>
  </si>
  <si>
    <t>SIP5846</t>
  </si>
  <si>
    <t>1A5</t>
  </si>
  <si>
    <t>No -226 Da</t>
  </si>
  <si>
    <t>#1029</t>
  </si>
  <si>
    <t>4A5</t>
  </si>
  <si>
    <t>4C3</t>
  </si>
  <si>
    <t>11D12</t>
  </si>
  <si>
    <t>11G10</t>
  </si>
  <si>
    <t>14C8</t>
  </si>
  <si>
    <t>23B9</t>
  </si>
  <si>
    <t>#1121</t>
  </si>
  <si>
    <t>30B10</t>
  </si>
  <si>
    <t>SI-96V6</t>
  </si>
  <si>
    <t>SIP5599</t>
  </si>
  <si>
    <t>1C1</t>
  </si>
  <si>
    <t>YW</t>
  </si>
  <si>
    <t>#1031</t>
  </si>
  <si>
    <t>1C9</t>
  </si>
  <si>
    <t>1E5'</t>
  </si>
  <si>
    <t>1F6</t>
  </si>
  <si>
    <t>1F7</t>
  </si>
  <si>
    <t>3C2</t>
  </si>
  <si>
    <t>4A7</t>
  </si>
  <si>
    <t>4B2</t>
  </si>
  <si>
    <t>5A9</t>
  </si>
  <si>
    <t>5F9</t>
  </si>
  <si>
    <t>73A4</t>
  </si>
  <si>
    <t>73C11</t>
  </si>
  <si>
    <t>74C8</t>
  </si>
  <si>
    <t>74G2</t>
  </si>
  <si>
    <t>9D11</t>
  </si>
  <si>
    <t>10G9</t>
  </si>
  <si>
    <t>SI-153X6</t>
  </si>
  <si>
    <t>SIP6077</t>
  </si>
  <si>
    <t>Bulkpool</t>
  </si>
  <si>
    <t>BP</t>
  </si>
  <si>
    <t>#1004</t>
  </si>
  <si>
    <t>SI-77E13</t>
  </si>
  <si>
    <t>SIP5600</t>
  </si>
  <si>
    <t>2C7</t>
  </si>
  <si>
    <t>pMP SCC</t>
  </si>
  <si>
    <t>#3574</t>
  </si>
  <si>
    <t>3A6</t>
  </si>
  <si>
    <t>3E5</t>
  </si>
  <si>
    <t>3E9</t>
  </si>
  <si>
    <t>3F1</t>
  </si>
  <si>
    <t>3F6</t>
  </si>
  <si>
    <t>3G10</t>
  </si>
  <si>
    <t>4B7</t>
  </si>
  <si>
    <t>4C8</t>
  </si>
  <si>
    <t>5F10</t>
  </si>
  <si>
    <t>6C11</t>
  </si>
  <si>
    <t>6E11</t>
  </si>
  <si>
    <t>6F10</t>
  </si>
  <si>
    <t>7B7</t>
  </si>
  <si>
    <t>9B7</t>
  </si>
  <si>
    <t>9D1</t>
  </si>
  <si>
    <t>SI-145T5</t>
  </si>
  <si>
    <t>SIP5684</t>
  </si>
  <si>
    <t>3A7</t>
  </si>
  <si>
    <t>#1141</t>
  </si>
  <si>
    <t>All protein A elution tubes have precipitation</t>
  </si>
  <si>
    <t>4F11</t>
  </si>
  <si>
    <t>5A4</t>
  </si>
  <si>
    <t>5D7</t>
  </si>
  <si>
    <t>5E3'</t>
  </si>
  <si>
    <t>10C9</t>
  </si>
  <si>
    <t>11G5</t>
  </si>
  <si>
    <t>12C12</t>
  </si>
  <si>
    <t>15A9</t>
  </si>
  <si>
    <t>15A10</t>
  </si>
  <si>
    <t>16D2</t>
  </si>
  <si>
    <t>18E3'</t>
  </si>
  <si>
    <t>19D8</t>
  </si>
  <si>
    <t>SI-1 11E8 Poly-D</t>
  </si>
  <si>
    <t>1B11</t>
  </si>
  <si>
    <t>4D7</t>
  </si>
  <si>
    <t>5C11</t>
  </si>
  <si>
    <t>8G6</t>
  </si>
  <si>
    <t>9F2</t>
  </si>
  <si>
    <t>SI-130E7</t>
  </si>
  <si>
    <t>SIP6036</t>
  </si>
  <si>
    <t>1F10</t>
  </si>
  <si>
    <t>2H9</t>
  </si>
  <si>
    <t>9A7</t>
  </si>
  <si>
    <t>19H7</t>
  </si>
  <si>
    <t>SI-130T2</t>
  </si>
  <si>
    <t>SIP6037</t>
  </si>
  <si>
    <t>1E7'</t>
  </si>
  <si>
    <t>7G1</t>
  </si>
  <si>
    <t>8B12</t>
  </si>
  <si>
    <t>9E7'</t>
  </si>
  <si>
    <t>2E2'</t>
  </si>
  <si>
    <t>3F11</t>
  </si>
  <si>
    <t>4F8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</si>
</sst>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scheme val="minor"/>
    </font>
    <font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103">
    <xf numFmtId="0" fontId="0" fillId="0" borderId="0" xfId="0"/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6" fillId="0" borderId="0" xfId="1" applyFill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6" fillId="0" borderId="4" xfId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8" xfId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6" fillId="0" borderId="9" xfId="1" applyFill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6" fillId="0" borderId="0" xfId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6" fillId="0" borderId="8" xfId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0C43-EEEF-41A6-98EA-96CD389B53E5}">
  <sheetPr>
    <pageSetUpPr fitToPage="1"/>
  </sheetPr>
  <dimension ref="A1:Y104"/>
  <sheetViews>
    <sheetView tabSelected="1" zoomScale="90" zoomScaleNormal="90" workbookViewId="0">
      <pane xSplit="4" ySplit="1" topLeftCell="E68" activePane="bottomRight" state="frozen"/>
      <selection pane="topRight" activeCell="D1" sqref="D1"/>
      <selection pane="bottomLeft" activeCell="A2" sqref="A2"/>
      <selection pane="bottomRight" activeCell="C104" sqref="A104:XFD104"/>
    </sheetView>
  </sheetViews>
  <sheetFormatPr defaultColWidth="8.6640625" defaultRowHeight="18.75" customHeight="1" x14ac:dyDescent="0.3"/>
  <cols>
    <col min="1" max="1" width="20.5546875" style="1" customWidth="1"/>
    <col min="2" max="2" width="16.6640625" style="1" customWidth="1"/>
    <col min="3" max="3" width="17.88671875" style="12" bestFit="1" customWidth="1"/>
    <col min="4" max="4" width="13.6640625" style="1" customWidth="1"/>
    <col min="5" max="5" width="23.44140625" style="4" customWidth="1"/>
    <col min="6" max="6" width="13.5546875" style="1" customWidth="1"/>
    <col min="7" max="7" width="16.109375" style="1" customWidth="1"/>
    <col min="8" max="8" width="23" style="13" customWidth="1"/>
    <col min="9" max="9" width="17" style="1" customWidth="1"/>
    <col min="10" max="10" width="21.6640625" style="1" customWidth="1"/>
    <col min="11" max="11" width="30" style="1" customWidth="1"/>
    <col min="12" max="12" width="18.33203125" style="1" customWidth="1"/>
    <col min="13" max="13" width="37.33203125" style="2" customWidth="1"/>
    <col min="14" max="14" width="28.6640625" style="2" customWidth="1"/>
    <col min="15" max="15" width="21.44140625" style="2" customWidth="1"/>
    <col min="16" max="16" width="37.33203125" style="2" bestFit="1" customWidth="1"/>
    <col min="17" max="17" width="29.6640625" style="2" customWidth="1"/>
    <col min="18" max="19" width="30.6640625" style="2" customWidth="1"/>
    <col min="20" max="21" width="24.5546875" style="3" customWidth="1"/>
    <col min="22" max="23" width="22.5546875" style="1" customWidth="1"/>
    <col min="24" max="24" width="78.88671875" style="1" customWidth="1"/>
    <col min="25" max="25" width="9.88671875" style="1" bestFit="1" customWidth="1"/>
    <col min="26" max="16384" width="8.6640625" style="1"/>
  </cols>
  <sheetData>
    <row r="1" spans="1:24" s="7" customFormat="1" ht="55.5" customHeight="1" x14ac:dyDescent="0.3">
      <c r="A1" s="8" t="s">
        <v>0</v>
      </c>
      <c r="B1" s="7" t="s">
        <v>1</v>
      </c>
      <c r="C1" s="11" t="s">
        <v>2</v>
      </c>
      <c r="D1" s="7" t="s">
        <v>3</v>
      </c>
      <c r="E1" s="5" t="s">
        <v>4</v>
      </c>
      <c r="F1" s="6" t="s">
        <v>5</v>
      </c>
      <c r="G1" s="7" t="s">
        <v>6</v>
      </c>
      <c r="H1" s="14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15" t="s">
        <v>12</v>
      </c>
      <c r="N1" s="15" t="s">
        <v>13</v>
      </c>
      <c r="O1" s="16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0" t="s">
        <v>20</v>
      </c>
      <c r="V1" s="7" t="s">
        <v>21</v>
      </c>
      <c r="W1" s="7" t="s">
        <v>22</v>
      </c>
      <c r="X1" s="7" t="s">
        <v>23</v>
      </c>
    </row>
    <row r="2" spans="1:24" ht="18.75" customHeight="1" x14ac:dyDescent="0.3">
      <c r="A2" s="69" t="s">
        <v>24</v>
      </c>
      <c r="B2" s="69" t="s">
        <v>25</v>
      </c>
      <c r="C2" s="17" t="s">
        <v>26</v>
      </c>
      <c r="D2" s="17">
        <v>1373</v>
      </c>
      <c r="E2" s="72" t="s">
        <v>27</v>
      </c>
      <c r="F2" s="69" t="s">
        <v>28</v>
      </c>
      <c r="G2" s="75">
        <v>45664</v>
      </c>
      <c r="H2" s="13" t="s">
        <v>29</v>
      </c>
      <c r="I2" s="1" t="s">
        <v>30</v>
      </c>
      <c r="L2" s="1">
        <v>3.1</v>
      </c>
      <c r="M2" s="2">
        <v>2.76</v>
      </c>
      <c r="P2" s="2">
        <v>5.7839999999999998</v>
      </c>
      <c r="Q2" s="2">
        <v>15</v>
      </c>
      <c r="R2" s="2">
        <f>40.12-14.16</f>
        <v>25.959999999999997</v>
      </c>
    </row>
    <row r="3" spans="1:24" ht="18.75" customHeight="1" x14ac:dyDescent="0.3">
      <c r="A3" s="69"/>
      <c r="B3" s="69"/>
      <c r="C3" s="17" t="s">
        <v>31</v>
      </c>
      <c r="D3" s="17">
        <v>1374</v>
      </c>
      <c r="E3" s="72"/>
      <c r="F3" s="69"/>
      <c r="G3" s="75"/>
      <c r="H3" s="13" t="s">
        <v>29</v>
      </c>
      <c r="I3" s="1" t="s">
        <v>32</v>
      </c>
      <c r="L3" s="1">
        <v>2.8</v>
      </c>
      <c r="M3" s="2">
        <v>2.63</v>
      </c>
      <c r="P3" s="2">
        <v>4.4000000000000004</v>
      </c>
      <c r="Q3" s="2">
        <v>15</v>
      </c>
      <c r="R3" s="2">
        <f>40.37-14.38</f>
        <v>25.989999999999995</v>
      </c>
    </row>
    <row r="4" spans="1:24" ht="18.75" customHeight="1" x14ac:dyDescent="0.3">
      <c r="A4" s="69"/>
      <c r="B4" s="69"/>
      <c r="C4" s="17" t="s">
        <v>33</v>
      </c>
      <c r="D4" s="17">
        <v>1375</v>
      </c>
      <c r="E4" s="72"/>
      <c r="F4" s="69"/>
      <c r="G4" s="75"/>
      <c r="H4" s="13" t="s">
        <v>29</v>
      </c>
      <c r="I4" s="1" t="s">
        <v>34</v>
      </c>
      <c r="L4" s="1">
        <v>1.3</v>
      </c>
      <c r="M4" s="2">
        <v>1.24</v>
      </c>
      <c r="P4" s="2">
        <v>2.2440000000000002</v>
      </c>
      <c r="Q4" s="2">
        <v>15</v>
      </c>
      <c r="R4" s="2">
        <f>42.76-14.27</f>
        <v>28.49</v>
      </c>
    </row>
    <row r="5" spans="1:24" ht="18.75" customHeight="1" x14ac:dyDescent="0.3">
      <c r="A5" s="69"/>
      <c r="B5" s="69"/>
      <c r="C5" s="17" t="s">
        <v>35</v>
      </c>
      <c r="D5" s="17">
        <v>1376</v>
      </c>
      <c r="E5" s="72"/>
      <c r="F5" s="69"/>
      <c r="G5" s="75"/>
      <c r="H5" s="13" t="s">
        <v>29</v>
      </c>
      <c r="I5" s="1" t="s">
        <v>36</v>
      </c>
      <c r="L5" s="1">
        <v>1.2</v>
      </c>
      <c r="M5" s="2">
        <v>1.1499999999999999</v>
      </c>
      <c r="P5" s="2">
        <v>1.8</v>
      </c>
      <c r="Q5" s="2">
        <v>15</v>
      </c>
      <c r="R5" s="2">
        <f>41.42-14.29</f>
        <v>27.130000000000003</v>
      </c>
    </row>
    <row r="6" spans="1:24" ht="18.75" customHeight="1" x14ac:dyDescent="0.3">
      <c r="A6" s="69"/>
      <c r="B6" s="69"/>
      <c r="C6" s="17" t="s">
        <v>37</v>
      </c>
      <c r="D6" s="17">
        <v>1377</v>
      </c>
      <c r="E6" s="72"/>
      <c r="F6" s="69"/>
      <c r="G6" s="75"/>
      <c r="H6" s="13" t="s">
        <v>29</v>
      </c>
      <c r="I6" s="1" t="s">
        <v>38</v>
      </c>
      <c r="L6" s="1">
        <v>2.2000000000000002</v>
      </c>
      <c r="M6" s="2">
        <v>2.17</v>
      </c>
      <c r="P6" s="2">
        <v>3.653</v>
      </c>
      <c r="Q6" s="2">
        <v>15</v>
      </c>
      <c r="R6" s="2">
        <f>40.94-14.28</f>
        <v>26.659999999999997</v>
      </c>
    </row>
    <row r="7" spans="1:24" s="20" customFormat="1" ht="18.75" customHeight="1" thickBot="1" x14ac:dyDescent="0.35">
      <c r="A7" s="79"/>
      <c r="B7" s="79"/>
      <c r="C7" s="18" t="s">
        <v>39</v>
      </c>
      <c r="D7" s="18">
        <v>1378</v>
      </c>
      <c r="E7" s="85"/>
      <c r="F7" s="79"/>
      <c r="G7" s="86"/>
      <c r="H7" s="53" t="s">
        <v>29</v>
      </c>
      <c r="I7" s="29" t="s">
        <v>40</v>
      </c>
      <c r="L7" s="20">
        <v>2.5</v>
      </c>
      <c r="M7" s="21">
        <v>2.5499999999999998</v>
      </c>
      <c r="N7" s="21"/>
      <c r="O7" s="21"/>
      <c r="P7" s="21">
        <v>3.835</v>
      </c>
      <c r="Q7" s="21">
        <v>15</v>
      </c>
      <c r="R7" s="21">
        <f>40.37-14.17</f>
        <v>26.199999999999996</v>
      </c>
      <c r="S7" s="21"/>
      <c r="T7" s="22"/>
      <c r="U7" s="22"/>
    </row>
    <row r="8" spans="1:24" ht="18.75" customHeight="1" x14ac:dyDescent="0.35">
      <c r="A8" s="77" t="s">
        <v>41</v>
      </c>
      <c r="B8" s="77" t="s">
        <v>42</v>
      </c>
      <c r="C8" s="23" t="s">
        <v>43</v>
      </c>
      <c r="D8" s="23">
        <v>1379</v>
      </c>
      <c r="E8" s="84" t="s">
        <v>44</v>
      </c>
      <c r="F8" s="77" t="s">
        <v>28</v>
      </c>
      <c r="G8" s="80">
        <v>45667</v>
      </c>
      <c r="H8" s="24" t="s">
        <v>45</v>
      </c>
      <c r="I8" s="51" t="s">
        <v>46</v>
      </c>
      <c r="L8" s="25">
        <v>1.8</v>
      </c>
      <c r="M8" s="2">
        <v>1.1200000000000001</v>
      </c>
      <c r="P8" s="2">
        <v>2.5510000000000002</v>
      </c>
      <c r="Q8" s="2">
        <v>14.28</v>
      </c>
      <c r="R8" s="2">
        <f>43.27-14.24</f>
        <v>29.03</v>
      </c>
    </row>
    <row r="9" spans="1:24" ht="18.75" customHeight="1" x14ac:dyDescent="0.35">
      <c r="A9" s="69"/>
      <c r="B9" s="69"/>
      <c r="C9" s="23" t="s">
        <v>47</v>
      </c>
      <c r="D9" s="23">
        <v>1380</v>
      </c>
      <c r="E9" s="72"/>
      <c r="F9" s="69"/>
      <c r="G9" s="75"/>
      <c r="H9" s="24" t="s">
        <v>45</v>
      </c>
      <c r="I9" s="51" t="s">
        <v>48</v>
      </c>
      <c r="L9" s="25">
        <v>3.7</v>
      </c>
      <c r="M9" s="2">
        <v>2.5099999999999998</v>
      </c>
      <c r="P9" s="2">
        <v>4.3209999999999997</v>
      </c>
      <c r="Q9" s="2">
        <v>14.53</v>
      </c>
      <c r="R9" s="2">
        <f>43.77-14.17</f>
        <v>29.6</v>
      </c>
    </row>
    <row r="10" spans="1:24" ht="18.75" customHeight="1" x14ac:dyDescent="0.35">
      <c r="A10" s="69"/>
      <c r="B10" s="69"/>
      <c r="C10" s="23" t="s">
        <v>49</v>
      </c>
      <c r="D10" s="23">
        <v>1381</v>
      </c>
      <c r="E10" s="72"/>
      <c r="F10" s="69"/>
      <c r="G10" s="75"/>
      <c r="H10" s="24" t="s">
        <v>45</v>
      </c>
      <c r="I10" s="51" t="s">
        <v>50</v>
      </c>
      <c r="L10" s="25">
        <v>1.7</v>
      </c>
      <c r="M10" s="2">
        <v>1.32</v>
      </c>
      <c r="P10" s="2">
        <v>2.5209999999999999</v>
      </c>
      <c r="Q10" s="2">
        <v>13.5</v>
      </c>
      <c r="R10" s="2">
        <f>44.19-14.17</f>
        <v>30.019999999999996</v>
      </c>
    </row>
    <row r="11" spans="1:24" ht="18.75" customHeight="1" x14ac:dyDescent="0.35">
      <c r="A11" s="69"/>
      <c r="B11" s="69"/>
      <c r="C11" s="23" t="s">
        <v>51</v>
      </c>
      <c r="D11" s="23">
        <v>1382</v>
      </c>
      <c r="E11" s="72"/>
      <c r="F11" s="69"/>
      <c r="G11" s="75"/>
      <c r="H11" s="24" t="s">
        <v>45</v>
      </c>
      <c r="I11" s="51" t="s">
        <v>52</v>
      </c>
      <c r="L11" s="25">
        <v>1.4</v>
      </c>
      <c r="M11" s="2">
        <v>1.05</v>
      </c>
      <c r="P11" s="2">
        <v>1.8959999999999999</v>
      </c>
      <c r="Q11" s="2">
        <v>12.4</v>
      </c>
      <c r="R11" s="2">
        <f>43.34-14.65</f>
        <v>28.690000000000005</v>
      </c>
    </row>
    <row r="12" spans="1:24" ht="18.75" customHeight="1" x14ac:dyDescent="0.35">
      <c r="A12" s="69"/>
      <c r="B12" s="69"/>
      <c r="C12" s="23" t="s">
        <v>53</v>
      </c>
      <c r="D12" s="23">
        <v>1383</v>
      </c>
      <c r="E12" s="72"/>
      <c r="F12" s="69"/>
      <c r="G12" s="75"/>
      <c r="H12" s="24" t="s">
        <v>45</v>
      </c>
      <c r="I12" s="51" t="s">
        <v>54</v>
      </c>
      <c r="L12" s="25">
        <v>1.9</v>
      </c>
      <c r="M12" s="2">
        <v>1.49</v>
      </c>
      <c r="P12" s="2">
        <v>2.39</v>
      </c>
      <c r="Q12" s="2">
        <v>14.6</v>
      </c>
      <c r="R12" s="2">
        <f>42.47-14.29</f>
        <v>28.18</v>
      </c>
    </row>
    <row r="13" spans="1:24" ht="18.75" customHeight="1" x14ac:dyDescent="0.35">
      <c r="A13" s="69"/>
      <c r="B13" s="69"/>
      <c r="C13" s="23" t="s">
        <v>55</v>
      </c>
      <c r="D13" s="23">
        <v>1384</v>
      </c>
      <c r="E13" s="72"/>
      <c r="F13" s="69"/>
      <c r="G13" s="75"/>
      <c r="H13" s="24" t="s">
        <v>45</v>
      </c>
      <c r="I13" s="51" t="s">
        <v>56</v>
      </c>
      <c r="L13" s="25">
        <v>3</v>
      </c>
      <c r="M13" s="2">
        <v>2.06</v>
      </c>
      <c r="P13" s="2">
        <v>3.895</v>
      </c>
      <c r="Q13" s="2">
        <v>14.6</v>
      </c>
      <c r="R13" s="2">
        <f>43.12-14.27</f>
        <v>28.849999999999998</v>
      </c>
    </row>
    <row r="14" spans="1:24" s="29" customFormat="1" ht="18.75" customHeight="1" thickBot="1" x14ac:dyDescent="0.4">
      <c r="A14" s="78"/>
      <c r="B14" s="78"/>
      <c r="C14" s="27" t="s">
        <v>57</v>
      </c>
      <c r="D14" s="27">
        <v>1385</v>
      </c>
      <c r="E14" s="85"/>
      <c r="F14" s="79"/>
      <c r="G14" s="86"/>
      <c r="H14" s="28" t="s">
        <v>45</v>
      </c>
      <c r="I14" s="52" t="s">
        <v>58</v>
      </c>
      <c r="L14" s="30">
        <v>1.2</v>
      </c>
      <c r="M14" s="31">
        <v>1.04</v>
      </c>
      <c r="N14" s="31"/>
      <c r="O14" s="31"/>
      <c r="P14" s="31">
        <v>2.6360000000000001</v>
      </c>
      <c r="Q14" s="31">
        <v>14.35</v>
      </c>
      <c r="R14" s="31">
        <f>42.35-14.173</f>
        <v>28.177</v>
      </c>
      <c r="S14" s="31"/>
      <c r="T14" s="32"/>
      <c r="U14" s="32"/>
    </row>
    <row r="15" spans="1:24" ht="18.75" customHeight="1" x14ac:dyDescent="0.3">
      <c r="A15" s="90" t="s">
        <v>59</v>
      </c>
      <c r="B15" s="87" t="s">
        <v>60</v>
      </c>
      <c r="C15" s="12" t="s">
        <v>61</v>
      </c>
      <c r="D15" s="26">
        <v>1386</v>
      </c>
      <c r="E15" s="77" t="s">
        <v>62</v>
      </c>
      <c r="F15" s="77" t="s">
        <v>63</v>
      </c>
      <c r="G15" s="80">
        <v>45671</v>
      </c>
      <c r="H15" s="13" t="s">
        <v>45</v>
      </c>
      <c r="I15" s="1" t="s">
        <v>64</v>
      </c>
      <c r="L15" s="26">
        <v>1.2746999999999999</v>
      </c>
      <c r="M15" s="2">
        <v>1.474</v>
      </c>
      <c r="O15" s="33">
        <f t="shared" ref="O15:O32" si="0">(Q15*P15)/(R15*L15)</f>
        <v>0.41400154057727828</v>
      </c>
      <c r="P15" s="2">
        <v>0.97699999999999998</v>
      </c>
      <c r="Q15" s="2">
        <v>15</v>
      </c>
      <c r="R15" s="2">
        <f>42.06-14.29</f>
        <v>27.770000000000003</v>
      </c>
      <c r="S15" s="2">
        <f t="shared" ref="S15:S32" si="1">20/P15</f>
        <v>20.470829068577277</v>
      </c>
    </row>
    <row r="16" spans="1:24" ht="18.75" customHeight="1" x14ac:dyDescent="0.3">
      <c r="A16" s="91"/>
      <c r="B16" s="88"/>
      <c r="C16" s="12" t="s">
        <v>65</v>
      </c>
      <c r="D16" s="26">
        <v>1387</v>
      </c>
      <c r="E16" s="69"/>
      <c r="F16" s="69"/>
      <c r="G16" s="75"/>
      <c r="H16" s="13" t="s">
        <v>45</v>
      </c>
      <c r="I16" s="1" t="s">
        <v>64</v>
      </c>
      <c r="L16" s="26">
        <v>1.2324999999999999</v>
      </c>
      <c r="M16" s="2">
        <v>1.552</v>
      </c>
      <c r="O16" s="33">
        <f t="shared" si="0"/>
        <v>0.64446831364124613</v>
      </c>
      <c r="P16" s="2">
        <v>1.4790000000000001</v>
      </c>
      <c r="Q16" s="2">
        <v>15</v>
      </c>
      <c r="R16" s="2">
        <f>42.32-14.39</f>
        <v>27.93</v>
      </c>
      <c r="S16" s="2">
        <f t="shared" si="1"/>
        <v>13.522650439486139</v>
      </c>
    </row>
    <row r="17" spans="1:21" ht="18.75" customHeight="1" x14ac:dyDescent="0.3">
      <c r="A17" s="91"/>
      <c r="B17" s="88"/>
      <c r="C17" s="12" t="s">
        <v>66</v>
      </c>
      <c r="D17" s="26">
        <v>1388</v>
      </c>
      <c r="E17" s="69"/>
      <c r="F17" s="69"/>
      <c r="G17" s="75"/>
      <c r="H17" s="13" t="s">
        <v>45</v>
      </c>
      <c r="I17" s="1" t="s">
        <v>64</v>
      </c>
      <c r="L17" s="26">
        <v>1.2531000000000001</v>
      </c>
      <c r="M17" s="2">
        <v>1.5620000000000001</v>
      </c>
      <c r="O17" s="33">
        <f t="shared" si="0"/>
        <v>0.92199091916786236</v>
      </c>
      <c r="P17" s="2">
        <v>2.1320000000000001</v>
      </c>
      <c r="Q17" s="2">
        <v>15</v>
      </c>
      <c r="R17" s="2">
        <f>42.02-14.34</f>
        <v>27.680000000000003</v>
      </c>
      <c r="S17" s="2">
        <f t="shared" si="1"/>
        <v>9.3808630393996246</v>
      </c>
    </row>
    <row r="18" spans="1:21" ht="18.75" customHeight="1" x14ac:dyDescent="0.3">
      <c r="A18" s="91"/>
      <c r="B18" s="88"/>
      <c r="C18" s="12" t="s">
        <v>67</v>
      </c>
      <c r="D18" s="26">
        <v>1389</v>
      </c>
      <c r="E18" s="69"/>
      <c r="F18" s="69"/>
      <c r="G18" s="75"/>
      <c r="H18" s="13" t="s">
        <v>45</v>
      </c>
      <c r="I18" s="1" t="s">
        <v>64</v>
      </c>
      <c r="L18" s="26">
        <v>1.1758999999999999</v>
      </c>
      <c r="M18" s="2">
        <v>1.542</v>
      </c>
      <c r="O18" s="33">
        <f t="shared" si="0"/>
        <v>0.96139538524734447</v>
      </c>
      <c r="P18" s="2">
        <v>2.105</v>
      </c>
      <c r="Q18" s="2">
        <v>15</v>
      </c>
      <c r="R18" s="2">
        <f>42.25-14.32</f>
        <v>27.93</v>
      </c>
      <c r="S18" s="2">
        <f t="shared" si="1"/>
        <v>9.5011876484560567</v>
      </c>
    </row>
    <row r="19" spans="1:21" ht="18.75" customHeight="1" x14ac:dyDescent="0.3">
      <c r="A19" s="91"/>
      <c r="B19" s="88"/>
      <c r="C19" s="12" t="s">
        <v>68</v>
      </c>
      <c r="D19" s="26">
        <v>1390</v>
      </c>
      <c r="E19" s="69"/>
      <c r="F19" s="69"/>
      <c r="G19" s="75"/>
      <c r="H19" s="13" t="s">
        <v>45</v>
      </c>
      <c r="I19" s="1" t="s">
        <v>64</v>
      </c>
      <c r="L19" s="26">
        <v>1.1363000000000001</v>
      </c>
      <c r="M19" s="2">
        <v>1.454</v>
      </c>
      <c r="O19" s="33">
        <f t="shared" si="0"/>
        <v>0.59352905428764391</v>
      </c>
      <c r="P19" s="2">
        <v>1.236</v>
      </c>
      <c r="Q19" s="2">
        <v>15</v>
      </c>
      <c r="R19" s="2">
        <f>41.79-14.3</f>
        <v>27.49</v>
      </c>
      <c r="S19" s="2">
        <f t="shared" si="1"/>
        <v>16.181229773462782</v>
      </c>
    </row>
    <row r="20" spans="1:21" ht="18.75" customHeight="1" x14ac:dyDescent="0.3">
      <c r="A20" s="91"/>
      <c r="B20" s="88"/>
      <c r="C20" s="12" t="s">
        <v>69</v>
      </c>
      <c r="D20" s="26">
        <v>1391</v>
      </c>
      <c r="E20" s="69"/>
      <c r="F20" s="69"/>
      <c r="G20" s="75"/>
      <c r="L20" s="26">
        <v>1.0492999999999999</v>
      </c>
      <c r="M20" s="2">
        <v>1.1200000000000001</v>
      </c>
      <c r="O20" s="33">
        <f t="shared" si="0"/>
        <v>0.73879006219813159</v>
      </c>
      <c r="P20" s="2">
        <v>1.399</v>
      </c>
      <c r="Q20" s="2">
        <v>15</v>
      </c>
      <c r="R20" s="2">
        <f>41.31-14.24</f>
        <v>27.07</v>
      </c>
      <c r="S20" s="2">
        <f t="shared" si="1"/>
        <v>14.295925661186562</v>
      </c>
    </row>
    <row r="21" spans="1:21" ht="18.75" customHeight="1" x14ac:dyDescent="0.3">
      <c r="A21" s="91"/>
      <c r="B21" s="88"/>
      <c r="C21" s="12" t="s">
        <v>70</v>
      </c>
      <c r="D21" s="26">
        <v>1392</v>
      </c>
      <c r="E21" s="69"/>
      <c r="F21" s="69"/>
      <c r="G21" s="75"/>
      <c r="L21" s="26">
        <v>0.73029999999999995</v>
      </c>
      <c r="M21" s="2">
        <v>1.0269999999999999</v>
      </c>
      <c r="O21" s="33">
        <f t="shared" si="0"/>
        <v>0.8042977417180599</v>
      </c>
      <c r="P21" s="2">
        <v>1.089</v>
      </c>
      <c r="Q21" s="2">
        <v>15</v>
      </c>
      <c r="R21" s="2">
        <f>42.11-14.3</f>
        <v>27.81</v>
      </c>
      <c r="S21" s="2">
        <f t="shared" si="1"/>
        <v>18.365472910927458</v>
      </c>
    </row>
    <row r="22" spans="1:21" ht="18.75" customHeight="1" x14ac:dyDescent="0.3">
      <c r="A22" s="91"/>
      <c r="B22" s="88"/>
      <c r="C22" s="12" t="s">
        <v>71</v>
      </c>
      <c r="D22" s="26">
        <v>1393</v>
      </c>
      <c r="E22" s="69"/>
      <c r="F22" s="69"/>
      <c r="G22" s="75"/>
      <c r="L22" s="26">
        <v>0.95569999999999999</v>
      </c>
      <c r="M22" s="2">
        <v>1.375</v>
      </c>
      <c r="O22" s="33">
        <f t="shared" si="0"/>
        <v>0.75212567745709991</v>
      </c>
      <c r="P22" s="2">
        <v>1.325</v>
      </c>
      <c r="Q22" s="2">
        <v>15</v>
      </c>
      <c r="R22" s="2">
        <f>41.88-14.23</f>
        <v>27.650000000000002</v>
      </c>
      <c r="S22" s="2">
        <f t="shared" si="1"/>
        <v>15.09433962264151</v>
      </c>
    </row>
    <row r="23" spans="1:21" ht="18.75" customHeight="1" x14ac:dyDescent="0.3">
      <c r="A23" s="91"/>
      <c r="B23" s="88"/>
      <c r="C23" s="12" t="s">
        <v>72</v>
      </c>
      <c r="D23" s="26">
        <v>1394</v>
      </c>
      <c r="E23" s="69"/>
      <c r="F23" s="69"/>
      <c r="G23" s="75"/>
      <c r="L23" s="26">
        <v>1.2397</v>
      </c>
      <c r="M23" s="2">
        <v>1.425</v>
      </c>
      <c r="O23" s="33">
        <f t="shared" si="0"/>
        <v>0.66683802894055966</v>
      </c>
      <c r="P23" s="2">
        <v>1.4770000000000001</v>
      </c>
      <c r="Q23" s="2">
        <v>15</v>
      </c>
      <c r="R23" s="2">
        <f>41.13-14.33</f>
        <v>26.800000000000004</v>
      </c>
      <c r="S23" s="2">
        <f t="shared" si="1"/>
        <v>13.540961408259985</v>
      </c>
    </row>
    <row r="24" spans="1:21" ht="18.75" customHeight="1" x14ac:dyDescent="0.3">
      <c r="A24" s="91"/>
      <c r="B24" s="88"/>
      <c r="C24" s="12" t="s">
        <v>73</v>
      </c>
      <c r="D24" s="26">
        <v>1395</v>
      </c>
      <c r="E24" s="69"/>
      <c r="F24" s="69"/>
      <c r="G24" s="75"/>
      <c r="H24" s="13" t="s">
        <v>45</v>
      </c>
      <c r="I24" s="1" t="s">
        <v>64</v>
      </c>
      <c r="L24" s="26">
        <v>1.2606999999999999</v>
      </c>
      <c r="M24" s="2">
        <v>1.677</v>
      </c>
      <c r="O24" s="33">
        <f t="shared" si="0"/>
        <v>1.0589734983124097</v>
      </c>
      <c r="P24" s="2">
        <v>2.5089999999999999</v>
      </c>
      <c r="Q24" s="2">
        <v>15</v>
      </c>
      <c r="R24" s="2">
        <f>42.5-14.31</f>
        <v>28.189999999999998</v>
      </c>
      <c r="S24" s="2">
        <f t="shared" si="1"/>
        <v>7.9713033080908735</v>
      </c>
    </row>
    <row r="25" spans="1:21" ht="18.75" customHeight="1" x14ac:dyDescent="0.3">
      <c r="A25" s="91"/>
      <c r="B25" s="88"/>
      <c r="C25" s="12" t="s">
        <v>74</v>
      </c>
      <c r="D25" s="26">
        <v>1396</v>
      </c>
      <c r="E25" s="69"/>
      <c r="F25" s="69"/>
      <c r="G25" s="75"/>
      <c r="L25" s="26">
        <v>0.82069999999999999</v>
      </c>
      <c r="M25" s="2">
        <v>1.0209999999999999</v>
      </c>
      <c r="O25" s="33">
        <f t="shared" si="0"/>
        <v>0.60055125655037278</v>
      </c>
      <c r="P25" s="2">
        <v>0.92200000000000004</v>
      </c>
      <c r="Q25" s="2">
        <v>15</v>
      </c>
      <c r="R25" s="2">
        <f>42.39-14.33</f>
        <v>28.060000000000002</v>
      </c>
      <c r="S25" s="2">
        <f t="shared" si="1"/>
        <v>21.691973969631235</v>
      </c>
    </row>
    <row r="26" spans="1:21" ht="18.75" customHeight="1" x14ac:dyDescent="0.3">
      <c r="A26" s="91"/>
      <c r="B26" s="88"/>
      <c r="C26" s="12" t="s">
        <v>75</v>
      </c>
      <c r="D26" s="26">
        <v>1397</v>
      </c>
      <c r="E26" s="69"/>
      <c r="F26" s="69"/>
      <c r="G26" s="75"/>
      <c r="H26" s="13" t="s">
        <v>45</v>
      </c>
      <c r="I26" s="1" t="s">
        <v>64</v>
      </c>
      <c r="L26" s="26">
        <v>1.3484</v>
      </c>
      <c r="M26" s="2">
        <v>1.5720000000000001</v>
      </c>
      <c r="O26" s="33">
        <f t="shared" si="0"/>
        <v>0.64628761423206804</v>
      </c>
      <c r="P26" s="2">
        <v>1.6180000000000001</v>
      </c>
      <c r="Q26" s="2">
        <v>15</v>
      </c>
      <c r="R26" s="2">
        <f>42.07-14.22</f>
        <v>27.85</v>
      </c>
      <c r="S26" s="2">
        <f t="shared" si="1"/>
        <v>12.360939431396785</v>
      </c>
    </row>
    <row r="27" spans="1:21" ht="18.75" customHeight="1" x14ac:dyDescent="0.3">
      <c r="A27" s="91"/>
      <c r="B27" s="88"/>
      <c r="C27" s="12" t="s">
        <v>76</v>
      </c>
      <c r="D27" s="26">
        <v>1398</v>
      </c>
      <c r="E27" s="69"/>
      <c r="F27" s="69"/>
      <c r="G27" s="75"/>
      <c r="L27" s="26">
        <v>1.1213</v>
      </c>
      <c r="M27" s="2">
        <v>1.446</v>
      </c>
      <c r="O27" s="33">
        <f t="shared" si="0"/>
        <v>0.90176676994264759</v>
      </c>
      <c r="P27" s="2">
        <v>1.8740000000000001</v>
      </c>
      <c r="Q27" s="2">
        <v>15</v>
      </c>
      <c r="R27" s="2">
        <f>42.1-14.3</f>
        <v>27.8</v>
      </c>
      <c r="S27" s="2">
        <f t="shared" si="1"/>
        <v>10.672358591248665</v>
      </c>
    </row>
    <row r="28" spans="1:21" ht="18.75" customHeight="1" x14ac:dyDescent="0.3">
      <c r="A28" s="91"/>
      <c r="B28" s="88"/>
      <c r="C28" s="12" t="s">
        <v>77</v>
      </c>
      <c r="D28" s="26">
        <v>1399</v>
      </c>
      <c r="E28" s="69"/>
      <c r="F28" s="69"/>
      <c r="G28" s="44">
        <v>45670</v>
      </c>
      <c r="L28" s="26">
        <v>0.83630000000000004</v>
      </c>
      <c r="M28" s="2">
        <v>1.1539999999999999</v>
      </c>
      <c r="O28" s="33">
        <f t="shared" si="0"/>
        <v>0.90423434189193308</v>
      </c>
      <c r="P28" s="2">
        <v>1.4610000000000001</v>
      </c>
      <c r="Q28" s="2">
        <v>15</v>
      </c>
      <c r="R28" s="2">
        <f>43.28-14.3</f>
        <v>28.98</v>
      </c>
      <c r="S28" s="2">
        <f t="shared" si="1"/>
        <v>13.689253935660506</v>
      </c>
    </row>
    <row r="29" spans="1:21" ht="18.75" customHeight="1" x14ac:dyDescent="0.3">
      <c r="A29" s="91"/>
      <c r="B29" s="88"/>
      <c r="C29" s="12" t="s">
        <v>78</v>
      </c>
      <c r="D29" s="26">
        <v>1400</v>
      </c>
      <c r="E29" s="69"/>
      <c r="F29" s="69"/>
      <c r="G29" s="75">
        <v>45671</v>
      </c>
      <c r="L29" s="26">
        <v>1.0081</v>
      </c>
      <c r="M29" s="2">
        <v>1.1859999999999999</v>
      </c>
      <c r="O29" s="33">
        <f t="shared" si="0"/>
        <v>0.85165423229733894</v>
      </c>
      <c r="P29" s="2">
        <v>1.653</v>
      </c>
      <c r="Q29" s="2">
        <v>15</v>
      </c>
      <c r="R29" s="2">
        <f>43.2-14.32</f>
        <v>28.880000000000003</v>
      </c>
      <c r="S29" s="2">
        <f t="shared" si="1"/>
        <v>12.099213551119178</v>
      </c>
    </row>
    <row r="30" spans="1:21" ht="18.75" customHeight="1" x14ac:dyDescent="0.3">
      <c r="A30" s="91"/>
      <c r="B30" s="88"/>
      <c r="C30" s="12" t="s">
        <v>79</v>
      </c>
      <c r="D30" s="26">
        <v>1401</v>
      </c>
      <c r="E30" s="69"/>
      <c r="F30" s="69"/>
      <c r="G30" s="75"/>
      <c r="H30" s="13" t="s">
        <v>45</v>
      </c>
      <c r="I30" s="1" t="s">
        <v>64</v>
      </c>
      <c r="L30" s="26">
        <v>1.3507</v>
      </c>
      <c r="M30" s="2">
        <v>1.7789999999999999</v>
      </c>
      <c r="O30" s="33">
        <f t="shared" si="0"/>
        <v>0.49928263485432689</v>
      </c>
      <c r="P30" s="2">
        <v>1.2529999999999999</v>
      </c>
      <c r="Q30" s="2">
        <v>15</v>
      </c>
      <c r="R30" s="2">
        <f>42.17-14.3</f>
        <v>27.87</v>
      </c>
      <c r="S30" s="2">
        <f t="shared" si="1"/>
        <v>15.961691939345572</v>
      </c>
    </row>
    <row r="31" spans="1:21" ht="18.75" customHeight="1" x14ac:dyDescent="0.3">
      <c r="A31" s="91"/>
      <c r="B31" s="88"/>
      <c r="C31" s="12" t="s">
        <v>80</v>
      </c>
      <c r="D31" s="26">
        <v>1402</v>
      </c>
      <c r="E31" s="69"/>
      <c r="F31" s="69"/>
      <c r="G31" s="75"/>
      <c r="L31" s="26">
        <v>0.82579999999999998</v>
      </c>
      <c r="M31" s="2">
        <v>1.08</v>
      </c>
      <c r="O31" s="33">
        <f t="shared" si="0"/>
        <v>0.60203938749864894</v>
      </c>
      <c r="P31" s="2">
        <v>0.93500000000000005</v>
      </c>
      <c r="Q31" s="2">
        <v>15</v>
      </c>
      <c r="R31" s="2">
        <f>42.56-14.35</f>
        <v>28.21</v>
      </c>
      <c r="S31" s="2">
        <f t="shared" si="1"/>
        <v>21.390374331550802</v>
      </c>
    </row>
    <row r="32" spans="1:21" s="20" customFormat="1" ht="18.75" customHeight="1" thickBot="1" x14ac:dyDescent="0.35">
      <c r="A32" s="92"/>
      <c r="B32" s="89"/>
      <c r="C32" s="34" t="s">
        <v>81</v>
      </c>
      <c r="D32" s="35">
        <v>1403</v>
      </c>
      <c r="E32" s="79"/>
      <c r="F32" s="79"/>
      <c r="G32" s="86"/>
      <c r="H32" s="19"/>
      <c r="L32" s="35">
        <v>0.88619999999999999</v>
      </c>
      <c r="M32" s="21">
        <v>1.1639999999999999</v>
      </c>
      <c r="N32" s="21"/>
      <c r="O32" s="36">
        <f t="shared" si="0"/>
        <v>0.56839378824096876</v>
      </c>
      <c r="P32" s="21">
        <v>0.90500000000000003</v>
      </c>
      <c r="Q32" s="21">
        <v>15</v>
      </c>
      <c r="R32" s="21">
        <f>41.35-14.4</f>
        <v>26.950000000000003</v>
      </c>
      <c r="S32" s="21">
        <f t="shared" si="1"/>
        <v>22.099447513812155</v>
      </c>
      <c r="T32" s="22"/>
      <c r="U32" s="22"/>
    </row>
    <row r="33" spans="1:21" ht="18.75" customHeight="1" x14ac:dyDescent="0.3">
      <c r="A33" s="77" t="s">
        <v>82</v>
      </c>
      <c r="B33" s="77" t="s">
        <v>83</v>
      </c>
      <c r="C33" s="12" t="s">
        <v>84</v>
      </c>
      <c r="D33" s="1">
        <v>1404</v>
      </c>
      <c r="E33" s="84" t="s">
        <v>44</v>
      </c>
      <c r="F33" s="77" t="s">
        <v>28</v>
      </c>
      <c r="G33" s="80">
        <v>45674</v>
      </c>
      <c r="H33" s="13" t="s">
        <v>85</v>
      </c>
      <c r="I33" s="1" t="s">
        <v>86</v>
      </c>
      <c r="L33" s="1">
        <v>0.8</v>
      </c>
      <c r="M33" s="2">
        <v>0.88</v>
      </c>
      <c r="P33" s="2">
        <v>2.758</v>
      </c>
      <c r="Q33" s="2">
        <v>8.0950000000000006</v>
      </c>
      <c r="R33" s="2">
        <v>29.765999999999998</v>
      </c>
    </row>
    <row r="34" spans="1:21" ht="18.75" customHeight="1" x14ac:dyDescent="0.3">
      <c r="A34" s="69"/>
      <c r="B34" s="69"/>
      <c r="C34" s="12" t="s">
        <v>87</v>
      </c>
      <c r="D34" s="1">
        <v>1405</v>
      </c>
      <c r="E34" s="72"/>
      <c r="F34" s="69"/>
      <c r="G34" s="75"/>
      <c r="H34" s="13" t="s">
        <v>85</v>
      </c>
      <c r="I34" s="1" t="s">
        <v>86</v>
      </c>
      <c r="L34" s="1">
        <v>1.3</v>
      </c>
      <c r="M34" s="2">
        <v>1.48</v>
      </c>
      <c r="P34" s="2">
        <v>3.149</v>
      </c>
      <c r="Q34" s="2">
        <v>9.4250000000000007</v>
      </c>
      <c r="R34" s="2">
        <v>30.495999999999999</v>
      </c>
    </row>
    <row r="35" spans="1:21" ht="18.75" customHeight="1" x14ac:dyDescent="0.3">
      <c r="A35" s="69"/>
      <c r="B35" s="69"/>
      <c r="C35" s="12" t="s">
        <v>88</v>
      </c>
      <c r="D35" s="1">
        <v>1406</v>
      </c>
      <c r="E35" s="72"/>
      <c r="F35" s="69"/>
      <c r="G35" s="75"/>
      <c r="H35" s="13" t="s">
        <v>85</v>
      </c>
      <c r="I35" s="1" t="s">
        <v>86</v>
      </c>
      <c r="L35" s="1">
        <v>0.9</v>
      </c>
      <c r="M35" s="2">
        <v>1.1399999999999999</v>
      </c>
      <c r="P35" s="2">
        <v>2.8109999999999999</v>
      </c>
      <c r="Q35" s="2">
        <v>9.5280000000000005</v>
      </c>
      <c r="R35" s="2">
        <v>30.106999999999999</v>
      </c>
    </row>
    <row r="36" spans="1:21" ht="18.75" customHeight="1" x14ac:dyDescent="0.3">
      <c r="A36" s="69"/>
      <c r="B36" s="69"/>
      <c r="C36" s="12" t="s">
        <v>89</v>
      </c>
      <c r="D36" s="1">
        <v>1407</v>
      </c>
      <c r="E36" s="72"/>
      <c r="F36" s="69"/>
      <c r="G36" s="75"/>
      <c r="H36" s="13" t="s">
        <v>85</v>
      </c>
      <c r="I36" s="1" t="s">
        <v>86</v>
      </c>
      <c r="L36" s="1">
        <v>1.2</v>
      </c>
      <c r="M36" s="2">
        <v>1.28</v>
      </c>
      <c r="P36" s="2">
        <v>2.9380000000000002</v>
      </c>
      <c r="Q36" s="2">
        <v>9.4269999999999996</v>
      </c>
      <c r="R36" s="2">
        <v>30.736000000000001</v>
      </c>
    </row>
    <row r="37" spans="1:21" ht="18.75" customHeight="1" x14ac:dyDescent="0.3">
      <c r="A37" s="69"/>
      <c r="B37" s="69"/>
      <c r="C37" s="12" t="s">
        <v>90</v>
      </c>
      <c r="D37" s="1">
        <v>1408</v>
      </c>
      <c r="E37" s="72"/>
      <c r="F37" s="69"/>
      <c r="G37" s="75"/>
      <c r="H37" s="13" t="s">
        <v>85</v>
      </c>
      <c r="I37" s="1" t="s">
        <v>86</v>
      </c>
      <c r="L37" s="1">
        <v>1.1000000000000001</v>
      </c>
      <c r="M37" s="2">
        <v>1.61</v>
      </c>
      <c r="P37" s="2">
        <v>3.2730000000000001</v>
      </c>
      <c r="Q37" s="2">
        <v>9.1479999999999997</v>
      </c>
      <c r="R37" s="2">
        <v>31.58</v>
      </c>
    </row>
    <row r="38" spans="1:21" s="20" customFormat="1" ht="18.75" customHeight="1" x14ac:dyDescent="0.3">
      <c r="A38" s="79"/>
      <c r="B38" s="79"/>
      <c r="C38" s="34" t="s">
        <v>91</v>
      </c>
      <c r="D38" s="20">
        <v>1409</v>
      </c>
      <c r="E38" s="85"/>
      <c r="F38" s="79"/>
      <c r="G38" s="86"/>
      <c r="H38" s="53" t="s">
        <v>85</v>
      </c>
      <c r="I38" s="29" t="s">
        <v>86</v>
      </c>
      <c r="L38" s="20">
        <v>1.1000000000000001</v>
      </c>
      <c r="M38" s="21">
        <v>1.32</v>
      </c>
      <c r="N38" s="21"/>
      <c r="O38" s="21"/>
      <c r="P38" s="21">
        <v>2.9809999999999999</v>
      </c>
      <c r="Q38" s="21">
        <v>8.9629999999999992</v>
      </c>
      <c r="R38" s="21">
        <v>31.58</v>
      </c>
      <c r="S38" s="21"/>
      <c r="T38" s="22"/>
      <c r="U38" s="22"/>
    </row>
    <row r="39" spans="1:21" ht="18.75" customHeight="1" x14ac:dyDescent="0.3">
      <c r="A39" s="77" t="s">
        <v>41</v>
      </c>
      <c r="B39" s="77" t="s">
        <v>42</v>
      </c>
      <c r="C39" s="12" t="s">
        <v>92</v>
      </c>
      <c r="D39" s="1">
        <v>1410</v>
      </c>
      <c r="E39" s="84" t="s">
        <v>44</v>
      </c>
      <c r="F39" s="77" t="s">
        <v>28</v>
      </c>
      <c r="G39" s="80">
        <v>45674</v>
      </c>
      <c r="H39" s="13" t="s">
        <v>29</v>
      </c>
      <c r="I39" s="1" t="s">
        <v>93</v>
      </c>
      <c r="L39" s="1">
        <v>2.9</v>
      </c>
      <c r="M39" s="2">
        <v>2.0299999999999998</v>
      </c>
      <c r="P39" s="2">
        <v>3.8330000000000002</v>
      </c>
      <c r="Q39" s="2">
        <v>11.648999999999999</v>
      </c>
      <c r="R39" s="2">
        <v>29.530999999999999</v>
      </c>
    </row>
    <row r="40" spans="1:21" ht="18.75" customHeight="1" x14ac:dyDescent="0.3">
      <c r="A40" s="69"/>
      <c r="B40" s="69"/>
      <c r="C40" s="12" t="s">
        <v>94</v>
      </c>
      <c r="D40" s="1">
        <v>1411</v>
      </c>
      <c r="E40" s="72"/>
      <c r="F40" s="69"/>
      <c r="G40" s="69"/>
      <c r="H40" s="43" t="s">
        <v>29</v>
      </c>
      <c r="I40" s="1" t="s">
        <v>93</v>
      </c>
      <c r="L40" s="1">
        <v>2.8</v>
      </c>
      <c r="M40" s="2">
        <v>1.92</v>
      </c>
      <c r="P40" s="2">
        <v>4.1500000000000004</v>
      </c>
      <c r="Q40" s="2">
        <v>11.648999999999999</v>
      </c>
      <c r="R40" s="2">
        <v>34.58</v>
      </c>
    </row>
    <row r="41" spans="1:21" s="38" customFormat="1" ht="18.75" customHeight="1" x14ac:dyDescent="0.3">
      <c r="A41" s="77" t="s">
        <v>95</v>
      </c>
      <c r="B41" s="77" t="s">
        <v>96</v>
      </c>
      <c r="C41" s="39" t="s">
        <v>97</v>
      </c>
      <c r="D41" s="39">
        <v>1412</v>
      </c>
      <c r="E41" s="84" t="s">
        <v>44</v>
      </c>
      <c r="F41" s="77" t="s">
        <v>98</v>
      </c>
      <c r="G41" s="80">
        <v>45674</v>
      </c>
      <c r="H41" s="40" t="s">
        <v>29</v>
      </c>
      <c r="I41" s="38" t="s">
        <v>99</v>
      </c>
      <c r="L41" s="39">
        <v>1.36</v>
      </c>
      <c r="M41" s="41">
        <v>1.22</v>
      </c>
      <c r="N41" s="41"/>
      <c r="O41" s="41"/>
      <c r="P41" s="41">
        <v>1.3640000000000001</v>
      </c>
      <c r="Q41" s="41">
        <v>26.6</v>
      </c>
      <c r="R41" s="41">
        <f>44.09-14.41</f>
        <v>29.680000000000003</v>
      </c>
      <c r="S41" s="41"/>
      <c r="T41" s="42"/>
      <c r="U41" s="42"/>
    </row>
    <row r="42" spans="1:21" ht="18.75" customHeight="1" x14ac:dyDescent="0.3">
      <c r="A42" s="69"/>
      <c r="B42" s="69"/>
      <c r="C42" s="12" t="s">
        <v>100</v>
      </c>
      <c r="D42" s="12">
        <v>1413</v>
      </c>
      <c r="E42" s="72"/>
      <c r="F42" s="69"/>
      <c r="G42" s="75"/>
      <c r="H42" s="43" t="s">
        <v>29</v>
      </c>
      <c r="I42" s="1" t="s">
        <v>99</v>
      </c>
      <c r="L42" s="12">
        <v>1.41</v>
      </c>
      <c r="M42" s="2">
        <v>1.27</v>
      </c>
      <c r="P42" s="2">
        <v>2.085</v>
      </c>
      <c r="Q42" s="2">
        <v>15</v>
      </c>
      <c r="R42" s="2">
        <f>44.64-14.28</f>
        <v>30.36</v>
      </c>
    </row>
    <row r="43" spans="1:21" ht="18.75" customHeight="1" x14ac:dyDescent="0.3">
      <c r="A43" s="69"/>
      <c r="B43" s="69"/>
      <c r="C43" s="12" t="s">
        <v>101</v>
      </c>
      <c r="D43" s="12">
        <v>1414</v>
      </c>
      <c r="E43" s="72"/>
      <c r="F43" s="69"/>
      <c r="G43" s="75"/>
      <c r="H43" s="43" t="s">
        <v>29</v>
      </c>
      <c r="I43" s="1" t="s">
        <v>99</v>
      </c>
      <c r="L43" s="12">
        <v>1.28</v>
      </c>
      <c r="M43" s="2">
        <v>1.21</v>
      </c>
      <c r="P43" s="2">
        <v>2.0979999999999999</v>
      </c>
      <c r="Q43" s="2">
        <v>15</v>
      </c>
      <c r="R43" s="2">
        <f>43.8-14.21</f>
        <v>29.589999999999996</v>
      </c>
    </row>
    <row r="44" spans="1:21" ht="18.75" customHeight="1" x14ac:dyDescent="0.3">
      <c r="A44" s="69"/>
      <c r="B44" s="69"/>
      <c r="C44" s="12" t="s">
        <v>102</v>
      </c>
      <c r="D44" s="12">
        <v>1415</v>
      </c>
      <c r="E44" s="72"/>
      <c r="F44" s="69"/>
      <c r="G44" s="75"/>
      <c r="H44" s="43" t="s">
        <v>29</v>
      </c>
      <c r="I44" s="1" t="s">
        <v>99</v>
      </c>
      <c r="L44" s="12">
        <v>1.32</v>
      </c>
      <c r="M44" s="2">
        <v>1.22</v>
      </c>
      <c r="P44" s="2">
        <v>2.0670000000000002</v>
      </c>
      <c r="Q44" s="2">
        <v>15</v>
      </c>
      <c r="R44" s="2">
        <f>43.76-14.29</f>
        <v>29.47</v>
      </c>
    </row>
    <row r="45" spans="1:21" ht="18.75" customHeight="1" x14ac:dyDescent="0.3">
      <c r="A45" s="69"/>
      <c r="B45" s="69"/>
      <c r="C45" s="12" t="s">
        <v>103</v>
      </c>
      <c r="D45" s="12">
        <v>1416</v>
      </c>
      <c r="E45" s="72"/>
      <c r="F45" s="69"/>
      <c r="G45" s="75"/>
      <c r="H45" s="43" t="s">
        <v>29</v>
      </c>
      <c r="I45" s="1" t="s">
        <v>99</v>
      </c>
      <c r="L45" s="12">
        <v>1.29</v>
      </c>
      <c r="M45" s="2">
        <v>1.23</v>
      </c>
      <c r="P45" s="2">
        <v>2.0230000000000001</v>
      </c>
      <c r="Q45" s="2">
        <v>15</v>
      </c>
      <c r="R45" s="2">
        <f>43.78-14.18</f>
        <v>29.6</v>
      </c>
    </row>
    <row r="46" spans="1:21" ht="18.75" customHeight="1" x14ac:dyDescent="0.3">
      <c r="A46" s="69"/>
      <c r="B46" s="69"/>
      <c r="C46" s="12" t="s">
        <v>104</v>
      </c>
      <c r="D46" s="12">
        <v>1417</v>
      </c>
      <c r="E46" s="72"/>
      <c r="F46" s="69"/>
      <c r="G46" s="75"/>
      <c r="H46" s="43" t="s">
        <v>29</v>
      </c>
      <c r="I46" s="1" t="s">
        <v>99</v>
      </c>
      <c r="L46" s="12">
        <v>1.06</v>
      </c>
      <c r="M46" s="2">
        <v>1</v>
      </c>
      <c r="P46" s="2">
        <v>1.907</v>
      </c>
      <c r="Q46" s="2">
        <v>15</v>
      </c>
      <c r="R46" s="2">
        <f>44.59-14.28</f>
        <v>30.310000000000002</v>
      </c>
    </row>
    <row r="47" spans="1:21" ht="18.75" customHeight="1" x14ac:dyDescent="0.3">
      <c r="A47" s="69"/>
      <c r="B47" s="69"/>
      <c r="C47" s="12" t="s">
        <v>105</v>
      </c>
      <c r="D47" s="12">
        <v>1418</v>
      </c>
      <c r="E47" s="72"/>
      <c r="F47" s="69"/>
      <c r="G47" s="75"/>
      <c r="H47" s="43" t="s">
        <v>29</v>
      </c>
      <c r="I47" s="1" t="s">
        <v>99</v>
      </c>
      <c r="L47" s="12">
        <v>1.24</v>
      </c>
      <c r="M47" s="2">
        <v>1.21</v>
      </c>
      <c r="P47" s="2">
        <v>2.125</v>
      </c>
      <c r="Q47" s="2">
        <v>15</v>
      </c>
      <c r="R47" s="2">
        <f>44.46-14.37</f>
        <v>30.090000000000003</v>
      </c>
    </row>
    <row r="48" spans="1:21" ht="18.75" customHeight="1" x14ac:dyDescent="0.3">
      <c r="A48" s="69"/>
      <c r="B48" s="69"/>
      <c r="C48" s="12" t="s">
        <v>106</v>
      </c>
      <c r="D48" s="12">
        <v>1419</v>
      </c>
      <c r="E48" s="72"/>
      <c r="F48" s="69"/>
      <c r="G48" s="75"/>
      <c r="H48" s="43" t="s">
        <v>29</v>
      </c>
      <c r="I48" s="1" t="s">
        <v>99</v>
      </c>
      <c r="L48" s="12">
        <v>1.25</v>
      </c>
      <c r="M48" s="2">
        <v>1.25</v>
      </c>
      <c r="P48" s="2">
        <v>2.1030000000000002</v>
      </c>
      <c r="Q48" s="2">
        <v>15</v>
      </c>
      <c r="R48" s="2">
        <f>44.78-14.29</f>
        <v>30.490000000000002</v>
      </c>
    </row>
    <row r="49" spans="1:25" ht="18.75" customHeight="1" x14ac:dyDescent="0.3">
      <c r="A49" s="69"/>
      <c r="B49" s="69"/>
      <c r="C49" s="12" t="s">
        <v>107</v>
      </c>
      <c r="D49" s="12">
        <v>1420</v>
      </c>
      <c r="E49" s="72"/>
      <c r="F49" s="69"/>
      <c r="G49" s="75"/>
      <c r="H49" s="43" t="s">
        <v>29</v>
      </c>
      <c r="I49" s="1" t="s">
        <v>99</v>
      </c>
      <c r="L49" s="12">
        <v>1.28</v>
      </c>
      <c r="M49" s="2">
        <v>1.26</v>
      </c>
      <c r="P49" s="2">
        <v>2.2759999999999998</v>
      </c>
      <c r="Q49" s="2">
        <v>15</v>
      </c>
      <c r="R49" s="2">
        <f>44.42-14.34</f>
        <v>30.080000000000002</v>
      </c>
    </row>
    <row r="50" spans="1:25" ht="18.75" customHeight="1" x14ac:dyDescent="0.3">
      <c r="A50" s="69"/>
      <c r="B50" s="69"/>
      <c r="C50" s="12" t="s">
        <v>108</v>
      </c>
      <c r="D50" s="12">
        <v>1421</v>
      </c>
      <c r="E50" s="72"/>
      <c r="F50" s="69"/>
      <c r="G50" s="75"/>
      <c r="H50" s="43" t="s">
        <v>29</v>
      </c>
      <c r="I50" s="1" t="s">
        <v>99</v>
      </c>
      <c r="L50" s="12">
        <v>1.31</v>
      </c>
      <c r="M50" s="2">
        <v>1.27</v>
      </c>
      <c r="P50" s="2">
        <v>2.306</v>
      </c>
      <c r="Q50" s="2">
        <v>15</v>
      </c>
      <c r="R50" s="2">
        <f>44.69-14.25</f>
        <v>30.439999999999998</v>
      </c>
    </row>
    <row r="51" spans="1:25" ht="18.75" customHeight="1" x14ac:dyDescent="0.3">
      <c r="A51" s="69"/>
      <c r="B51" s="69"/>
      <c r="C51" s="12" t="s">
        <v>109</v>
      </c>
      <c r="D51" s="12">
        <v>1422</v>
      </c>
      <c r="E51" s="72"/>
      <c r="F51" s="69"/>
      <c r="G51" s="75"/>
      <c r="H51" s="43" t="s">
        <v>29</v>
      </c>
      <c r="I51" s="1" t="s">
        <v>99</v>
      </c>
      <c r="L51" s="12">
        <v>1.28</v>
      </c>
      <c r="M51" s="2">
        <v>1.25</v>
      </c>
      <c r="P51" s="2">
        <v>2.2410000000000001</v>
      </c>
      <c r="Q51" s="2">
        <v>15</v>
      </c>
      <c r="R51" s="2">
        <f>43.93-14.21</f>
        <v>29.72</v>
      </c>
    </row>
    <row r="52" spans="1:25" ht="18.75" customHeight="1" x14ac:dyDescent="0.3">
      <c r="A52" s="69"/>
      <c r="B52" s="69"/>
      <c r="C52" s="12" t="s">
        <v>110</v>
      </c>
      <c r="D52" s="12">
        <v>1423</v>
      </c>
      <c r="E52" s="72"/>
      <c r="F52" s="69"/>
      <c r="G52" s="75"/>
      <c r="H52" s="43" t="s">
        <v>29</v>
      </c>
      <c r="I52" s="1" t="s">
        <v>99</v>
      </c>
      <c r="L52" s="12">
        <v>1.38</v>
      </c>
      <c r="M52" s="2">
        <v>1.33</v>
      </c>
      <c r="P52" s="2">
        <v>2.3490000000000002</v>
      </c>
      <c r="Q52" s="2">
        <v>15</v>
      </c>
      <c r="R52" s="2">
        <f>44.13-14.39</f>
        <v>29.740000000000002</v>
      </c>
    </row>
    <row r="53" spans="1:25" ht="18.75" customHeight="1" x14ac:dyDescent="0.3">
      <c r="A53" s="69"/>
      <c r="B53" s="69"/>
      <c r="C53" s="12" t="s">
        <v>111</v>
      </c>
      <c r="D53" s="12">
        <v>1424</v>
      </c>
      <c r="E53" s="72"/>
      <c r="F53" s="69"/>
      <c r="G53" s="75"/>
      <c r="H53" s="43" t="s">
        <v>29</v>
      </c>
      <c r="I53" s="1" t="s">
        <v>99</v>
      </c>
      <c r="L53" s="12">
        <v>1.26</v>
      </c>
      <c r="M53" s="2">
        <v>1.21</v>
      </c>
      <c r="P53" s="2">
        <v>2.3090000000000002</v>
      </c>
      <c r="Q53" s="2">
        <v>15</v>
      </c>
      <c r="R53" s="2">
        <f>44.86-14.17</f>
        <v>30.689999999999998</v>
      </c>
    </row>
    <row r="54" spans="1:25" ht="18.75" customHeight="1" x14ac:dyDescent="0.3">
      <c r="A54" s="69"/>
      <c r="B54" s="69"/>
      <c r="C54" s="12" t="s">
        <v>112</v>
      </c>
      <c r="D54" s="12">
        <v>1425</v>
      </c>
      <c r="E54" s="72"/>
      <c r="F54" s="69"/>
      <c r="G54" s="75"/>
      <c r="H54" s="43" t="s">
        <v>29</v>
      </c>
      <c r="I54" s="1" t="s">
        <v>99</v>
      </c>
      <c r="L54" s="12">
        <v>1.17</v>
      </c>
      <c r="M54" s="2">
        <v>1.1599999999999999</v>
      </c>
      <c r="P54" s="2">
        <v>2.0339999999999998</v>
      </c>
      <c r="Q54" s="2">
        <v>15</v>
      </c>
      <c r="R54" s="2">
        <f>44.32-14.41</f>
        <v>29.91</v>
      </c>
    </row>
    <row r="55" spans="1:25" ht="18.75" customHeight="1" x14ac:dyDescent="0.3">
      <c r="A55" s="69"/>
      <c r="B55" s="69"/>
      <c r="C55" s="12" t="s">
        <v>113</v>
      </c>
      <c r="D55" s="12">
        <v>1426</v>
      </c>
      <c r="E55" s="72"/>
      <c r="F55" s="69"/>
      <c r="G55" s="75"/>
      <c r="H55" s="43" t="s">
        <v>29</v>
      </c>
      <c r="I55" s="1" t="s">
        <v>99</v>
      </c>
      <c r="L55" s="12">
        <v>1.27</v>
      </c>
      <c r="M55" s="2">
        <v>1.24</v>
      </c>
      <c r="P55" s="2">
        <v>1.9470000000000001</v>
      </c>
      <c r="Q55" s="2">
        <v>15</v>
      </c>
      <c r="R55" s="2">
        <v>30</v>
      </c>
    </row>
    <row r="56" spans="1:25" s="20" customFormat="1" ht="18.75" customHeight="1" x14ac:dyDescent="0.3">
      <c r="A56" s="79"/>
      <c r="B56" s="79"/>
      <c r="C56" s="34" t="s">
        <v>114</v>
      </c>
      <c r="D56" s="34">
        <v>1427</v>
      </c>
      <c r="E56" s="85"/>
      <c r="F56" s="79"/>
      <c r="G56" s="86"/>
      <c r="H56" s="53" t="s">
        <v>29</v>
      </c>
      <c r="I56" s="29" t="s">
        <v>99</v>
      </c>
      <c r="L56" s="34">
        <v>1.3</v>
      </c>
      <c r="M56" s="21">
        <v>1.26</v>
      </c>
      <c r="N56" s="21"/>
      <c r="O56" s="21"/>
      <c r="P56" s="21">
        <v>1.849</v>
      </c>
      <c r="Q56" s="2">
        <v>15</v>
      </c>
      <c r="R56" s="21">
        <v>30</v>
      </c>
      <c r="S56" s="21"/>
      <c r="T56" s="22"/>
      <c r="U56" s="22"/>
    </row>
    <row r="57" spans="1:25" s="45" customFormat="1" ht="18.75" customHeight="1" x14ac:dyDescent="0.3">
      <c r="A57" s="45" t="s">
        <v>115</v>
      </c>
      <c r="B57" s="45" t="s">
        <v>116</v>
      </c>
      <c r="C57" s="46" t="s">
        <v>117</v>
      </c>
      <c r="D57" s="45">
        <v>1428</v>
      </c>
      <c r="E57" s="47" t="s">
        <v>118</v>
      </c>
      <c r="F57" s="45" t="s">
        <v>63</v>
      </c>
      <c r="G57" s="48">
        <v>45674</v>
      </c>
      <c r="H57" s="19" t="s">
        <v>29</v>
      </c>
      <c r="I57" s="20" t="s">
        <v>119</v>
      </c>
      <c r="L57" s="45">
        <v>0.78</v>
      </c>
      <c r="M57" s="49"/>
      <c r="N57" s="49"/>
      <c r="O57" s="49"/>
      <c r="P57" s="49">
        <v>1.83</v>
      </c>
      <c r="Q57" s="49">
        <v>4</v>
      </c>
      <c r="R57" s="49">
        <v>32</v>
      </c>
      <c r="S57" s="49"/>
      <c r="T57" s="50"/>
      <c r="U57" s="50"/>
    </row>
    <row r="58" spans="1:25" ht="18.75" customHeight="1" x14ac:dyDescent="0.3">
      <c r="A58" s="93" t="s">
        <v>120</v>
      </c>
      <c r="B58" s="77" t="s">
        <v>121</v>
      </c>
      <c r="C58" s="54" t="s">
        <v>122</v>
      </c>
      <c r="D58" s="37">
        <v>1429</v>
      </c>
      <c r="E58" s="84" t="s">
        <v>123</v>
      </c>
      <c r="F58" s="77" t="s">
        <v>63</v>
      </c>
      <c r="G58" s="96">
        <v>45678</v>
      </c>
      <c r="H58" s="13" t="s">
        <v>45</v>
      </c>
      <c r="I58" s="1" t="s">
        <v>124</v>
      </c>
      <c r="L58" s="26">
        <v>1.03</v>
      </c>
      <c r="M58" s="2">
        <v>1.45</v>
      </c>
      <c r="P58" s="2">
        <v>1.8180000000000001</v>
      </c>
      <c r="Q58" s="2">
        <v>15</v>
      </c>
      <c r="R58" s="2">
        <f>39.39-14.27</f>
        <v>25.12</v>
      </c>
      <c r="Y58" s="3">
        <f t="shared" ref="Y58:Y73" si="2">20/P58</f>
        <v>11.001100110011</v>
      </c>
    </row>
    <row r="59" spans="1:25" ht="18.75" customHeight="1" x14ac:dyDescent="0.3">
      <c r="A59" s="94"/>
      <c r="B59" s="69"/>
      <c r="C59" s="12" t="s">
        <v>125</v>
      </c>
      <c r="D59" s="1">
        <v>1430</v>
      </c>
      <c r="E59" s="72"/>
      <c r="F59" s="69"/>
      <c r="G59" s="97"/>
      <c r="H59" s="13" t="s">
        <v>45</v>
      </c>
      <c r="I59" s="1" t="s">
        <v>124</v>
      </c>
      <c r="L59" s="26">
        <v>1.52</v>
      </c>
      <c r="M59" s="2">
        <v>2.06</v>
      </c>
      <c r="P59" s="2">
        <v>2.5310000000000001</v>
      </c>
      <c r="Q59" s="2">
        <v>15</v>
      </c>
      <c r="R59" s="2">
        <f>38.62-14.27</f>
        <v>24.349999999999998</v>
      </c>
      <c r="Y59" s="3">
        <f t="shared" si="2"/>
        <v>7.9020150138285254</v>
      </c>
    </row>
    <row r="60" spans="1:25" ht="18.75" customHeight="1" x14ac:dyDescent="0.3">
      <c r="A60" s="94"/>
      <c r="B60" s="69"/>
      <c r="C60" s="12" t="s">
        <v>126</v>
      </c>
      <c r="D60" s="1">
        <v>1431</v>
      </c>
      <c r="E60" s="72"/>
      <c r="F60" s="69"/>
      <c r="G60" s="97"/>
      <c r="H60" s="13" t="s">
        <v>45</v>
      </c>
      <c r="I60" s="1" t="s">
        <v>124</v>
      </c>
      <c r="L60" s="26">
        <v>1.28</v>
      </c>
      <c r="M60" s="2">
        <v>1.74</v>
      </c>
      <c r="P60" s="2">
        <v>2.0470000000000002</v>
      </c>
      <c r="Q60" s="2">
        <v>15</v>
      </c>
      <c r="R60" s="2">
        <f>38.62-14.19</f>
        <v>24.43</v>
      </c>
      <c r="Y60" s="3">
        <f t="shared" si="2"/>
        <v>9.7703957010258904</v>
      </c>
    </row>
    <row r="61" spans="1:25" ht="18.75" customHeight="1" x14ac:dyDescent="0.3">
      <c r="A61" s="94"/>
      <c r="B61" s="69"/>
      <c r="C61" s="12" t="s">
        <v>127</v>
      </c>
      <c r="D61" s="1">
        <v>1432</v>
      </c>
      <c r="E61" s="72"/>
      <c r="F61" s="69"/>
      <c r="G61" s="97"/>
      <c r="H61" s="13" t="s">
        <v>45</v>
      </c>
      <c r="I61" s="1" t="s">
        <v>124</v>
      </c>
      <c r="L61" s="26">
        <v>1.74</v>
      </c>
      <c r="M61" s="2">
        <v>2.3199999999999998</v>
      </c>
      <c r="P61" s="2">
        <v>3.181</v>
      </c>
      <c r="Q61" s="2">
        <v>15</v>
      </c>
      <c r="R61" s="2">
        <f>38.93-14.26</f>
        <v>24.67</v>
      </c>
      <c r="Y61" s="3">
        <f t="shared" si="2"/>
        <v>6.287331027978623</v>
      </c>
    </row>
    <row r="62" spans="1:25" ht="18.75" customHeight="1" x14ac:dyDescent="0.3">
      <c r="A62" s="94"/>
      <c r="B62" s="69"/>
      <c r="C62" s="12" t="s">
        <v>128</v>
      </c>
      <c r="D62" s="1">
        <v>1433</v>
      </c>
      <c r="E62" s="72"/>
      <c r="F62" s="69"/>
      <c r="G62" s="97"/>
      <c r="H62" s="13" t="s">
        <v>45</v>
      </c>
      <c r="I62" s="1" t="s">
        <v>124</v>
      </c>
      <c r="L62" s="26">
        <v>1.31</v>
      </c>
      <c r="M62" s="2">
        <v>1.81</v>
      </c>
      <c r="P62" s="2">
        <v>2.2269999999999999</v>
      </c>
      <c r="Q62" s="2">
        <v>15</v>
      </c>
      <c r="R62" s="2">
        <f>39.21-14.25</f>
        <v>24.96</v>
      </c>
      <c r="Y62" s="3">
        <f t="shared" si="2"/>
        <v>8.980691513246521</v>
      </c>
    </row>
    <row r="63" spans="1:25" ht="18.75" customHeight="1" x14ac:dyDescent="0.3">
      <c r="A63" s="94"/>
      <c r="B63" s="69"/>
      <c r="C63" s="12" t="s">
        <v>129</v>
      </c>
      <c r="D63" s="1">
        <v>1434</v>
      </c>
      <c r="E63" s="72"/>
      <c r="F63" s="69"/>
      <c r="G63" s="97"/>
      <c r="H63" s="13" t="s">
        <v>45</v>
      </c>
      <c r="I63" s="1" t="s">
        <v>124</v>
      </c>
      <c r="L63" s="26">
        <v>1.48</v>
      </c>
      <c r="M63" s="2">
        <v>1.95</v>
      </c>
      <c r="P63" s="2">
        <v>2.456</v>
      </c>
      <c r="Q63" s="2">
        <v>15</v>
      </c>
      <c r="R63" s="2">
        <f>38.02-14.37</f>
        <v>23.650000000000006</v>
      </c>
      <c r="Y63" s="3">
        <f t="shared" si="2"/>
        <v>8.1433224755700326</v>
      </c>
    </row>
    <row r="64" spans="1:25" ht="18.75" customHeight="1" x14ac:dyDescent="0.3">
      <c r="A64" s="94"/>
      <c r="B64" s="69"/>
      <c r="C64" s="12" t="s">
        <v>130</v>
      </c>
      <c r="D64" s="1">
        <v>1435</v>
      </c>
      <c r="E64" s="72"/>
      <c r="F64" s="69"/>
      <c r="G64" s="97"/>
      <c r="H64" s="13" t="s">
        <v>45</v>
      </c>
      <c r="I64" s="1" t="s">
        <v>124</v>
      </c>
      <c r="L64" s="26">
        <v>0.88</v>
      </c>
      <c r="M64" s="2">
        <v>1.31</v>
      </c>
      <c r="P64" s="2">
        <v>1.5489999999999999</v>
      </c>
      <c r="Q64" s="2">
        <v>15</v>
      </c>
      <c r="R64" s="2">
        <f>39.65-14.18</f>
        <v>25.47</v>
      </c>
      <c r="Y64" s="3">
        <f t="shared" si="2"/>
        <v>12.91155584247902</v>
      </c>
    </row>
    <row r="65" spans="1:25" ht="18.75" customHeight="1" x14ac:dyDescent="0.3">
      <c r="A65" s="94"/>
      <c r="B65" s="69"/>
      <c r="C65" s="12" t="s">
        <v>131</v>
      </c>
      <c r="D65" s="1">
        <v>1436</v>
      </c>
      <c r="E65" s="72"/>
      <c r="F65" s="69"/>
      <c r="G65" s="97"/>
      <c r="H65" s="13" t="s">
        <v>45</v>
      </c>
      <c r="I65" s="1" t="s">
        <v>124</v>
      </c>
      <c r="L65" s="26">
        <v>1.4</v>
      </c>
      <c r="M65" s="2">
        <v>1.83</v>
      </c>
      <c r="P65" s="2">
        <v>3.512</v>
      </c>
      <c r="Q65" s="2">
        <v>15</v>
      </c>
      <c r="R65" s="2">
        <f>38.29-14.26</f>
        <v>24.03</v>
      </c>
      <c r="Y65" s="3">
        <f t="shared" si="2"/>
        <v>5.6947608200455582</v>
      </c>
    </row>
    <row r="66" spans="1:25" ht="18.75" customHeight="1" x14ac:dyDescent="0.3">
      <c r="A66" s="94"/>
      <c r="B66" s="69"/>
      <c r="C66" s="12" t="s">
        <v>132</v>
      </c>
      <c r="D66" s="1">
        <v>1437</v>
      </c>
      <c r="E66" s="72"/>
      <c r="F66" s="69"/>
      <c r="G66" s="97"/>
      <c r="H66" s="13" t="s">
        <v>45</v>
      </c>
      <c r="I66" s="1" t="s">
        <v>124</v>
      </c>
      <c r="L66" s="26">
        <v>1</v>
      </c>
      <c r="M66" s="2">
        <v>1.45</v>
      </c>
      <c r="P66" s="2">
        <v>1.9950000000000001</v>
      </c>
      <c r="Q66" s="2">
        <v>15</v>
      </c>
      <c r="R66" s="2">
        <f>39.41-14.21</f>
        <v>25.199999999999996</v>
      </c>
      <c r="Y66" s="3">
        <f t="shared" si="2"/>
        <v>10.025062656641603</v>
      </c>
    </row>
    <row r="67" spans="1:25" ht="18.75" customHeight="1" x14ac:dyDescent="0.3">
      <c r="A67" s="94"/>
      <c r="B67" s="69"/>
      <c r="C67" s="12" t="s">
        <v>133</v>
      </c>
      <c r="D67" s="1">
        <v>1438</v>
      </c>
      <c r="E67" s="72"/>
      <c r="F67" s="69"/>
      <c r="G67" s="97"/>
      <c r="H67" s="13" t="s">
        <v>45</v>
      </c>
      <c r="I67" s="1" t="s">
        <v>124</v>
      </c>
      <c r="L67" s="26">
        <v>1.37</v>
      </c>
      <c r="M67" s="2">
        <v>1.89</v>
      </c>
      <c r="P67" s="2">
        <v>2.2999999999999998</v>
      </c>
      <c r="Q67" s="2">
        <v>15</v>
      </c>
      <c r="R67" s="2">
        <f>39.42-14.28</f>
        <v>25.14</v>
      </c>
      <c r="Y67" s="3">
        <f t="shared" si="2"/>
        <v>8.6956521739130448</v>
      </c>
    </row>
    <row r="68" spans="1:25" ht="18.75" customHeight="1" x14ac:dyDescent="0.3">
      <c r="A68" s="94"/>
      <c r="B68" s="69"/>
      <c r="C68" s="12" t="s">
        <v>134</v>
      </c>
      <c r="D68" s="1">
        <v>1439</v>
      </c>
      <c r="E68" s="72"/>
      <c r="F68" s="69"/>
      <c r="G68" s="97"/>
      <c r="H68" s="13" t="s">
        <v>45</v>
      </c>
      <c r="I68" s="1" t="s">
        <v>124</v>
      </c>
      <c r="L68" s="26">
        <v>1.42</v>
      </c>
      <c r="M68" s="2">
        <v>1.97</v>
      </c>
      <c r="P68" s="2">
        <v>2.532</v>
      </c>
      <c r="Q68" s="2">
        <v>15</v>
      </c>
      <c r="R68" s="2">
        <f>39.53-14.29</f>
        <v>25.240000000000002</v>
      </c>
      <c r="Y68" s="3">
        <f t="shared" si="2"/>
        <v>7.8988941548183256</v>
      </c>
    </row>
    <row r="69" spans="1:25" ht="18.75" customHeight="1" x14ac:dyDescent="0.3">
      <c r="A69" s="94"/>
      <c r="B69" s="69"/>
      <c r="C69" s="12" t="s">
        <v>135</v>
      </c>
      <c r="D69" s="1">
        <v>1440</v>
      </c>
      <c r="E69" s="72"/>
      <c r="F69" s="69"/>
      <c r="G69" s="97"/>
      <c r="H69" s="13" t="s">
        <v>45</v>
      </c>
      <c r="I69" s="1" t="s">
        <v>124</v>
      </c>
      <c r="L69" s="26">
        <v>1.29</v>
      </c>
      <c r="M69" s="2">
        <v>1.85</v>
      </c>
      <c r="P69" s="2">
        <v>2.431</v>
      </c>
      <c r="Q69" s="2">
        <v>15</v>
      </c>
      <c r="R69" s="2">
        <f>39.57-14.18</f>
        <v>25.39</v>
      </c>
      <c r="Y69" s="3">
        <f t="shared" si="2"/>
        <v>8.227067050596462</v>
      </c>
    </row>
    <row r="70" spans="1:25" ht="18.75" customHeight="1" x14ac:dyDescent="0.3">
      <c r="A70" s="94"/>
      <c r="B70" s="69"/>
      <c r="C70" s="12" t="s">
        <v>136</v>
      </c>
      <c r="D70" s="1">
        <v>1441</v>
      </c>
      <c r="E70" s="72"/>
      <c r="F70" s="69"/>
      <c r="G70" s="97"/>
      <c r="H70" s="13" t="s">
        <v>45</v>
      </c>
      <c r="I70" s="1" t="s">
        <v>124</v>
      </c>
      <c r="L70" s="26">
        <v>1.57</v>
      </c>
      <c r="M70" s="2">
        <v>2.2400000000000002</v>
      </c>
      <c r="P70" s="2">
        <v>2.637</v>
      </c>
      <c r="Q70" s="2">
        <v>15</v>
      </c>
      <c r="R70" s="2">
        <f>39.33-14.36</f>
        <v>24.97</v>
      </c>
      <c r="Y70" s="3">
        <f t="shared" si="2"/>
        <v>7.5843761850587788</v>
      </c>
    </row>
    <row r="71" spans="1:25" ht="18.75" customHeight="1" x14ac:dyDescent="0.3">
      <c r="A71" s="94"/>
      <c r="B71" s="69"/>
      <c r="C71" s="12" t="s">
        <v>137</v>
      </c>
      <c r="D71" s="1">
        <v>1442</v>
      </c>
      <c r="E71" s="72"/>
      <c r="F71" s="69"/>
      <c r="G71" s="97"/>
      <c r="H71" s="13" t="s">
        <v>45</v>
      </c>
      <c r="I71" s="1" t="s">
        <v>124</v>
      </c>
      <c r="L71" s="26">
        <v>1.34</v>
      </c>
      <c r="M71" s="2">
        <v>1.92</v>
      </c>
      <c r="P71" s="2">
        <v>2.6030000000000002</v>
      </c>
      <c r="Q71" s="2">
        <v>15</v>
      </c>
      <c r="R71" s="2">
        <f>39.31-14.22</f>
        <v>25.090000000000003</v>
      </c>
      <c r="Y71" s="3">
        <f t="shared" si="2"/>
        <v>7.6834421820975791</v>
      </c>
    </row>
    <row r="72" spans="1:25" ht="18.75" customHeight="1" x14ac:dyDescent="0.3">
      <c r="A72" s="94"/>
      <c r="B72" s="69"/>
      <c r="C72" s="12" t="s">
        <v>138</v>
      </c>
      <c r="D72" s="1">
        <v>1443</v>
      </c>
      <c r="E72" s="72"/>
      <c r="F72" s="69"/>
      <c r="G72" s="97"/>
      <c r="H72" s="13" t="s">
        <v>45</v>
      </c>
      <c r="I72" s="1" t="s">
        <v>124</v>
      </c>
      <c r="L72" s="26">
        <v>1.49</v>
      </c>
      <c r="M72" s="2">
        <v>2.21</v>
      </c>
      <c r="P72" s="2">
        <v>2.766</v>
      </c>
      <c r="Q72" s="2">
        <v>15</v>
      </c>
      <c r="R72" s="2">
        <f>39.21-14.52</f>
        <v>24.69</v>
      </c>
      <c r="Y72" s="3">
        <f t="shared" si="2"/>
        <v>7.2306579898770789</v>
      </c>
    </row>
    <row r="73" spans="1:25" ht="18.75" customHeight="1" x14ac:dyDescent="0.3">
      <c r="A73" s="95"/>
      <c r="B73" s="79"/>
      <c r="C73" s="34" t="s">
        <v>139</v>
      </c>
      <c r="D73" s="58">
        <v>1444</v>
      </c>
      <c r="E73" s="85"/>
      <c r="F73" s="79"/>
      <c r="G73" s="98"/>
      <c r="H73" s="13" t="s">
        <v>45</v>
      </c>
      <c r="I73" s="1" t="s">
        <v>124</v>
      </c>
      <c r="L73" s="26">
        <v>1.24</v>
      </c>
      <c r="M73" s="2">
        <v>1.78</v>
      </c>
      <c r="N73" s="21"/>
      <c r="O73" s="21"/>
      <c r="P73" s="21">
        <v>2.2080000000000002</v>
      </c>
      <c r="Q73" s="21">
        <v>15</v>
      </c>
      <c r="R73" s="21">
        <f>38.41-14.18</f>
        <v>24.229999999999997</v>
      </c>
      <c r="S73" s="21"/>
      <c r="Y73" s="3">
        <f t="shared" si="2"/>
        <v>9.0579710144927521</v>
      </c>
    </row>
    <row r="74" spans="1:25" s="56" customFormat="1" ht="18.75" customHeight="1" x14ac:dyDescent="0.3">
      <c r="A74" s="99" t="s">
        <v>140</v>
      </c>
      <c r="B74" s="93" t="s">
        <v>141</v>
      </c>
      <c r="C74" s="37" t="s">
        <v>142</v>
      </c>
      <c r="D74" s="59">
        <v>1445</v>
      </c>
      <c r="E74" s="93" t="s">
        <v>62</v>
      </c>
      <c r="F74" s="93" t="s">
        <v>98</v>
      </c>
      <c r="G74" s="102">
        <v>45688</v>
      </c>
      <c r="H74" s="40" t="s">
        <v>45</v>
      </c>
      <c r="I74" s="38" t="s">
        <v>143</v>
      </c>
      <c r="L74" s="55">
        <v>1.9350999999999998</v>
      </c>
      <c r="M74" s="55">
        <v>1.76</v>
      </c>
      <c r="N74" s="2"/>
      <c r="O74" s="3"/>
      <c r="P74" s="2">
        <v>3.238</v>
      </c>
      <c r="Q74" s="2">
        <v>15</v>
      </c>
      <c r="R74" s="2">
        <f>-14.2+45.33</f>
        <v>31.13</v>
      </c>
      <c r="S74" s="2"/>
      <c r="T74" s="57"/>
      <c r="U74" s="57"/>
      <c r="X74" s="56" t="s">
        <v>144</v>
      </c>
    </row>
    <row r="75" spans="1:25" ht="18.75" customHeight="1" x14ac:dyDescent="0.3">
      <c r="A75" s="100"/>
      <c r="B75" s="94"/>
      <c r="C75" s="1" t="s">
        <v>145</v>
      </c>
      <c r="D75" s="60">
        <v>1446</v>
      </c>
      <c r="E75" s="94"/>
      <c r="F75" s="94"/>
      <c r="G75" s="94"/>
      <c r="H75" s="43" t="s">
        <v>45</v>
      </c>
      <c r="I75" s="1" t="s">
        <v>143</v>
      </c>
      <c r="L75" s="2">
        <v>1.5647</v>
      </c>
      <c r="M75" s="2">
        <v>1.56</v>
      </c>
      <c r="O75" s="3"/>
      <c r="P75" s="2">
        <v>2.649</v>
      </c>
      <c r="Q75" s="2">
        <v>15</v>
      </c>
      <c r="R75" s="2">
        <f>-14.2+46.33</f>
        <v>32.129999999999995</v>
      </c>
    </row>
    <row r="76" spans="1:25" ht="18.75" customHeight="1" x14ac:dyDescent="0.3">
      <c r="A76" s="100"/>
      <c r="B76" s="94"/>
      <c r="C76" s="1" t="s">
        <v>146</v>
      </c>
      <c r="D76" s="60">
        <v>1447</v>
      </c>
      <c r="E76" s="94"/>
      <c r="F76" s="94"/>
      <c r="G76" s="94"/>
      <c r="H76" s="43" t="s">
        <v>45</v>
      </c>
      <c r="I76" s="1" t="s">
        <v>143</v>
      </c>
      <c r="L76" s="2">
        <v>1.6918</v>
      </c>
      <c r="M76" s="2">
        <v>1.56</v>
      </c>
      <c r="O76" s="3"/>
      <c r="P76" s="2">
        <v>2.5790000000000002</v>
      </c>
      <c r="Q76" s="2">
        <v>15</v>
      </c>
      <c r="R76" s="2">
        <f>-14.2+45.19</f>
        <v>30.99</v>
      </c>
    </row>
    <row r="77" spans="1:25" ht="18.75" customHeight="1" x14ac:dyDescent="0.3">
      <c r="A77" s="100"/>
      <c r="B77" s="94"/>
      <c r="C77" s="1" t="s">
        <v>147</v>
      </c>
      <c r="D77" s="60">
        <v>1448</v>
      </c>
      <c r="E77" s="94"/>
      <c r="F77" s="94"/>
      <c r="G77" s="94"/>
      <c r="H77" s="43" t="s">
        <v>45</v>
      </c>
      <c r="I77" s="1" t="s">
        <v>143</v>
      </c>
      <c r="L77" s="2">
        <v>1.4998</v>
      </c>
      <c r="M77" s="2">
        <v>1.4</v>
      </c>
      <c r="O77" s="3"/>
      <c r="P77" s="2">
        <v>2.4710000000000001</v>
      </c>
      <c r="Q77" s="2">
        <v>15</v>
      </c>
      <c r="R77" s="2">
        <f>-14.2+45.48</f>
        <v>31.279999999999998</v>
      </c>
    </row>
    <row r="78" spans="1:25" ht="18.75" customHeight="1" x14ac:dyDescent="0.3">
      <c r="A78" s="100"/>
      <c r="B78" s="94"/>
      <c r="C78" s="1" t="s">
        <v>148</v>
      </c>
      <c r="D78" s="60">
        <v>1449</v>
      </c>
      <c r="E78" s="94"/>
      <c r="F78" s="94"/>
      <c r="G78" s="94"/>
      <c r="H78" s="43" t="s">
        <v>45</v>
      </c>
      <c r="I78" s="1" t="s">
        <v>143</v>
      </c>
      <c r="L78" s="2">
        <v>1.9467000000000001</v>
      </c>
      <c r="M78" s="2">
        <v>1.82</v>
      </c>
      <c r="O78" s="3"/>
      <c r="P78" s="2">
        <v>3.0779999999999998</v>
      </c>
      <c r="Q78" s="2">
        <v>15</v>
      </c>
      <c r="R78" s="2">
        <f>-14.2+46.17</f>
        <v>31.970000000000002</v>
      </c>
    </row>
    <row r="79" spans="1:25" ht="18.75" customHeight="1" x14ac:dyDescent="0.3">
      <c r="A79" s="100"/>
      <c r="B79" s="94"/>
      <c r="C79" s="1" t="s">
        <v>134</v>
      </c>
      <c r="D79" s="60">
        <v>1450</v>
      </c>
      <c r="E79" s="94"/>
      <c r="F79" s="94"/>
      <c r="G79" s="94"/>
      <c r="H79" s="43" t="s">
        <v>45</v>
      </c>
      <c r="I79" s="1" t="s">
        <v>143</v>
      </c>
      <c r="L79" s="2">
        <v>1.5630999999999999</v>
      </c>
      <c r="M79" s="2">
        <v>1.54</v>
      </c>
      <c r="O79" s="3"/>
      <c r="P79" s="2">
        <v>2.5830000000000002</v>
      </c>
      <c r="Q79" s="2">
        <v>15</v>
      </c>
      <c r="R79" s="2">
        <f>-14.2+44.97</f>
        <v>30.77</v>
      </c>
    </row>
    <row r="80" spans="1:25" ht="18.75" customHeight="1" x14ac:dyDescent="0.3">
      <c r="A80" s="100"/>
      <c r="B80" s="94"/>
      <c r="C80" s="1" t="s">
        <v>149</v>
      </c>
      <c r="D80" s="60">
        <v>1451</v>
      </c>
      <c r="E80" s="94"/>
      <c r="F80" s="94"/>
      <c r="G80" s="94"/>
      <c r="H80" s="43" t="s">
        <v>45</v>
      </c>
      <c r="I80" s="1" t="s">
        <v>143</v>
      </c>
      <c r="L80" s="2">
        <v>1.8733</v>
      </c>
      <c r="M80" s="2">
        <v>1.87</v>
      </c>
      <c r="O80" s="3"/>
      <c r="P80" s="2">
        <v>3.1909999999999998</v>
      </c>
      <c r="Q80" s="2">
        <v>15</v>
      </c>
      <c r="R80" s="2">
        <f>-14.2+45.54</f>
        <v>31.34</v>
      </c>
    </row>
    <row r="81" spans="1:21" ht="18.75" customHeight="1" x14ac:dyDescent="0.3">
      <c r="A81" s="100"/>
      <c r="B81" s="94"/>
      <c r="C81" s="1" t="s">
        <v>150</v>
      </c>
      <c r="D81" s="60">
        <v>1452</v>
      </c>
      <c r="E81" s="94"/>
      <c r="F81" s="94"/>
      <c r="G81" s="94"/>
      <c r="H81" s="43" t="s">
        <v>45</v>
      </c>
      <c r="I81" s="1" t="s">
        <v>143</v>
      </c>
      <c r="L81" s="2">
        <v>2.0695000000000001</v>
      </c>
      <c r="M81" s="2">
        <v>1.87</v>
      </c>
      <c r="O81" s="3"/>
      <c r="P81" s="2">
        <v>3.2709999999999999</v>
      </c>
      <c r="Q81" s="2">
        <v>15</v>
      </c>
      <c r="R81" s="2">
        <f>-14.2+46.1</f>
        <v>31.900000000000002</v>
      </c>
    </row>
    <row r="82" spans="1:21" ht="18.75" customHeight="1" x14ac:dyDescent="0.3">
      <c r="A82" s="100"/>
      <c r="B82" s="94"/>
      <c r="C82" s="1" t="s">
        <v>151</v>
      </c>
      <c r="D82" s="60">
        <v>1453</v>
      </c>
      <c r="E82" s="94"/>
      <c r="F82" s="94"/>
      <c r="G82" s="94"/>
      <c r="H82" s="43" t="s">
        <v>45</v>
      </c>
      <c r="I82" s="1" t="s">
        <v>143</v>
      </c>
      <c r="L82" s="2">
        <v>1.7025999999999999</v>
      </c>
      <c r="M82" s="2">
        <v>1.65</v>
      </c>
      <c r="O82" s="3"/>
      <c r="P82" s="2">
        <v>2.9670000000000001</v>
      </c>
      <c r="Q82" s="2">
        <v>15</v>
      </c>
      <c r="R82" s="2">
        <f>-14.2+46.2</f>
        <v>32</v>
      </c>
    </row>
    <row r="83" spans="1:21" ht="18.75" customHeight="1" x14ac:dyDescent="0.3">
      <c r="A83" s="100"/>
      <c r="B83" s="94"/>
      <c r="C83" s="1" t="s">
        <v>152</v>
      </c>
      <c r="D83" s="60">
        <v>1454</v>
      </c>
      <c r="E83" s="94"/>
      <c r="F83" s="94"/>
      <c r="G83" s="94"/>
      <c r="H83" s="43" t="s">
        <v>45</v>
      </c>
      <c r="I83" s="1" t="s">
        <v>143</v>
      </c>
      <c r="L83" s="2">
        <v>1.6616</v>
      </c>
      <c r="M83" s="2">
        <v>1.54</v>
      </c>
      <c r="O83" s="3"/>
      <c r="P83" s="2">
        <v>2.7029999999999998</v>
      </c>
      <c r="Q83" s="2">
        <v>15</v>
      </c>
      <c r="R83" s="2">
        <f>-14.2+46.06</f>
        <v>31.860000000000003</v>
      </c>
    </row>
    <row r="84" spans="1:21" ht="18.75" customHeight="1" x14ac:dyDescent="0.3">
      <c r="A84" s="100"/>
      <c r="B84" s="94"/>
      <c r="C84" s="1" t="s">
        <v>153</v>
      </c>
      <c r="D84" s="60">
        <v>1455</v>
      </c>
      <c r="E84" s="94"/>
      <c r="F84" s="94"/>
      <c r="G84" s="94"/>
      <c r="H84" s="43" t="s">
        <v>45</v>
      </c>
      <c r="I84" s="1" t="s">
        <v>143</v>
      </c>
      <c r="L84" s="2">
        <v>1.9983</v>
      </c>
      <c r="M84" s="2">
        <v>1.91</v>
      </c>
      <c r="O84" s="3"/>
      <c r="P84" s="2">
        <v>3.371</v>
      </c>
      <c r="Q84" s="2">
        <v>15</v>
      </c>
      <c r="R84" s="2">
        <f>-14.2+46.11</f>
        <v>31.91</v>
      </c>
    </row>
    <row r="85" spans="1:21" ht="18.75" customHeight="1" x14ac:dyDescent="0.3">
      <c r="A85" s="100"/>
      <c r="B85" s="94"/>
      <c r="C85" s="1" t="s">
        <v>154</v>
      </c>
      <c r="D85" s="60">
        <v>1456</v>
      </c>
      <c r="E85" s="94"/>
      <c r="F85" s="94"/>
      <c r="G85" s="94"/>
      <c r="H85" s="43" t="s">
        <v>45</v>
      </c>
      <c r="I85" s="1" t="s">
        <v>143</v>
      </c>
      <c r="L85" s="2">
        <v>1.6957</v>
      </c>
      <c r="M85" s="2">
        <v>1.63</v>
      </c>
      <c r="O85" s="3"/>
      <c r="P85" s="2">
        <v>2.8279999999999998</v>
      </c>
      <c r="Q85" s="2">
        <v>15</v>
      </c>
      <c r="R85" s="2">
        <f>-14.2+45.89</f>
        <v>31.69</v>
      </c>
    </row>
    <row r="86" spans="1:21" ht="18.75" customHeight="1" x14ac:dyDescent="0.3">
      <c r="A86" s="100"/>
      <c r="B86" s="94"/>
      <c r="C86" s="1" t="s">
        <v>155</v>
      </c>
      <c r="D86" s="60">
        <v>1457</v>
      </c>
      <c r="E86" s="94"/>
      <c r="F86" s="94"/>
      <c r="G86" s="94"/>
      <c r="H86" s="43" t="s">
        <v>45</v>
      </c>
      <c r="I86" s="1" t="s">
        <v>143</v>
      </c>
      <c r="L86" s="2">
        <v>1.6129</v>
      </c>
      <c r="M86" s="2">
        <v>1.59</v>
      </c>
      <c r="O86" s="3"/>
      <c r="P86" s="2">
        <v>2.9289999999999998</v>
      </c>
      <c r="Q86" s="2">
        <v>15</v>
      </c>
      <c r="R86" s="2">
        <f>-14.2+46.58</f>
        <v>32.379999999999995</v>
      </c>
    </row>
    <row r="87" spans="1:21" s="20" customFormat="1" ht="18.75" customHeight="1" x14ac:dyDescent="0.3">
      <c r="A87" s="101"/>
      <c r="B87" s="95"/>
      <c r="C87" s="29" t="s">
        <v>156</v>
      </c>
      <c r="D87" s="61">
        <v>1458</v>
      </c>
      <c r="E87" s="95"/>
      <c r="F87" s="95"/>
      <c r="G87" s="95"/>
      <c r="H87" s="53" t="s">
        <v>45</v>
      </c>
      <c r="I87" s="29" t="s">
        <v>143</v>
      </c>
      <c r="L87" s="21">
        <v>1.6242999999999999</v>
      </c>
      <c r="M87" s="21">
        <v>1.59</v>
      </c>
      <c r="N87" s="21"/>
      <c r="O87" s="22"/>
      <c r="P87" s="21">
        <v>3.024</v>
      </c>
      <c r="Q87" s="21">
        <v>15</v>
      </c>
      <c r="R87" s="21">
        <f>-14.2+45.73</f>
        <v>31.529999999999998</v>
      </c>
      <c r="S87" s="21"/>
      <c r="T87" s="22"/>
      <c r="U87" s="22"/>
    </row>
    <row r="88" spans="1:21" ht="18.75" customHeight="1" x14ac:dyDescent="0.35">
      <c r="A88" s="77" t="s">
        <v>157</v>
      </c>
      <c r="B88" s="77" t="s">
        <v>25</v>
      </c>
      <c r="C88" s="62" t="s">
        <v>158</v>
      </c>
      <c r="D88" s="1">
        <v>1459</v>
      </c>
      <c r="E88" s="84" t="s">
        <v>44</v>
      </c>
      <c r="F88" s="77" t="s">
        <v>63</v>
      </c>
      <c r="G88" s="80">
        <v>45707</v>
      </c>
      <c r="L88" s="1">
        <v>2.71</v>
      </c>
      <c r="M88" s="2">
        <v>3.2759999999999998</v>
      </c>
      <c r="P88" s="2">
        <v>0.77100000000000002</v>
      </c>
      <c r="S88" s="2">
        <f>20/P88</f>
        <v>25.940337224383917</v>
      </c>
    </row>
    <row r="89" spans="1:21" ht="18.75" customHeight="1" x14ac:dyDescent="0.35">
      <c r="A89" s="69"/>
      <c r="B89" s="69"/>
      <c r="C89" s="62" t="s">
        <v>159</v>
      </c>
      <c r="D89" s="1">
        <v>1460</v>
      </c>
      <c r="E89" s="72"/>
      <c r="F89" s="69"/>
      <c r="G89" s="75"/>
      <c r="L89" s="1">
        <v>2.95</v>
      </c>
      <c r="M89" s="2">
        <v>3.5409999999999999</v>
      </c>
      <c r="P89" s="2">
        <v>0.76</v>
      </c>
      <c r="S89" s="2">
        <f t="shared" ref="S89:S92" si="3">20/P89</f>
        <v>26.315789473684209</v>
      </c>
    </row>
    <row r="90" spans="1:21" ht="18.75" customHeight="1" x14ac:dyDescent="0.35">
      <c r="A90" s="69"/>
      <c r="B90" s="69"/>
      <c r="C90" s="62" t="s">
        <v>160</v>
      </c>
      <c r="D90" s="1">
        <v>1461</v>
      </c>
      <c r="E90" s="72"/>
      <c r="F90" s="69"/>
      <c r="G90" s="75"/>
      <c r="L90" s="1">
        <v>2.34</v>
      </c>
      <c r="M90" s="2">
        <v>2.6429999999999998</v>
      </c>
      <c r="P90" s="2">
        <v>0.72599999999999998</v>
      </c>
      <c r="S90" s="2">
        <f t="shared" si="3"/>
        <v>27.548209366391184</v>
      </c>
    </row>
    <row r="91" spans="1:21" ht="18.75" customHeight="1" x14ac:dyDescent="0.35">
      <c r="A91" s="69"/>
      <c r="B91" s="69"/>
      <c r="C91" s="62" t="s">
        <v>161</v>
      </c>
      <c r="D91" s="1">
        <v>1462</v>
      </c>
      <c r="E91" s="72"/>
      <c r="F91" s="69"/>
      <c r="G91" s="75"/>
      <c r="L91" s="1">
        <v>2.44</v>
      </c>
      <c r="M91" s="2">
        <v>2.9279999999999999</v>
      </c>
      <c r="P91" s="2">
        <v>0.81499999999999995</v>
      </c>
      <c r="S91" s="2">
        <f t="shared" si="3"/>
        <v>24.539877300613497</v>
      </c>
    </row>
    <row r="92" spans="1:21" s="29" customFormat="1" ht="18.75" customHeight="1" x14ac:dyDescent="0.35">
      <c r="A92" s="78"/>
      <c r="B92" s="79"/>
      <c r="C92" s="63" t="s">
        <v>162</v>
      </c>
      <c r="D92" s="29">
        <v>1463</v>
      </c>
      <c r="E92" s="73"/>
      <c r="F92" s="70"/>
      <c r="G92" s="81"/>
      <c r="H92" s="53"/>
      <c r="L92" s="29">
        <v>2.9</v>
      </c>
      <c r="M92" s="31">
        <v>3.3479999999999999</v>
      </c>
      <c r="N92" s="31"/>
      <c r="O92" s="31"/>
      <c r="P92" s="31">
        <v>0.71199999999999997</v>
      </c>
      <c r="Q92" s="31"/>
      <c r="R92" s="31"/>
      <c r="S92" s="31">
        <f t="shared" si="3"/>
        <v>28.08988764044944</v>
      </c>
      <c r="T92" s="32"/>
      <c r="U92" s="32"/>
    </row>
    <row r="93" spans="1:21" ht="18.75" customHeight="1" x14ac:dyDescent="0.3">
      <c r="A93" s="82" t="s">
        <v>163</v>
      </c>
      <c r="B93" s="77" t="s">
        <v>164</v>
      </c>
      <c r="C93" s="12" t="s">
        <v>165</v>
      </c>
      <c r="D93" s="1">
        <v>1464</v>
      </c>
      <c r="E93" s="71" t="s">
        <v>62</v>
      </c>
      <c r="F93" s="68" t="s">
        <v>98</v>
      </c>
      <c r="G93" s="83">
        <v>45709</v>
      </c>
      <c r="H93" s="43"/>
      <c r="L93" s="1">
        <v>0.64</v>
      </c>
      <c r="M93" s="2">
        <v>0.68100000000000005</v>
      </c>
      <c r="P93" s="2">
        <v>2.1040000000000001</v>
      </c>
      <c r="Q93" s="2">
        <v>7.9</v>
      </c>
    </row>
    <row r="94" spans="1:21" ht="18.75" customHeight="1" x14ac:dyDescent="0.3">
      <c r="A94" s="66"/>
      <c r="B94" s="69"/>
      <c r="C94" s="12" t="s">
        <v>166</v>
      </c>
      <c r="D94" s="1">
        <v>1465</v>
      </c>
      <c r="E94" s="72"/>
      <c r="F94" s="69"/>
      <c r="G94" s="75"/>
      <c r="H94" s="43"/>
      <c r="L94" s="1">
        <v>0.65</v>
      </c>
      <c r="M94" s="2">
        <v>0.71399999999999997</v>
      </c>
      <c r="P94" s="2">
        <v>2.2189999999999999</v>
      </c>
      <c r="Q94" s="2">
        <v>7.9</v>
      </c>
    </row>
    <row r="95" spans="1:21" ht="18.75" customHeight="1" x14ac:dyDescent="0.3">
      <c r="A95" s="66"/>
      <c r="B95" s="69"/>
      <c r="C95" s="12" t="s">
        <v>167</v>
      </c>
      <c r="D95" s="1">
        <v>1466</v>
      </c>
      <c r="E95" s="72"/>
      <c r="F95" s="69"/>
      <c r="G95" s="75"/>
      <c r="H95" s="43"/>
      <c r="L95" s="1">
        <v>0.68</v>
      </c>
      <c r="M95" s="2">
        <v>0.77300000000000002</v>
      </c>
      <c r="P95" s="2">
        <v>2.1</v>
      </c>
      <c r="Q95" s="2">
        <v>7.9</v>
      </c>
    </row>
    <row r="96" spans="1:21" s="29" customFormat="1" ht="18.75" customHeight="1" x14ac:dyDescent="0.3">
      <c r="A96" s="67"/>
      <c r="B96" s="70"/>
      <c r="C96" s="64" t="s">
        <v>168</v>
      </c>
      <c r="D96" s="29">
        <v>1467</v>
      </c>
      <c r="E96" s="73"/>
      <c r="F96" s="70"/>
      <c r="G96" s="76"/>
      <c r="H96" s="53"/>
      <c r="L96" s="29">
        <v>1.26</v>
      </c>
      <c r="M96" s="31">
        <v>1.577</v>
      </c>
      <c r="N96" s="31"/>
      <c r="O96" s="31"/>
      <c r="P96" s="31">
        <v>2.2509999999999999</v>
      </c>
      <c r="Q96" s="31">
        <v>7.9</v>
      </c>
      <c r="R96" s="31"/>
      <c r="S96" s="31"/>
      <c r="T96" s="32"/>
      <c r="U96" s="32"/>
    </row>
    <row r="97" spans="1:21" ht="18.75" customHeight="1" x14ac:dyDescent="0.3">
      <c r="A97" s="65" t="s">
        <v>169</v>
      </c>
      <c r="B97" s="68" t="s">
        <v>170</v>
      </c>
      <c r="C97" s="1" t="s">
        <v>171</v>
      </c>
      <c r="D97" s="1">
        <v>1468</v>
      </c>
      <c r="E97" s="71" t="s">
        <v>62</v>
      </c>
      <c r="F97" s="68" t="s">
        <v>98</v>
      </c>
      <c r="G97" s="74">
        <v>45709</v>
      </c>
      <c r="H97" s="43"/>
      <c r="L97" s="1">
        <v>1.5</v>
      </c>
      <c r="M97" s="2">
        <v>1.368322764</v>
      </c>
      <c r="P97" s="2">
        <v>2.0950000000000002</v>
      </c>
    </row>
    <row r="98" spans="1:21" ht="18.75" customHeight="1" x14ac:dyDescent="0.3">
      <c r="A98" s="66"/>
      <c r="B98" s="69"/>
      <c r="C98" s="1" t="s">
        <v>102</v>
      </c>
      <c r="D98" s="1">
        <v>1469</v>
      </c>
      <c r="E98" s="72"/>
      <c r="F98" s="69"/>
      <c r="G98" s="75"/>
      <c r="H98" s="43"/>
      <c r="L98" s="1">
        <v>1.47</v>
      </c>
      <c r="M98" s="2">
        <v>1.4682408010000001</v>
      </c>
      <c r="P98" s="2">
        <v>2.3260000000000001</v>
      </c>
    </row>
    <row r="99" spans="1:21" ht="18.75" customHeight="1" x14ac:dyDescent="0.3">
      <c r="A99" s="66"/>
      <c r="B99" s="69"/>
      <c r="C99" s="1" t="s">
        <v>172</v>
      </c>
      <c r="D99" s="1">
        <v>1470</v>
      </c>
      <c r="E99" s="72"/>
      <c r="F99" s="69"/>
      <c r="G99" s="75"/>
      <c r="H99" s="43"/>
      <c r="L99" s="1">
        <v>1.37</v>
      </c>
      <c r="M99" s="2">
        <v>1.344108557</v>
      </c>
      <c r="P99" s="2">
        <v>2.101</v>
      </c>
    </row>
    <row r="100" spans="1:21" ht="18.75" customHeight="1" x14ac:dyDescent="0.3">
      <c r="A100" s="66"/>
      <c r="B100" s="69"/>
      <c r="C100" s="1" t="s">
        <v>173</v>
      </c>
      <c r="D100" s="1">
        <v>1471</v>
      </c>
      <c r="E100" s="72"/>
      <c r="F100" s="69"/>
      <c r="G100" s="75"/>
      <c r="H100" s="43"/>
      <c r="L100" s="1">
        <v>1.31</v>
      </c>
      <c r="M100" s="2">
        <v>1.3245315719999999</v>
      </c>
      <c r="P100" s="2">
        <v>2.2250000000000001</v>
      </c>
    </row>
    <row r="101" spans="1:21" ht="18.75" customHeight="1" x14ac:dyDescent="0.3">
      <c r="A101" s="66"/>
      <c r="B101" s="69"/>
      <c r="C101" s="1" t="s">
        <v>174</v>
      </c>
      <c r="D101" s="1">
        <v>1472</v>
      </c>
      <c r="E101" s="72"/>
      <c r="F101" s="69"/>
      <c r="G101" s="75"/>
      <c r="H101" s="43"/>
      <c r="L101" s="1">
        <v>1.45</v>
      </c>
      <c r="M101" s="2">
        <v>1.3913972080000001</v>
      </c>
      <c r="P101" s="2">
        <v>2.129</v>
      </c>
    </row>
    <row r="102" spans="1:21" ht="18.75" customHeight="1" x14ac:dyDescent="0.3">
      <c r="A102" s="66"/>
      <c r="B102" s="69"/>
      <c r="C102" s="1" t="s">
        <v>175</v>
      </c>
      <c r="D102" s="1">
        <v>1473</v>
      </c>
      <c r="E102" s="72"/>
      <c r="F102" s="69"/>
      <c r="G102" s="75"/>
      <c r="H102" s="43"/>
      <c r="L102" s="1">
        <v>1.5</v>
      </c>
      <c r="M102" s="2">
        <v>1.5577930179999999</v>
      </c>
      <c r="P102" s="2">
        <v>2.12</v>
      </c>
    </row>
    <row r="103" spans="1:21" ht="18.75" customHeight="1" x14ac:dyDescent="0.3">
      <c r="A103" s="66"/>
      <c r="B103" s="69"/>
      <c r="C103" s="1" t="s">
        <v>176</v>
      </c>
      <c r="D103" s="1">
        <v>1474</v>
      </c>
      <c r="E103" s="72"/>
      <c r="F103" s="69"/>
      <c r="G103" s="75"/>
      <c r="H103" s="43"/>
      <c r="L103" s="1">
        <v>1.37</v>
      </c>
      <c r="M103" s="2">
        <v>1.3719527359999999</v>
      </c>
      <c r="P103" s="2">
        <v>2.1339999999999999</v>
      </c>
    </row>
    <row r="104" spans="1:21" s="29" customFormat="1" ht="18.75" customHeight="1" x14ac:dyDescent="0.3">
      <c r="A104" s="67"/>
      <c r="B104" s="70"/>
      <c r="C104" s="29" t="s">
        <v>177</v>
      </c>
      <c r="D104" s="29">
        <v>1475</v>
      </c>
      <c r="E104" s="73"/>
      <c r="F104" s="70"/>
      <c r="G104" s="76"/>
      <c r="H104" s="53"/>
      <c r="L104" s="29">
        <v>1.43</v>
      </c>
      <c r="M104" s="31">
        <v>1.3959815739999999</v>
      </c>
      <c r="N104" s="31"/>
      <c r="O104" s="31"/>
      <c r="P104" s="31">
        <v>2.1389999999999998</v>
      </c>
      <c r="Q104" s="31"/>
      <c r="R104" s="31"/>
      <c r="S104" s="31"/>
      <c r="T104" s="32"/>
      <c r="U104" s="32"/>
    </row>
  </sheetData>
  <mergeCells count="56">
    <mergeCell ref="A74:A87"/>
    <mergeCell ref="B74:B87"/>
    <mergeCell ref="E74:E87"/>
    <mergeCell ref="F74:F87"/>
    <mergeCell ref="G74:G87"/>
    <mergeCell ref="A58:A73"/>
    <mergeCell ref="B58:B73"/>
    <mergeCell ref="E58:E73"/>
    <mergeCell ref="F58:F73"/>
    <mergeCell ref="G58:G73"/>
    <mergeCell ref="A41:A56"/>
    <mergeCell ref="E41:E56"/>
    <mergeCell ref="F41:F56"/>
    <mergeCell ref="G41:G56"/>
    <mergeCell ref="E15:E32"/>
    <mergeCell ref="F15:F32"/>
    <mergeCell ref="B15:B32"/>
    <mergeCell ref="A15:A32"/>
    <mergeCell ref="G15:G27"/>
    <mergeCell ref="G29:G32"/>
    <mergeCell ref="G33:G38"/>
    <mergeCell ref="A39:A40"/>
    <mergeCell ref="B39:B40"/>
    <mergeCell ref="E39:E40"/>
    <mergeCell ref="F39:F40"/>
    <mergeCell ref="G39:G40"/>
    <mergeCell ref="B41:B56"/>
    <mergeCell ref="E2:E7"/>
    <mergeCell ref="F2:F7"/>
    <mergeCell ref="G2:G7"/>
    <mergeCell ref="B2:B7"/>
    <mergeCell ref="G8:G14"/>
    <mergeCell ref="A33:A38"/>
    <mergeCell ref="B33:B38"/>
    <mergeCell ref="E33:E38"/>
    <mergeCell ref="F33:F38"/>
    <mergeCell ref="A2:A7"/>
    <mergeCell ref="B8:B14"/>
    <mergeCell ref="A8:A14"/>
    <mergeCell ref="E8:E14"/>
    <mergeCell ref="F8:F14"/>
    <mergeCell ref="A88:A92"/>
    <mergeCell ref="B88:B92"/>
    <mergeCell ref="G88:G92"/>
    <mergeCell ref="A93:A96"/>
    <mergeCell ref="B93:B96"/>
    <mergeCell ref="E93:E96"/>
    <mergeCell ref="F93:F96"/>
    <mergeCell ref="G93:G96"/>
    <mergeCell ref="F88:F92"/>
    <mergeCell ref="E88:E92"/>
    <mergeCell ref="A97:A104"/>
    <mergeCell ref="B97:B104"/>
    <mergeCell ref="E97:E104"/>
    <mergeCell ref="F97:F104"/>
    <mergeCell ref="G97:G104"/>
  </mergeCells>
  <phoneticPr fontId="1" type="noConversion"/>
  <printOptions gridLines="1"/>
  <pageMargins left="0.25" right="0.25" top="0.75" bottom="0.75" header="0.3" footer="0.3"/>
  <pageSetup scale="2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6FC37A494F44DB8B3E75F94CB4F0D" ma:contentTypeVersion="18" ma:contentTypeDescription="Create a new document." ma:contentTypeScope="" ma:versionID="ffd00f750e40774b4d1fd1081ef440ab">
  <xsd:schema xmlns:xsd="http://www.w3.org/2001/XMLSchema" xmlns:xs="http://www.w3.org/2001/XMLSchema" xmlns:p="http://schemas.microsoft.com/office/2006/metadata/properties" xmlns:ns1="http://schemas.microsoft.com/sharepoint/v3" xmlns:ns2="dd4e3198-d10c-42db-83c7-c2eaf8500160" xmlns:ns3="cba34f41-bd7a-4d17-8d81-20a3aad32454" targetNamespace="http://schemas.microsoft.com/office/2006/metadata/properties" ma:root="true" ma:fieldsID="4d25eeab5516324eefaeee3b6d693b3e" ns1:_="" ns2:_="" ns3:_="">
    <xsd:import namespace="http://schemas.microsoft.com/sharepoint/v3"/>
    <xsd:import namespace="dd4e3198-d10c-42db-83c7-c2eaf8500160"/>
    <xsd:import namespace="cba34f41-bd7a-4d17-8d81-20a3aad324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e3198-d10c-42db-83c7-c2eaf8500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138e8a7-a63a-4c57-a626-6b25e60d9b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34f41-bd7a-4d17-8d81-20a3aad3245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0dd9075-fc12-4a69-88f1-0add256cc4e0}" ma:internalName="TaxCatchAll" ma:showField="CatchAllData" ma:web="cba34f41-bd7a-4d17-8d81-20a3aad324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cba34f41-bd7a-4d17-8d81-20a3aad32454">
      <UserInfo>
        <DisplayName>Yongqi Yan</DisplayName>
        <AccountId>12</AccountId>
        <AccountType/>
      </UserInfo>
      <UserInfo>
        <DisplayName>Yupeng Wang</DisplayName>
        <AccountId>94</AccountId>
        <AccountType/>
      </UserInfo>
      <UserInfo>
        <DisplayName>Kinkini Udara Jayasundara</DisplayName>
        <AccountId>156</AccountId>
        <AccountType/>
      </UserInfo>
      <UserInfo>
        <DisplayName>John Sargeant</DisplayName>
        <AccountId>172</AccountId>
        <AccountType/>
      </UserInfo>
    </SharedWithUsers>
    <TaxCatchAll xmlns="cba34f41-bd7a-4d17-8d81-20a3aad32454" xsi:nil="true"/>
    <lcf76f155ced4ddcb4097134ff3c332f xmlns="dd4e3198-d10c-42db-83c7-c2eaf85001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E04DD-CD29-4D83-A79F-C21DA2E67A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d4e3198-d10c-42db-83c7-c2eaf8500160"/>
    <ds:schemaRef ds:uri="cba34f41-bd7a-4d17-8d81-20a3aad32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E3B5B5-A2D1-435A-BC1D-A841194A603C}">
  <ds:schemaRefs>
    <ds:schemaRef ds:uri="dd4e3198-d10c-42db-83c7-c2eaf8500160"/>
    <ds:schemaRef ds:uri="cba34f41-bd7a-4d17-8d81-20a3aad32454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FCBBCBF-7721-4CFC-AF36-91234EB1C3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Daniella Cohen</dc:creator>
  <cp:keywords/>
  <dc:description/>
  <cp:lastModifiedBy>Christopher Dallarosa</cp:lastModifiedBy>
  <cp:revision/>
  <dcterms:created xsi:type="dcterms:W3CDTF">2021-11-12T21:33:57Z</dcterms:created>
  <dcterms:modified xsi:type="dcterms:W3CDTF">2025-03-01T05:54:55Z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0x010100FEB6FC37A494F44DB8B3E75F94CB4F0D</vt:lpwstr>
  </property>
  <property fmtid="{D5CDD505-2E9C-101B-9397-08002B2CF9AE}" pid="3" name="MediaServiceImageTags">
    <vt:lpwstr/>
  </property>
</Properties>
</file>