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0bef86689d611/Escritorio/EDEM/PROYECTO 2 QL/dataproject2/"/>
    </mc:Choice>
  </mc:AlternateContent>
  <xr:revisionPtr revIDLastSave="1371" documentId="8_{B7027531-4904-4DBC-882C-9FB6F5C32DBA}" xr6:coauthVersionLast="46" xr6:coauthVersionMax="46" xr10:uidLastSave="{84A7932F-DEE6-459E-85D7-3278F0042C7C}"/>
  <bookViews>
    <workbookView xWindow="28680" yWindow="-120" windowWidth="29040" windowHeight="15840" activeTab="2" xr2:uid="{5FEC1257-C56C-46B2-84BE-26EF89348FD8}"/>
  </bookViews>
  <sheets>
    <sheet name="resumen costes" sheetId="1" r:id="rId1"/>
    <sheet name="horas roles costes" sheetId="3" r:id="rId2"/>
    <sheet name="escenarios" sheetId="4" r:id="rId3"/>
    <sheet name="costes personal" sheetId="2" r:id="rId4"/>
    <sheet name="Estimación medias viviendas" sheetId="6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4" l="1"/>
  <c r="AC16" i="4"/>
  <c r="AJ16" i="4" s="1"/>
  <c r="AC8" i="4"/>
  <c r="AJ8" i="4" s="1"/>
  <c r="AE16" i="4"/>
  <c r="AL16" i="4" s="1"/>
  <c r="AD16" i="4"/>
  <c r="AK16" i="4" s="1"/>
  <c r="AB16" i="4"/>
  <c r="AI16" i="4" s="1"/>
  <c r="AA16" i="4"/>
  <c r="AH16" i="4" s="1"/>
  <c r="Z16" i="4"/>
  <c r="AG16" i="4" s="1"/>
  <c r="AE8" i="4"/>
  <c r="AL8" i="4" s="1"/>
  <c r="AB8" i="4"/>
  <c r="AI8" i="4" s="1"/>
  <c r="AD8" i="4"/>
  <c r="AK8" i="4" s="1"/>
  <c r="AA8" i="4"/>
  <c r="AH8" i="4" s="1"/>
  <c r="F9" i="6"/>
  <c r="Z8" i="4"/>
  <c r="AG8" i="4" s="1"/>
  <c r="D16" i="4"/>
  <c r="D8" i="4"/>
  <c r="H22" i="4"/>
  <c r="I22" i="4"/>
  <c r="V22" i="4" s="1"/>
  <c r="W22" i="4" s="1"/>
  <c r="Q15" i="4"/>
  <c r="Q16" i="4"/>
  <c r="Q17" i="4"/>
  <c r="Q14" i="4"/>
  <c r="I15" i="4"/>
  <c r="I16" i="4"/>
  <c r="I17" i="4"/>
  <c r="I14" i="4"/>
  <c r="V14" i="4" s="1"/>
  <c r="C17" i="4"/>
  <c r="AC17" i="4" s="1"/>
  <c r="AJ17" i="4" s="1"/>
  <c r="C15" i="4"/>
  <c r="AA15" i="4" s="1"/>
  <c r="AH15" i="4" s="1"/>
  <c r="C14" i="4"/>
  <c r="AC14" i="4" s="1"/>
  <c r="AJ14" i="4" s="1"/>
  <c r="F22" i="4"/>
  <c r="F7" i="4"/>
  <c r="F8" i="4"/>
  <c r="F9" i="4"/>
  <c r="F6" i="4"/>
  <c r="N44" i="4"/>
  <c r="N43" i="4"/>
  <c r="M42" i="4"/>
  <c r="N42" i="4" s="1"/>
  <c r="N41" i="4"/>
  <c r="N40" i="4"/>
  <c r="D6" i="1"/>
  <c r="C6" i="1"/>
  <c r="I7" i="4"/>
  <c r="V7" i="4" s="1"/>
  <c r="I8" i="4"/>
  <c r="I9" i="4"/>
  <c r="I6" i="4"/>
  <c r="H7" i="4"/>
  <c r="H8" i="4"/>
  <c r="H9" i="4"/>
  <c r="H6" i="4"/>
  <c r="G30" i="3"/>
  <c r="G14" i="3"/>
  <c r="H14" i="3"/>
  <c r="H4" i="3"/>
  <c r="P34" i="3"/>
  <c r="P33" i="3"/>
  <c r="P32" i="3"/>
  <c r="P31" i="3"/>
  <c r="P30" i="3"/>
  <c r="T15" i="2"/>
  <c r="T8" i="2"/>
  <c r="T10" i="2"/>
  <c r="T12" i="2"/>
  <c r="T13" i="2"/>
  <c r="T6" i="2"/>
  <c r="C6" i="4"/>
  <c r="AC6" i="4" s="1"/>
  <c r="AJ6" i="4" s="1"/>
  <c r="C7" i="4"/>
  <c r="AD7" i="4" s="1"/>
  <c r="AK7" i="4" s="1"/>
  <c r="C9" i="4"/>
  <c r="Z9" i="4" s="1"/>
  <c r="AG9" i="4" s="1"/>
  <c r="O34" i="3"/>
  <c r="O33" i="3"/>
  <c r="O32" i="3"/>
  <c r="O31" i="3"/>
  <c r="O30" i="3"/>
  <c r="O16" i="3"/>
  <c r="P16" i="3" s="1"/>
  <c r="O15" i="3"/>
  <c r="P15" i="3" s="1"/>
  <c r="O14" i="3"/>
  <c r="N14" i="3"/>
  <c r="E14" i="3" s="1"/>
  <c r="O29" i="3"/>
  <c r="P29" i="3" s="1"/>
  <c r="O28" i="3"/>
  <c r="P28" i="3" s="1"/>
  <c r="O27" i="3"/>
  <c r="P27" i="3" s="1"/>
  <c r="O26" i="3"/>
  <c r="O25" i="3"/>
  <c r="O24" i="3"/>
  <c r="P24" i="3" s="1"/>
  <c r="N26" i="3"/>
  <c r="N25" i="3"/>
  <c r="O19" i="3"/>
  <c r="P19" i="3" s="1"/>
  <c r="O18" i="3"/>
  <c r="P18" i="3" s="1"/>
  <c r="N21" i="3"/>
  <c r="N22" i="3"/>
  <c r="O23" i="3"/>
  <c r="P23" i="3" s="1"/>
  <c r="P20" i="3"/>
  <c r="M18" i="3"/>
  <c r="O22" i="3"/>
  <c r="O21" i="3"/>
  <c r="M21" i="3"/>
  <c r="M22" i="3"/>
  <c r="P17" i="3"/>
  <c r="N13" i="3"/>
  <c r="N12" i="3"/>
  <c r="O11" i="3"/>
  <c r="O13" i="3"/>
  <c r="O10" i="3"/>
  <c r="O12" i="3"/>
  <c r="O9" i="3"/>
  <c r="P9" i="3" s="1"/>
  <c r="N11" i="3"/>
  <c r="N10" i="3"/>
  <c r="E4" i="3" s="1"/>
  <c r="O8" i="3"/>
  <c r="P8" i="3" s="1"/>
  <c r="O7" i="3"/>
  <c r="P7" i="3" s="1"/>
  <c r="O5" i="3"/>
  <c r="P5" i="3" s="1"/>
  <c r="O4" i="3"/>
  <c r="P4" i="3" s="1"/>
  <c r="S6" i="2"/>
  <c r="S7" i="2"/>
  <c r="S15" i="2" s="1"/>
  <c r="S8" i="2"/>
  <c r="S9" i="2"/>
  <c r="S10" i="2"/>
  <c r="S11" i="2"/>
  <c r="S12" i="2"/>
  <c r="S13" i="2"/>
  <c r="S5" i="2"/>
  <c r="P15" i="2"/>
  <c r="Q15" i="2"/>
  <c r="R15" i="2"/>
  <c r="R6" i="2"/>
  <c r="R7" i="2"/>
  <c r="R8" i="2"/>
  <c r="R9" i="2"/>
  <c r="R10" i="2"/>
  <c r="R11" i="2"/>
  <c r="R12" i="2"/>
  <c r="R13" i="2"/>
  <c r="R5" i="2"/>
  <c r="Q6" i="2"/>
  <c r="Q7" i="2"/>
  <c r="Q8" i="2"/>
  <c r="Q9" i="2"/>
  <c r="Q10" i="2"/>
  <c r="Q11" i="2"/>
  <c r="Q12" i="2"/>
  <c r="Q13" i="2"/>
  <c r="Q5" i="2"/>
  <c r="F8" i="6"/>
  <c r="F6" i="6"/>
  <c r="F4" i="6"/>
  <c r="F2" i="6"/>
  <c r="F7" i="6"/>
  <c r="F5" i="6"/>
  <c r="F3" i="6"/>
  <c r="V17" i="4" l="1"/>
  <c r="V16" i="4"/>
  <c r="AD14" i="4"/>
  <c r="AK14" i="4" s="1"/>
  <c r="D6" i="4"/>
  <c r="AB7" i="4"/>
  <c r="AI7" i="4" s="1"/>
  <c r="AE6" i="4"/>
  <c r="AL6" i="4" s="1"/>
  <c r="W17" i="4"/>
  <c r="X17" i="4" s="1"/>
  <c r="D14" i="4"/>
  <c r="AD6" i="4"/>
  <c r="AK6" i="4" s="1"/>
  <c r="AA9" i="4"/>
  <c r="AH9" i="4" s="1"/>
  <c r="AD17" i="4"/>
  <c r="AK17" i="4" s="1"/>
  <c r="AE9" i="4"/>
  <c r="AL9" i="4" s="1"/>
  <c r="AB14" i="4"/>
  <c r="AI14" i="4" s="1"/>
  <c r="AB6" i="4"/>
  <c r="AI6" i="4" s="1"/>
  <c r="V6" i="4"/>
  <c r="W6" i="4" s="1"/>
  <c r="X6" i="4" s="1"/>
  <c r="AA7" i="4"/>
  <c r="AH7" i="4" s="1"/>
  <c r="V15" i="4"/>
  <c r="W15" i="4" s="1"/>
  <c r="X15" i="4" s="1"/>
  <c r="D17" i="4"/>
  <c r="AB9" i="4"/>
  <c r="AI9" i="4" s="1"/>
  <c r="AE7" i="4"/>
  <c r="AL7" i="4" s="1"/>
  <c r="AE17" i="4"/>
  <c r="AL17" i="4" s="1"/>
  <c r="Z6" i="4"/>
  <c r="AG6" i="4" s="1"/>
  <c r="AC9" i="4"/>
  <c r="AJ9" i="4" s="1"/>
  <c r="AD9" i="4"/>
  <c r="AK9" i="4" s="1"/>
  <c r="D15" i="4"/>
  <c r="AC15" i="4"/>
  <c r="AJ15" i="4" s="1"/>
  <c r="AB17" i="4"/>
  <c r="AI17" i="4" s="1"/>
  <c r="AD15" i="4"/>
  <c r="AK15" i="4" s="1"/>
  <c r="AA6" i="4"/>
  <c r="AH6" i="4" s="1"/>
  <c r="D9" i="4"/>
  <c r="Z17" i="4"/>
  <c r="AG17" i="4" s="1"/>
  <c r="AB15" i="4"/>
  <c r="AI15" i="4" s="1"/>
  <c r="Z14" i="4"/>
  <c r="AA17" i="4"/>
  <c r="AH17" i="4" s="1"/>
  <c r="AA14" i="4"/>
  <c r="AH14" i="4" s="1"/>
  <c r="AE15" i="4"/>
  <c r="AL15" i="4" s="1"/>
  <c r="AE14" i="4"/>
  <c r="AL14" i="4" s="1"/>
  <c r="AC7" i="4"/>
  <c r="AJ7" i="4" s="1"/>
  <c r="D7" i="4"/>
  <c r="Z7" i="4"/>
  <c r="AG7" i="4" s="1"/>
  <c r="Z15" i="4"/>
  <c r="AG15" i="4" s="1"/>
  <c r="W16" i="4"/>
  <c r="X16" i="4" s="1"/>
  <c r="W7" i="4"/>
  <c r="X7" i="4" s="1"/>
  <c r="W14" i="4"/>
  <c r="X14" i="4" s="1"/>
  <c r="B4" i="3"/>
  <c r="F14" i="3" s="1"/>
  <c r="P14" i="3"/>
  <c r="P10" i="3"/>
  <c r="P22" i="3"/>
  <c r="P11" i="3"/>
  <c r="P25" i="3"/>
  <c r="P13" i="3"/>
  <c r="P26" i="3"/>
  <c r="P21" i="3"/>
  <c r="P12" i="3"/>
  <c r="C5" i="1"/>
  <c r="C24" i="1" s="1"/>
  <c r="M15" i="2"/>
  <c r="N6" i="2"/>
  <c r="O6" i="2" s="1"/>
  <c r="N7" i="2"/>
  <c r="O7" i="2" s="1"/>
  <c r="N8" i="2"/>
  <c r="O8" i="2" s="1"/>
  <c r="N9" i="2"/>
  <c r="O9" i="2"/>
  <c r="N10" i="2"/>
  <c r="O10" i="2"/>
  <c r="N11" i="2"/>
  <c r="O11" i="2" s="1"/>
  <c r="N12" i="2"/>
  <c r="O12" i="2" s="1"/>
  <c r="N13" i="2"/>
  <c r="O13" i="2" s="1"/>
  <c r="I23" i="2"/>
  <c r="N5" i="2"/>
  <c r="O5" i="2" s="1"/>
  <c r="K15" i="2"/>
  <c r="L15" i="2"/>
  <c r="J15" i="2"/>
  <c r="V8" i="4"/>
  <c r="W8" i="4" s="1"/>
  <c r="X8" i="4" s="1"/>
  <c r="V9" i="4"/>
  <c r="W9" i="4" s="1"/>
  <c r="X9" i="4" s="1"/>
  <c r="D12" i="1"/>
  <c r="M11" i="1"/>
  <c r="D18" i="1"/>
  <c r="D16" i="1" s="1"/>
  <c r="D20" i="1"/>
  <c r="M10" i="1"/>
  <c r="L9" i="1"/>
  <c r="M9" i="1"/>
  <c r="D11" i="1" s="1"/>
  <c r="D10" i="1"/>
  <c r="M8" i="1"/>
  <c r="M7" i="1"/>
  <c r="C9" i="1"/>
  <c r="M6" i="1"/>
  <c r="C14" i="2"/>
  <c r="C1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F4" i="3" l="1"/>
  <c r="C4" i="3"/>
  <c r="G4" i="3"/>
  <c r="D14" i="2"/>
  <c r="D5" i="1"/>
  <c r="D24" i="1" s="1"/>
  <c r="N15" i="2"/>
  <c r="O15" i="2"/>
  <c r="E5" i="2"/>
  <c r="D13" i="2"/>
  <c r="E13" i="2" l="1"/>
  <c r="E14" i="2"/>
  <c r="D23" i="1"/>
  <c r="D2" i="1" s="1"/>
  <c r="C23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tc={A56A1FA7-6F11-4469-9AAC-DB82210D0907}</author>
  </authors>
  <commentList>
    <comment ref="L10" authorId="0" shapeId="0" xr:uid="{A56A1FA7-6F11-4469-9AAC-DB82210D09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Conexión twitter, transformaciones, Conexión con dockers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tc={FE900C4F-437B-4E88-8FD1-75245F26A399}</author>
    <author>tc={A0623ECB-62D2-4606-9F90-85BE1A1DA739}</author>
    <author>amparo botella</author>
  </authors>
  <commentList>
    <comment ref="Z5" authorId="0" shapeId="0" xr:uid="{FE900C4F-437B-4E88-8FD1-75245F26A3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Z13" authorId="1" shapeId="0" xr:uid="{A0623ECB-62D2-4606-9F90-85BE1A1DA7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E17" authorId="2" shapeId="0" xr:uid="{74563294-6675-4246-A277-F2B84E9AE5F3}">
      <text>
        <r>
          <rPr>
            <b/>
            <sz val="9"/>
            <color indexed="81"/>
            <rFont val="Tahoma"/>
            <family val="2"/>
          </rPr>
          <t>amparo botella:</t>
        </r>
        <r>
          <rPr>
            <sz val="9"/>
            <color indexed="81"/>
            <rFont val="Tahoma"/>
            <family val="2"/>
          </rPr>
          <t xml:space="preserve">
INCLUYO 12 MESES, PORQUE HABRÍA QUE VALORAR LA RECUPERACIÓN DE LA INVERSIÓN EN ESTE ESCENARIO, SI EL % ÉXITO LLEGA AL 50% DIARIO.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tc={E64E6622-5784-4610-8117-031CDA8CB466}</author>
  </authors>
  <commentList>
    <comment ref="C8" authorId="0" shapeId="0" xr:uid="{E64E6622-5784-4610-8117-031CDA8CB4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<sst xmlns="http://schemas.openxmlformats.org/spreadsheetml/2006/main" count="374" uniqueCount="227">
  <si>
    <t>COSTES</t>
  </si>
  <si>
    <t>Configuración equipo proyecto2</t>
  </si>
  <si>
    <t xml:space="preserve">Ubicación sede: </t>
  </si>
  <si>
    <t>Valencia</t>
  </si>
  <si>
    <t>Objetivo</t>
  </si>
  <si>
    <t>SBA</t>
  </si>
  <si>
    <t>SBM</t>
  </si>
  <si>
    <t>€/hora</t>
  </si>
  <si>
    <t>Programador</t>
  </si>
  <si>
    <t>MVP +PF</t>
  </si>
  <si>
    <t>Desarrollador Java+Spark</t>
  </si>
  <si>
    <t>PF</t>
  </si>
  <si>
    <t>Desarrollador WEB</t>
  </si>
  <si>
    <t>Arquitecto Cloud</t>
  </si>
  <si>
    <t>Project Manager</t>
  </si>
  <si>
    <t>Data Analist</t>
  </si>
  <si>
    <t>Deveops (para despliegue y testeo)</t>
  </si>
  <si>
    <t>TOTAL PROYECTO</t>
  </si>
  <si>
    <t>MVP</t>
  </si>
  <si>
    <t>Directos</t>
  </si>
  <si>
    <t>Equipos</t>
  </si>
  <si>
    <t>Viajes/Desplazamientos</t>
  </si>
  <si>
    <t>Indirectos</t>
  </si>
  <si>
    <t xml:space="preserve">Internet + telf </t>
  </si>
  <si>
    <t>impuestos</t>
  </si>
  <si>
    <t>Contingencia</t>
  </si>
  <si>
    <t>+20%</t>
  </si>
  <si>
    <t>Costes Técnicos</t>
  </si>
  <si>
    <t>Nombre</t>
  </si>
  <si>
    <t>Suscripcion</t>
  </si>
  <si>
    <t>Tipo</t>
  </si>
  <si>
    <t>Precio($)</t>
  </si>
  <si>
    <t>Precio(€)</t>
  </si>
  <si>
    <t>Total</t>
  </si>
  <si>
    <t>Instancia Google Cloud</t>
  </si>
  <si>
    <t>Mensual</t>
  </si>
  <si>
    <t>Professional</t>
  </si>
  <si>
    <t>Conversion € / $:</t>
  </si>
  <si>
    <t>e2-n2-standard</t>
  </si>
  <si>
    <t>12 meses</t>
  </si>
  <si>
    <t>c2-standard-4</t>
  </si>
  <si>
    <t>*</t>
  </si>
  <si>
    <t>*
Instancia Google Cloud</t>
  </si>
  <si>
    <t>Alojamiento web Arsys</t>
  </si>
  <si>
    <r>
      <t xml:space="preserve">Alojamiento web </t>
    </r>
    <r>
      <rPr>
        <b/>
        <sz val="10"/>
        <color theme="1"/>
        <rFont val="Arial"/>
        <family val="2"/>
      </rPr>
      <t>Arsys</t>
    </r>
  </si>
  <si>
    <t>API Twitter</t>
  </si>
  <si>
    <t>Premium version</t>
  </si>
  <si>
    <t>Api Twitter v. premium</t>
  </si>
  <si>
    <t>Mensual (x12)</t>
  </si>
  <si>
    <t>16GB+512GB Táctil
Intel i5+UHD 620</t>
  </si>
  <si>
    <t>EQUIPOS
PC Huawei MateBook X Pro 2020</t>
  </si>
  <si>
    <t>CT</t>
  </si>
  <si>
    <t>Unid.</t>
  </si>
  <si>
    <t>MVP(solo 2 meses coste)</t>
  </si>
  <si>
    <t>local emprendis las artes</t>
  </si>
  <si>
    <t>7 líneas 12 meses</t>
  </si>
  <si>
    <t>250€/mes</t>
  </si>
  <si>
    <t>Costes Indirectos</t>
  </si>
  <si>
    <t>Despacho en CºNegocios</t>
  </si>
  <si>
    <t>Telefonía e internet</t>
  </si>
  <si>
    <t>Kubernettes</t>
  </si>
  <si>
    <t>Kubernettes Google Cloud</t>
  </si>
  <si>
    <t>N1-standard-2</t>
  </si>
  <si>
    <r>
      <t>€/</t>
    </r>
    <r>
      <rPr>
        <sz val="11"/>
        <rFont val="Calibri"/>
        <family val="2"/>
        <scheme val="minor"/>
      </rPr>
      <t>hora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pte establecer las horas del proyecto para ajustar costes personal</t>
    </r>
  </si>
  <si>
    <t>estandarizar</t>
  </si>
  <si>
    <t>refactorizar</t>
  </si>
  <si>
    <t>*proyección</t>
  </si>
  <si>
    <t>ver proyecto dep con jose</t>
  </si>
  <si>
    <t>+hitos. Línea temporal con costes / hoja de ruta</t>
  </si>
  <si>
    <t>escenario pos /neu / negativo</t>
  </si>
  <si>
    <t>pendiente. Revisar :</t>
  </si>
  <si>
    <t>¿servidores?</t>
  </si>
  <si>
    <t>Personal*</t>
  </si>
  <si>
    <t>beneficios esperados</t>
  </si>
  <si>
    <t>tam y sam</t>
  </si>
  <si>
    <t>tamaño mercado y samble market</t>
  </si>
  <si>
    <t>con comparable de MVP con el proyecto final</t>
  </si>
  <si>
    <t>++</t>
  </si>
  <si>
    <t>+</t>
  </si>
  <si>
    <t>-</t>
  </si>
  <si>
    <t>Escenario</t>
  </si>
  <si>
    <t>coste personal</t>
  </si>
  <si>
    <t>RANGO</t>
  </si>
  <si>
    <t>Volumen diario</t>
  </si>
  <si>
    <t>GASTOS DIRECTOS</t>
  </si>
  <si>
    <t>PLAZOS</t>
  </si>
  <si>
    <t>CONTINGENCIA</t>
  </si>
  <si>
    <t>MANTENIMIENTO</t>
  </si>
  <si>
    <t>Meses</t>
  </si>
  <si>
    <t>GASTOS INDIRECTOS</t>
  </si>
  <si>
    <t>Total costes</t>
  </si>
  <si>
    <t>Data Engineer. Junior</t>
  </si>
  <si>
    <t>Data Engineer. Senior</t>
  </si>
  <si>
    <t>Scrum Master</t>
  </si>
  <si>
    <t>Cloud Developer</t>
  </si>
  <si>
    <t>UX (User Experience)</t>
  </si>
  <si>
    <t>Deveops</t>
  </si>
  <si>
    <t>HelpDesk</t>
  </si>
  <si>
    <t>Misión</t>
  </si>
  <si>
    <t>Mnto</t>
  </si>
  <si>
    <t>Ubicación Valencia</t>
  </si>
  <si>
    <t>2ª Versión</t>
  </si>
  <si>
    <t xml:space="preserve"> </t>
  </si>
  <si>
    <t>TOTALES</t>
  </si>
  <si>
    <t>(media horas laborales mes)</t>
  </si>
  <si>
    <t>estimacion</t>
  </si>
  <si>
    <t>FullStack Web Developer</t>
  </si>
  <si>
    <t>Planificación</t>
  </si>
  <si>
    <t>ROLES</t>
  </si>
  <si>
    <t>HORAS</t>
  </si>
  <si>
    <t>TAREA</t>
  </si>
  <si>
    <t>Arquitectura</t>
  </si>
  <si>
    <t>TAREAS</t>
  </si>
  <si>
    <t>Definición</t>
  </si>
  <si>
    <t>Levantar</t>
  </si>
  <si>
    <t>COSTE HORAS</t>
  </si>
  <si>
    <t>Postgress Definir tabla</t>
  </si>
  <si>
    <t>NIFI</t>
  </si>
  <si>
    <t>TOTAL PARTIDA</t>
  </si>
  <si>
    <t>PARTIDA</t>
  </si>
  <si>
    <t>Planificación proyecto, horas, previsión costes, búsqueda personal…</t>
  </si>
  <si>
    <t>Definir fases y adjudicar roles</t>
  </si>
  <si>
    <t>SUBTAREA</t>
  </si>
  <si>
    <t>(máquinas postgress, kafka, docker etc)</t>
  </si>
  <si>
    <t>Programación</t>
  </si>
  <si>
    <t>Programar Pyspark</t>
  </si>
  <si>
    <t>Conexión Twitter, Transformaciones</t>
  </si>
  <si>
    <t>Conexión con Docker</t>
  </si>
  <si>
    <t>Obtener tweets</t>
  </si>
  <si>
    <t>Procesar y contestar tweets</t>
  </si>
  <si>
    <t>Definición proyecto y necesidades</t>
  </si>
  <si>
    <t>FASES</t>
  </si>
  <si>
    <t>HDFS</t>
  </si>
  <si>
    <t>WEB</t>
  </si>
  <si>
    <t>KUBBERNETTES</t>
  </si>
  <si>
    <t>Desarrollo web</t>
  </si>
  <si>
    <t>Testeo uso web</t>
  </si>
  <si>
    <t>Purga e histórico de info obsoleta Posgress</t>
  </si>
  <si>
    <t>Programar Web</t>
  </si>
  <si>
    <t>Diseño</t>
  </si>
  <si>
    <t>Testeo</t>
  </si>
  <si>
    <t>Devops</t>
  </si>
  <si>
    <t>Valorar y crear kubernettes</t>
  </si>
  <si>
    <t>Testeo puesta en marcha</t>
  </si>
  <si>
    <t>MEJORAS</t>
  </si>
  <si>
    <t>mejora SPARK</t>
  </si>
  <si>
    <t>optimización SPARK</t>
  </si>
  <si>
    <t>Refactoring Spark</t>
  </si>
  <si>
    <t>INTEGRACIÓN WEB</t>
  </si>
  <si>
    <t>Revisión procesos y fases</t>
  </si>
  <si>
    <t>1.2</t>
  </si>
  <si>
    <t>fase</t>
  </si>
  <si>
    <t>horas</t>
  </si>
  <si>
    <t>coste</t>
  </si>
  <si>
    <t>PROYECTO</t>
  </si>
  <si>
    <t>*Origen Información: Glassdoor. Medias por zonas Valencia</t>
  </si>
  <si>
    <t>Testeo y puesta en producción</t>
  </si>
  <si>
    <t>Mantenimiento WEB</t>
  </si>
  <si>
    <t>Seguimiento proyecto + costes</t>
  </si>
  <si>
    <t>Soporte al usuario</t>
  </si>
  <si>
    <t>mes</t>
  </si>
  <si>
    <t>MENSUAL</t>
  </si>
  <si>
    <t>Volumen tweets diario</t>
  </si>
  <si>
    <t>coste 
personal/mes</t>
  </si>
  <si>
    <t>elimino coste hardware. No se imputa al proyecto.</t>
  </si>
  <si>
    <t>Nodos google cloud (HDFS Y POSTGRESS)
2</t>
  </si>
  <si>
    <t>horas/pers</t>
  </si>
  <si>
    <t>horas/pers.</t>
  </si>
  <si>
    <t>e2-n2-standard + 2 NODOS</t>
  </si>
  <si>
    <t>LICENCIAS</t>
  </si>
  <si>
    <t>Internet + telf</t>
  </si>
  <si>
    <t>Kubernettes 
nodos 3</t>
  </si>
  <si>
    <t>U</t>
  </si>
  <si>
    <t>Volumen
Tweets mes</t>
  </si>
  <si>
    <t>Ciudades/rooms</t>
  </si>
  <si>
    <t>num</t>
  </si>
  <si>
    <t>total €</t>
  </si>
  <si>
    <t>media coste</t>
  </si>
  <si>
    <t>% coste</t>
  </si>
  <si>
    <t>Barcelona</t>
  </si>
  <si>
    <t>Bilbao</t>
  </si>
  <si>
    <t>Ibiza</t>
  </si>
  <si>
    <t>Madrid</t>
  </si>
  <si>
    <t>Oviedo</t>
  </si>
  <si>
    <t>Sevilla</t>
  </si>
  <si>
    <t>Total general</t>
  </si>
  <si>
    <t>(promedio)</t>
  </si>
  <si>
    <t>MEDIA COMISIÓN
50%</t>
  </si>
  <si>
    <t>Total costes
ANUALES</t>
  </si>
  <si>
    <t>PROYECCIÓN EN BASE AL % ÉXITO DEL VOLUMEN TWEETS. MENSUAL</t>
  </si>
  <si>
    <t>PROYECCIÓN EN BASE AL % ÉXITO DEL VOLUMEN TWEETS. ANUAL</t>
  </si>
  <si>
    <t>ESCENARIOS Y TIPO PROYECTO</t>
  </si>
  <si>
    <t>INGRESOS. RECUPERACIÓN INVERSIÓN QL VÍA COMISIÓN (50% SOBRE COSTE MENSUAL)</t>
  </si>
  <si>
    <t>20% 
Volumen día</t>
  </si>
  <si>
    <t>30% 
Volumen día</t>
  </si>
  <si>
    <t>50%
Volumen día</t>
  </si>
  <si>
    <t>60%
Volumen día</t>
  </si>
  <si>
    <t>local emprendis
 las artes</t>
  </si>
  <si>
    <t>COSTES AÑO</t>
  </si>
  <si>
    <t>GASTOS DIRECTOS MES</t>
  </si>
  <si>
    <t>GASTOS INDIRECTOS MES</t>
  </si>
  <si>
    <t>+35%</t>
  </si>
  <si>
    <t>COSTES DIRECTOS E INDIRECTOS APLICADOS AL DESARROLLO Y PUESTA EN MARCHA DEL PROYECTO</t>
  </si>
  <si>
    <t>FEE  5% ÉXITO</t>
  </si>
  <si>
    <t>ESC A  →10% 
volumen día</t>
  </si>
  <si>
    <t>ESC B → 20% 
Volumen día</t>
  </si>
  <si>
    <t>ESC C→ 30% 
Volumen día</t>
  </si>
  <si>
    <t>ESC D→ 50%
Volumen día</t>
  </si>
  <si>
    <t>ESC E→ 60%
Volumen día</t>
  </si>
  <si>
    <t>5% éxito caso A</t>
  </si>
  <si>
    <t>5% Éxito caso B</t>
  </si>
  <si>
    <t>5% éxito
caso C</t>
  </si>
  <si>
    <t>5% Éxito caso D</t>
  </si>
  <si>
    <t>5% éxito caso E</t>
  </si>
  <si>
    <t>5% Éxito caso F</t>
  </si>
  <si>
    <t>FEE  5% ÉXITO ANUAL</t>
  </si>
  <si>
    <t>MONETIZACIÓN NEGOCIO KARIMUNJAWA</t>
  </si>
  <si>
    <t>AGENCIAS VIAJES</t>
  </si>
  <si>
    <t>MUDANZAS</t>
  </si>
  <si>
    <t>MUEBLES Y DECORACIÓN</t>
  </si>
  <si>
    <t>ESPACIOS 
CO-WORKING</t>
  </si>
  <si>
    <t>RESTAURACIÓN 
(BARES, REST., OCIO…)</t>
  </si>
  <si>
    <t>+BENEFICIO INDUSTRIAL
KARIMUNJAWA</t>
  </si>
  <si>
    <t>TOTAL</t>
  </si>
  <si>
    <t>10%
volumen día</t>
  </si>
  <si>
    <t>OTRAS FORMAS DE MONETIZAR EL PRODUCTO</t>
  </si>
  <si>
    <t>PUBLICIDAD EN WEB , % COMISIÓN POR VISITA A WEB A TRAVÉS DE APLICACIÓN WEB. COMO OTROS SERVICIOS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</si>
</sst>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Segoe UI"/>
      <family val="2"/>
    </font>
    <font>
      <sz val="9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 tint="-0.499984740745262"/>
      <name val="Segoe UI"/>
      <family val="2"/>
    </font>
    <font>
      <sz val="9"/>
      <color rgb="FF172B4D"/>
      <name val="Segoe UI"/>
      <family val="2"/>
    </font>
    <font>
      <sz val="9"/>
      <color theme="3" tint="-0.499984740745262"/>
      <name val="Segoe "/>
    </font>
    <font>
      <b/>
      <sz val="9"/>
      <color theme="1"/>
      <name val="Segoe "/>
    </font>
    <font>
      <b/>
      <sz val="9"/>
      <color theme="3" tint="-0.499984740745262"/>
      <name val="Segoe "/>
    </font>
    <font>
      <b/>
      <sz val="9"/>
      <color rgb="FF172B4D"/>
      <name val="Segoe "/>
    </font>
    <font>
      <u/>
      <sz val="9"/>
      <color theme="10"/>
      <name val="Segoe "/>
    </font>
    <font>
      <sz val="9"/>
      <color theme="1"/>
      <name val="Segoe "/>
    </font>
    <font>
      <i/>
      <sz val="9"/>
      <color theme="4" tint="-0.499984740745262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Segoe UI"/>
      <family val="2"/>
    </font>
    <font>
      <b/>
      <sz val="9"/>
      <color theme="1"/>
      <name val="Segoe"/>
    </font>
    <font>
      <b/>
      <sz val="9"/>
      <color theme="3" tint="-0.499984740745262"/>
      <name val="Segoe"/>
    </font>
    <font>
      <b/>
      <sz val="9"/>
      <color rgb="FF172B4D"/>
      <name val="Segoe"/>
    </font>
    <font>
      <sz val="9"/>
      <color theme="1"/>
      <name val="Segoe"/>
    </font>
    <font>
      <sz val="9"/>
      <color theme="3" tint="-0.499984740745262"/>
      <name val="Segoe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1"/>
    <xf numFmtId="0" fontId="6" fillId="0" borderId="0" xfId="0" applyFont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5" fillId="0" borderId="2" xfId="0" applyNumberFormat="1" applyFont="1" applyBorder="1" applyAlignment="1">
      <alignment wrapText="1"/>
    </xf>
    <xf numFmtId="0" fontId="0" fillId="0" borderId="2" xfId="0" applyBorder="1"/>
    <xf numFmtId="8" fontId="5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/>
    <xf numFmtId="0" fontId="4" fillId="0" borderId="3" xfId="0" applyFont="1" applyBorder="1" applyAlignment="1">
      <alignment wrapText="1"/>
    </xf>
    <xf numFmtId="0" fontId="0" fillId="0" borderId="0" xfId="0" applyFill="1"/>
    <xf numFmtId="4" fontId="2" fillId="0" borderId="1" xfId="0" applyNumberFormat="1" applyFont="1" applyBorder="1"/>
    <xf numFmtId="4" fontId="2" fillId="0" borderId="0" xfId="0" applyNumberFormat="1" applyFont="1"/>
    <xf numFmtId="0" fontId="0" fillId="0" borderId="0" xfId="0" applyAlignment="1">
      <alignment vertical="center" wrapText="1"/>
    </xf>
    <xf numFmtId="4" fontId="0" fillId="2" borderId="0" xfId="0" applyNumberForma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5" xfId="0" applyBorder="1"/>
    <xf numFmtId="0" fontId="3" fillId="0" borderId="5" xfId="1" applyBorder="1"/>
    <xf numFmtId="9" fontId="0" fillId="0" borderId="1" xfId="0" quotePrefix="1" applyNumberFormat="1" applyBorder="1" applyAlignment="1">
      <alignment wrapText="1"/>
    </xf>
    <xf numFmtId="9" fontId="0" fillId="0" borderId="1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8" fillId="0" borderId="0" xfId="1" applyNumberFormat="1" applyFont="1"/>
    <xf numFmtId="4" fontId="14" fillId="0" borderId="0" xfId="0" applyNumberFormat="1" applyFont="1"/>
    <xf numFmtId="4" fontId="19" fillId="0" borderId="0" xfId="0" applyNumberFormat="1" applyFont="1"/>
    <xf numFmtId="0" fontId="19" fillId="0" borderId="0" xfId="0" applyFont="1"/>
    <xf numFmtId="0" fontId="14" fillId="0" borderId="0" xfId="0" applyFont="1" applyAlignment="1">
      <alignment horizontal="right"/>
    </xf>
    <xf numFmtId="4" fontId="14" fillId="0" borderId="1" xfId="0" applyNumberFormat="1" applyFont="1" applyBorder="1"/>
    <xf numFmtId="0" fontId="20" fillId="0" borderId="0" xfId="0" applyFont="1"/>
    <xf numFmtId="4" fontId="1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5" xfId="0" applyFont="1" applyBorder="1"/>
    <xf numFmtId="0" fontId="26" fillId="0" borderId="5" xfId="0" applyFont="1" applyBorder="1"/>
    <xf numFmtId="0" fontId="27" fillId="0" borderId="1" xfId="0" applyFont="1" applyBorder="1" applyAlignment="1">
      <alignment horizontal="center"/>
    </xf>
    <xf numFmtId="0" fontId="28" fillId="0" borderId="0" xfId="0" applyFont="1"/>
    <xf numFmtId="0" fontId="29" fillId="0" borderId="0" xfId="0" applyFont="1"/>
    <xf numFmtId="4" fontId="28" fillId="0" borderId="0" xfId="0" applyNumberFormat="1" applyFont="1"/>
    <xf numFmtId="4" fontId="11" fillId="0" borderId="0" xfId="0" applyNumberFormat="1" applyFont="1"/>
    <xf numFmtId="0" fontId="26" fillId="0" borderId="0" xfId="0" applyFont="1" applyBorder="1" applyAlignment="1">
      <alignment horizontal="center"/>
    </xf>
    <xf numFmtId="4" fontId="25" fillId="0" borderId="0" xfId="0" applyNumberFormat="1" applyFont="1"/>
    <xf numFmtId="0" fontId="30" fillId="0" borderId="0" xfId="1" applyFont="1"/>
    <xf numFmtId="0" fontId="0" fillId="0" borderId="0" xfId="0" applyFill="1" applyBorder="1"/>
    <xf numFmtId="0" fontId="0" fillId="0" borderId="1" xfId="0" applyFill="1" applyBorder="1"/>
    <xf numFmtId="4" fontId="2" fillId="0" borderId="1" xfId="0" applyNumberFormat="1" applyFont="1" applyFill="1" applyBorder="1"/>
    <xf numFmtId="0" fontId="0" fillId="0" borderId="6" xfId="0" applyBorder="1"/>
    <xf numFmtId="4" fontId="0" fillId="0" borderId="6" xfId="0" applyNumberFormat="1" applyBorder="1"/>
    <xf numFmtId="0" fontId="0" fillId="0" borderId="0" xfId="0" applyBorder="1"/>
    <xf numFmtId="4" fontId="0" fillId="0" borderId="0" xfId="0" applyNumberFormat="1" applyBorder="1"/>
    <xf numFmtId="4" fontId="0" fillId="0" borderId="1" xfId="0" applyNumberFormat="1" applyBorder="1"/>
    <xf numFmtId="0" fontId="28" fillId="3" borderId="0" xfId="0" applyFont="1" applyFill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3" fillId="0" borderId="1" xfId="1" applyBorder="1" applyAlignment="1">
      <alignment vertical="center" wrapText="1"/>
    </xf>
    <xf numFmtId="0" fontId="0" fillId="0" borderId="5" xfId="0" applyFill="1" applyBorder="1"/>
    <xf numFmtId="0" fontId="0" fillId="0" borderId="5" xfId="0" applyFill="1" applyBorder="1" applyAlignment="1">
      <alignment horizontal="left" vertical="center"/>
    </xf>
    <xf numFmtId="9" fontId="0" fillId="0" borderId="1" xfId="0" quotePrefix="1" applyNumberForma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4" fontId="0" fillId="0" borderId="6" xfId="0" applyNumberFormat="1" applyBorder="1" applyAlignment="1">
      <alignment horizontal="center" vertical="center" textRotation="90"/>
    </xf>
    <xf numFmtId="10" fontId="0" fillId="0" borderId="10" xfId="0" applyNumberFormat="1" applyBorder="1" applyAlignment="1">
      <alignment horizontal="center" vertical="center" textRotation="90"/>
    </xf>
    <xf numFmtId="10" fontId="0" fillId="0" borderId="12" xfId="0" applyNumberFormat="1" applyBorder="1" applyAlignment="1">
      <alignment horizontal="center" vertical="center" textRotation="90"/>
    </xf>
    <xf numFmtId="10" fontId="0" fillId="0" borderId="14" xfId="0" applyNumberFormat="1" applyBorder="1" applyAlignment="1">
      <alignment horizontal="center" vertical="center" textRotation="90"/>
    </xf>
    <xf numFmtId="4" fontId="0" fillId="0" borderId="10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1" fillId="0" borderId="6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0" fillId="0" borderId="0" xfId="0" applyAlignment="1">
      <alignment horizontal="center" vertic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4" fontId="0" fillId="0" borderId="9" xfId="0" applyNumberFormat="1" applyBorder="1" applyAlignment="1">
      <alignment horizontal="center" vertical="center" textRotation="90"/>
    </xf>
    <xf numFmtId="4" fontId="0" fillId="0" borderId="11" xfId="0" applyNumberFormat="1" applyBorder="1" applyAlignment="1">
      <alignment horizontal="center" vertical="center" textRotation="90"/>
    </xf>
    <xf numFmtId="4" fontId="0" fillId="0" borderId="13" xfId="0" applyNumberFormat="1" applyBorder="1" applyAlignment="1">
      <alignment horizontal="center" vertical="center" textRotation="9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0" fontId="0" fillId="0" borderId="0" xfId="0" applyNumberFormat="1"/>
    <xf numFmtId="0" fontId="0" fillId="0" borderId="0" xfId="0" pivotButton="1"/>
    <xf numFmtId="4" fontId="0" fillId="0" borderId="0" xfId="0" pivotButton="1" applyNumberFormat="1"/>
    <xf numFmtId="4" fontId="2" fillId="4" borderId="16" xfId="0" applyNumberFormat="1" applyFont="1" applyFill="1" applyBorder="1"/>
    <xf numFmtId="0" fontId="2" fillId="4" borderId="15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1" applyBorder="1" applyAlignment="1">
      <alignment wrapText="1"/>
    </xf>
    <xf numFmtId="0" fontId="3" fillId="0" borderId="0" xfId="1" applyFill="1" applyAlignment="1">
      <alignment horizontal="center" vertical="center" wrapText="1"/>
    </xf>
    <xf numFmtId="0" fontId="3" fillId="0" borderId="5" xfId="1" applyFill="1" applyBorder="1" applyAlignment="1">
      <alignment horizontal="center" vertical="center" wrapText="1"/>
    </xf>
    <xf numFmtId="0" fontId="2" fillId="0" borderId="0" xfId="0" applyFont="1" applyBorder="1"/>
    <xf numFmtId="0" fontId="2" fillId="5" borderId="1" xfId="0" quotePrefix="1" applyFont="1" applyFill="1" applyBorder="1"/>
    <xf numFmtId="0" fontId="2" fillId="5" borderId="0" xfId="0" quotePrefix="1" applyFont="1" applyFill="1" applyBorder="1" applyAlignment="1">
      <alignment wrapText="1"/>
    </xf>
    <xf numFmtId="4" fontId="2" fillId="5" borderId="0" xfId="0" applyNumberFormat="1" applyFont="1" applyFill="1"/>
    <xf numFmtId="0" fontId="2" fillId="5" borderId="1" xfId="0" quotePrefix="1" applyFont="1" applyFill="1" applyBorder="1" applyAlignment="1">
      <alignment wrapText="1"/>
    </xf>
    <xf numFmtId="4" fontId="0" fillId="6" borderId="0" xfId="0" applyNumberFormat="1" applyFill="1"/>
    <xf numFmtId="0" fontId="32" fillId="0" borderId="1" xfId="0" applyFont="1" applyBorder="1"/>
    <xf numFmtId="0" fontId="33" fillId="0" borderId="1" xfId="0" applyFont="1" applyBorder="1"/>
    <xf numFmtId="0" fontId="33" fillId="0" borderId="0" xfId="0" applyFont="1"/>
    <xf numFmtId="0" fontId="32" fillId="0" borderId="0" xfId="0" applyFont="1" applyFill="1" applyBorder="1" applyAlignment="1">
      <alignment wrapText="1"/>
    </xf>
    <xf numFmtId="0" fontId="32" fillId="0" borderId="0" xfId="0" applyFont="1" applyAlignment="1">
      <alignment wrapText="1"/>
    </xf>
    <xf numFmtId="0" fontId="32" fillId="0" borderId="0" xfId="0" applyFont="1"/>
    <xf numFmtId="4" fontId="33" fillId="0" borderId="0" xfId="0" applyNumberFormat="1" applyFont="1"/>
    <xf numFmtId="0" fontId="32" fillId="0" borderId="5" xfId="0" applyFont="1" applyFill="1" applyBorder="1" applyAlignment="1">
      <alignment wrapText="1"/>
    </xf>
    <xf numFmtId="0" fontId="32" fillId="0" borderId="5" xfId="0" applyFont="1" applyBorder="1" applyAlignment="1">
      <alignment wrapText="1"/>
    </xf>
    <xf numFmtId="0" fontId="32" fillId="0" borderId="5" xfId="0" applyFont="1" applyBorder="1"/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275617</xdr:colOff>
      <xdr:row>0</xdr:row>
      <xdr:rowOff>169457</xdr:rowOff>
    </xdr:from>
    <xdr:to>
      <xdr:col>20</xdr:col>
      <xdr:colOff>137129</xdr:colOff>
      <xdr:row>17</xdr:row>
      <xdr:rowOff>132523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C7E728-14A0-4D4B-A1D4-627C78BF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8813" y="169457"/>
          <a:ext cx="3801466" cy="405740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21</xdr:col>
      <xdr:colOff>172247</xdr:colOff>
      <xdr:row>59</xdr:row>
      <xdr:rowOff>55427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4FBA46-FCF7-4D9F-9122-5B0A10B2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3196" y="4538870"/>
          <a:ext cx="4885714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513566</xdr:colOff>
      <xdr:row>33</xdr:row>
      <xdr:rowOff>165198</xdr:rowOff>
    </xdr:from>
    <xdr:to>
      <xdr:col>26</xdr:col>
      <xdr:colOff>400050</xdr:colOff>
      <xdr:row>45</xdr:row>
      <xdr:rowOff>96723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1E419-E111-4542-97A4-CFFFF91C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2742" y="6955963"/>
          <a:ext cx="6707057" cy="36983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AD54FACC-7458-4989-A587-01F08EDB6038}" userId="ffa0bef86689d611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bro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aro botella" refreshedDate="44229.891760648148" createdVersion="6" refreshedVersion="6" minRefreshableVersion="3" recordCount="1000" xr:uid="{60B19761-9E2A-40F6-A28D-46B6F31CAD50}">
  <cacheSource type="worksheet">
    <worksheetSource ref="A1:G1001" sheet="Hoja1" r:id="rId2"/>
  </cacheSource>
  <cacheFields count="7">
    <cacheField name="nº" numFmtId="0">
      <sharedItems containsSemiMixedTypes="0" containsString="0" containsNumber="1" containsInteger="1" minValue="1" maxValue="1003"/>
    </cacheField>
    <cacheField name="id tweet" numFmtId="0">
      <sharedItems containsSemiMixedTypes="0" containsString="0" containsNumber="1" containsInteger="1" minValue="3941" maxValue="2094453"/>
    </cacheField>
    <cacheField name="city_name" numFmtId="0">
      <sharedItems count="7">
        <s v="Oviedo"/>
        <s v="Ibiza"/>
        <s v="Madrid"/>
        <s v="Valencia"/>
        <s v="Bilbao"/>
        <s v="Sevilla"/>
        <s v="Barcelona"/>
      </sharedItems>
    </cacheField>
    <cacheField name="rooms" numFmtId="0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coste" numFmtId="0">
      <sharedItems containsSemiMixedTypes="0" containsString="0" containsNumber="1" containsInteger="1" minValue="400" maxValue="1498"/>
    </cacheField>
    <cacheField name="id:twitter" numFmtId="0">
      <sharedItems containsSemiMixedTypes="0" containsString="0" containsNumber="1" containsInteger="1" minValue="1.3529450822410801E+18" maxValue="1.35563914222338E+18"/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"/>
    <n v="1543522"/>
    <x v="0"/>
    <x v="0"/>
    <n v="1441"/>
    <n v="1.3541382170758999E+18"/>
    <n v="1"/>
  </r>
  <r>
    <n v="4"/>
    <n v="426126"/>
    <x v="1"/>
    <x v="1"/>
    <n v="442"/>
    <n v="1.35413632618301E+18"/>
    <n v="0"/>
  </r>
  <r>
    <n v="7"/>
    <n v="1007632"/>
    <x v="0"/>
    <x v="2"/>
    <n v="1469"/>
    <n v="1.35414225036897E+18"/>
    <n v="0"/>
  </r>
  <r>
    <n v="8"/>
    <n v="808333"/>
    <x v="1"/>
    <x v="3"/>
    <n v="1410"/>
    <n v="1.3541446448467799E+18"/>
    <n v="0"/>
  </r>
  <r>
    <n v="10"/>
    <n v="760284"/>
    <x v="2"/>
    <x v="3"/>
    <n v="631"/>
    <n v="1.3541484260831601E+18"/>
    <n v="0"/>
  </r>
  <r>
    <n v="11"/>
    <n v="1689042"/>
    <x v="3"/>
    <x v="1"/>
    <n v="1420"/>
    <n v="1.3541510718794501E+18"/>
    <n v="0"/>
  </r>
  <r>
    <n v="12"/>
    <n v="393608"/>
    <x v="3"/>
    <x v="1"/>
    <n v="480"/>
    <n v="1.3541534659756101E+18"/>
    <n v="0"/>
  </r>
  <r>
    <n v="13"/>
    <n v="1034103"/>
    <x v="0"/>
    <x v="2"/>
    <n v="1011"/>
    <n v="1.35415510500897E+18"/>
    <n v="0"/>
  </r>
  <r>
    <n v="16"/>
    <n v="1557242"/>
    <x v="3"/>
    <x v="0"/>
    <n v="1073"/>
    <n v="1.3541625395259E+18"/>
    <n v="0"/>
  </r>
  <r>
    <n v="17"/>
    <n v="74975"/>
    <x v="1"/>
    <x v="1"/>
    <n v="732"/>
    <n v="1.3541649337228201E+18"/>
    <n v="0"/>
  </r>
  <r>
    <n v="18"/>
    <n v="863168"/>
    <x v="1"/>
    <x v="2"/>
    <n v="1180"/>
    <n v="1.3541673276218601E+18"/>
    <n v="0"/>
  </r>
  <r>
    <n v="19"/>
    <n v="1020339"/>
    <x v="0"/>
    <x v="4"/>
    <n v="542"/>
    <n v="1.3541694702610801E+18"/>
    <n v="0"/>
  </r>
  <r>
    <n v="20"/>
    <n v="600285"/>
    <x v="4"/>
    <x v="1"/>
    <n v="1480"/>
    <n v="1.3541713613175501E+18"/>
    <n v="0"/>
  </r>
  <r>
    <n v="21"/>
    <n v="345714"/>
    <x v="2"/>
    <x v="1"/>
    <n v="1458"/>
    <n v="1.35417325212656E+18"/>
    <n v="0"/>
  </r>
  <r>
    <n v="22"/>
    <n v="126810"/>
    <x v="0"/>
    <x v="3"/>
    <n v="1334"/>
    <n v="1.3541751431117E+18"/>
    <n v="0"/>
  </r>
  <r>
    <n v="23"/>
    <n v="1062837"/>
    <x v="2"/>
    <x v="3"/>
    <n v="1094"/>
    <n v="1.3541772854364301E+18"/>
    <n v="0"/>
  </r>
  <r>
    <n v="24"/>
    <n v="775541"/>
    <x v="5"/>
    <x v="2"/>
    <n v="1183"/>
    <n v="1.3541796797045199E+18"/>
    <n v="0"/>
  </r>
  <r>
    <n v="25"/>
    <n v="1648762"/>
    <x v="0"/>
    <x v="1"/>
    <n v="491"/>
    <n v="1.3541818221717199E+18"/>
    <n v="0"/>
  </r>
  <r>
    <n v="26"/>
    <n v="137794"/>
    <x v="4"/>
    <x v="4"/>
    <n v="817"/>
    <n v="1.35418320993696E+18"/>
    <n v="0"/>
  </r>
  <r>
    <n v="27"/>
    <n v="1977734"/>
    <x v="5"/>
    <x v="4"/>
    <n v="1140"/>
    <n v="1.35418510037681E+18"/>
    <n v="0"/>
  </r>
  <r>
    <n v="28"/>
    <n v="1167427"/>
    <x v="0"/>
    <x v="3"/>
    <n v="458"/>
    <n v="1.3541854810393001E+18"/>
    <n v="0"/>
  </r>
  <r>
    <n v="29"/>
    <n v="1403037"/>
    <x v="0"/>
    <x v="2"/>
    <n v="1277"/>
    <n v="1.3541876233010501E+18"/>
    <n v="0"/>
  </r>
  <r>
    <n v="31"/>
    <n v="2029990"/>
    <x v="2"/>
    <x v="4"/>
    <n v="437"/>
    <n v="1.3541911528120599E+18"/>
    <n v="0"/>
  </r>
  <r>
    <n v="33"/>
    <n v="949526"/>
    <x v="1"/>
    <x v="3"/>
    <n v="526"/>
    <n v="1.3541941794973399E+18"/>
    <n v="0"/>
  </r>
  <r>
    <n v="34"/>
    <n v="316257"/>
    <x v="0"/>
    <x v="4"/>
    <n v="491"/>
    <n v="1.3541965736479401E+18"/>
    <n v="0"/>
  </r>
  <r>
    <n v="35"/>
    <n v="1113417"/>
    <x v="0"/>
    <x v="0"/>
    <n v="1280"/>
    <n v="1.3541982129371699E+18"/>
    <n v="0"/>
  </r>
  <r>
    <n v="36"/>
    <n v="461492"/>
    <x v="4"/>
    <x v="0"/>
    <n v="949"/>
    <n v="1.35420085858254E+18"/>
    <n v="0"/>
  </r>
  <r>
    <n v="37"/>
    <n v="1435097"/>
    <x v="6"/>
    <x v="0"/>
    <n v="959"/>
    <n v="1.35420350420686E+18"/>
    <n v="0"/>
  </r>
  <r>
    <n v="38"/>
    <n v="1713523"/>
    <x v="1"/>
    <x v="3"/>
    <n v="508"/>
    <n v="1.3542053950787999E+18"/>
    <n v="0"/>
  </r>
  <r>
    <n v="39"/>
    <n v="618582"/>
    <x v="1"/>
    <x v="0"/>
    <n v="426"/>
    <n v="1.3542075373782999E+18"/>
    <n v="0"/>
  </r>
  <r>
    <n v="40"/>
    <n v="1623168"/>
    <x v="5"/>
    <x v="4"/>
    <n v="763"/>
    <n v="1.3542091765248699E+18"/>
    <n v="0"/>
  </r>
  <r>
    <n v="41"/>
    <n v="890459"/>
    <x v="3"/>
    <x v="1"/>
    <n v="409"/>
    <n v="1.35420955695246E+18"/>
    <n v="0"/>
  </r>
  <r>
    <n v="42"/>
    <n v="1088404"/>
    <x v="6"/>
    <x v="4"/>
    <n v="1165"/>
    <n v="1.3542109440926899E+18"/>
    <n v="0"/>
  </r>
  <r>
    <n v="43"/>
    <n v="377759"/>
    <x v="3"/>
    <x v="3"/>
    <n v="1475"/>
    <n v="1.3542130862621299E+18"/>
    <n v="0"/>
  </r>
  <r>
    <n v="44"/>
    <n v="1027050"/>
    <x v="2"/>
    <x v="0"/>
    <n v="614"/>
    <n v="1.35421548043791E+18"/>
    <n v="0"/>
  </r>
  <r>
    <n v="45"/>
    <n v="1391289"/>
    <x v="6"/>
    <x v="3"/>
    <n v="1396"/>
    <n v="1.3542171194293499E+18"/>
    <n v="0"/>
  </r>
  <r>
    <n v="46"/>
    <n v="99430"/>
    <x v="4"/>
    <x v="0"/>
    <n v="1382"/>
    <n v="1.35421850703933E+18"/>
    <n v="0"/>
  </r>
  <r>
    <n v="47"/>
    <n v="1369036"/>
    <x v="3"/>
    <x v="1"/>
    <n v="1361"/>
    <n v="1.3542198942844301E+18"/>
    <n v="0"/>
  </r>
  <r>
    <n v="48"/>
    <n v="1990257"/>
    <x v="0"/>
    <x v="2"/>
    <n v="885"/>
    <n v="1.35422128126944E+18"/>
    <n v="0"/>
  </r>
  <r>
    <n v="49"/>
    <n v="644556"/>
    <x v="3"/>
    <x v="0"/>
    <n v="996"/>
    <n v="1.3542239266253701E+18"/>
    <n v="0"/>
  </r>
  <r>
    <n v="50"/>
    <n v="1089481"/>
    <x v="1"/>
    <x v="1"/>
    <n v="1043"/>
    <n v="1.3542255657090601E+18"/>
    <n v="0"/>
  </r>
  <r>
    <n v="51"/>
    <n v="1878212"/>
    <x v="3"/>
    <x v="1"/>
    <n v="540"/>
    <n v="1.3542272046207601E+18"/>
    <n v="0"/>
  </r>
  <r>
    <n v="52"/>
    <n v="2075679"/>
    <x v="2"/>
    <x v="0"/>
    <n v="898"/>
    <n v="1.3542293470125299E+18"/>
    <n v="0"/>
  </r>
  <r>
    <n v="53"/>
    <n v="31692"/>
    <x v="3"/>
    <x v="3"/>
    <n v="776"/>
    <n v="1.3542317409241001E+18"/>
    <n v="0"/>
  </r>
  <r>
    <n v="54"/>
    <n v="786320"/>
    <x v="3"/>
    <x v="0"/>
    <n v="905"/>
    <n v="1.3542336318379799E+18"/>
    <n v="0"/>
  </r>
  <r>
    <n v="55"/>
    <n v="881990"/>
    <x v="4"/>
    <x v="0"/>
    <n v="787"/>
    <n v="1.35423627716029E+18"/>
    <n v="0"/>
  </r>
  <r>
    <n v="56"/>
    <n v="259209"/>
    <x v="6"/>
    <x v="3"/>
    <n v="465"/>
    <n v="1.3542376646445199E+18"/>
    <n v="0"/>
  </r>
  <r>
    <n v="57"/>
    <n v="479774"/>
    <x v="3"/>
    <x v="1"/>
    <n v="694"/>
    <n v="1.3542393034471401E+18"/>
    <n v="0"/>
  </r>
  <r>
    <n v="58"/>
    <n v="281723"/>
    <x v="6"/>
    <x v="1"/>
    <n v="1107"/>
    <n v="1.3542396840298501E+18"/>
    <n v="0"/>
  </r>
  <r>
    <n v="59"/>
    <n v="588728"/>
    <x v="3"/>
    <x v="0"/>
    <n v="1043"/>
    <n v="1.3542410713043699E+18"/>
    <n v="0"/>
  </r>
  <r>
    <n v="60"/>
    <n v="172102"/>
    <x v="0"/>
    <x v="1"/>
    <n v="1033"/>
    <n v="1.3542434649810601E+18"/>
    <n v="0"/>
  </r>
  <r>
    <n v="61"/>
    <n v="1054942"/>
    <x v="6"/>
    <x v="3"/>
    <n v="920"/>
    <n v="1.35424535565165E+18"/>
    <n v="0"/>
  </r>
  <r>
    <n v="62"/>
    <n v="1811737"/>
    <x v="3"/>
    <x v="0"/>
    <n v="505"/>
    <n v="1.3542480016283599E+18"/>
    <n v="0"/>
  </r>
  <r>
    <n v="63"/>
    <n v="2054635"/>
    <x v="2"/>
    <x v="1"/>
    <n v="827"/>
    <n v="1.35424938880193E+18"/>
    <n v="0"/>
  </r>
  <r>
    <n v="64"/>
    <n v="919260"/>
    <x v="1"/>
    <x v="3"/>
    <n v="1407"/>
    <n v="1.35425127971165E+18"/>
    <n v="0"/>
  </r>
  <r>
    <n v="65"/>
    <n v="270825"/>
    <x v="4"/>
    <x v="4"/>
    <n v="1371"/>
    <n v="1.35425392553747E+18"/>
    <n v="0"/>
  </r>
  <r>
    <n v="66"/>
    <n v="2038725"/>
    <x v="5"/>
    <x v="4"/>
    <n v="655"/>
    <n v="1.35425556470083E+18"/>
    <n v="0"/>
  </r>
  <r>
    <n v="67"/>
    <n v="1957971"/>
    <x v="2"/>
    <x v="3"/>
    <n v="769"/>
    <n v="1.3542582108285199E+18"/>
    <n v="0"/>
  </r>
  <r>
    <n v="68"/>
    <n v="338659"/>
    <x v="5"/>
    <x v="2"/>
    <n v="1041"/>
    <n v="1.3542603532286799E+18"/>
    <n v="0"/>
  </r>
  <r>
    <n v="69"/>
    <n v="549150"/>
    <x v="6"/>
    <x v="4"/>
    <n v="963"/>
    <n v="1.3542624955827E+18"/>
    <n v="0"/>
  </r>
  <r>
    <n v="70"/>
    <n v="1623041"/>
    <x v="0"/>
    <x v="3"/>
    <n v="1292"/>
    <n v="1.35426388318002E+18"/>
    <n v="0"/>
  </r>
  <r>
    <n v="72"/>
    <n v="1352932"/>
    <x v="4"/>
    <x v="3"/>
    <n v="953"/>
    <n v="1.35426766457583E+18"/>
    <n v="0"/>
  </r>
  <r>
    <n v="73"/>
    <n v="1446952"/>
    <x v="6"/>
    <x v="1"/>
    <n v="876"/>
    <n v="1.3542690520389901E+18"/>
    <n v="0"/>
  </r>
  <r>
    <n v="74"/>
    <n v="1741495"/>
    <x v="3"/>
    <x v="1"/>
    <n v="665"/>
    <n v="1.35427144616033E+18"/>
    <n v="0"/>
  </r>
  <r>
    <n v="75"/>
    <n v="98150"/>
    <x v="1"/>
    <x v="2"/>
    <n v="735"/>
    <n v="1.3542735886527301E+18"/>
    <n v="0"/>
  </r>
  <r>
    <n v="76"/>
    <n v="1625530"/>
    <x v="3"/>
    <x v="1"/>
    <n v="1118"/>
    <n v="1.3542759827530701E+18"/>
    <n v="0"/>
  </r>
  <r>
    <n v="78"/>
    <n v="1261554"/>
    <x v="6"/>
    <x v="3"/>
    <n v="1248"/>
    <n v="1.35428026751983E+18"/>
    <n v="0"/>
  </r>
  <r>
    <n v="79"/>
    <n v="428924"/>
    <x v="1"/>
    <x v="0"/>
    <n v="1335"/>
    <n v="1.35428241003741E+18"/>
    <n v="0"/>
  </r>
  <r>
    <n v="80"/>
    <n v="703444"/>
    <x v="2"/>
    <x v="2"/>
    <n v="595"/>
    <n v="1.3542850558798899E+18"/>
    <n v="0"/>
  </r>
  <r>
    <n v="81"/>
    <n v="1588254"/>
    <x v="5"/>
    <x v="1"/>
    <n v="542"/>
    <n v="1.35428770151682E+18"/>
    <n v="0"/>
  </r>
  <r>
    <n v="82"/>
    <n v="428503"/>
    <x v="4"/>
    <x v="1"/>
    <n v="1240"/>
    <n v="1.35429034707825E+18"/>
    <n v="0"/>
  </r>
  <r>
    <n v="83"/>
    <n v="432262"/>
    <x v="4"/>
    <x v="3"/>
    <n v="1246"/>
    <n v="1.35429274101923E+18"/>
    <n v="0"/>
  </r>
  <r>
    <n v="84"/>
    <n v="44718"/>
    <x v="3"/>
    <x v="3"/>
    <n v="434"/>
    <n v="1.35429538666034E+18"/>
    <n v="0"/>
  </r>
  <r>
    <n v="85"/>
    <n v="1786678"/>
    <x v="6"/>
    <x v="3"/>
    <n v="1021"/>
    <n v="1.3542967742829199E+18"/>
    <n v="0"/>
  </r>
  <r>
    <n v="86"/>
    <n v="1284656"/>
    <x v="2"/>
    <x v="3"/>
    <n v="1042"/>
    <n v="1.35429841334561E+18"/>
    <n v="0"/>
  </r>
  <r>
    <n v="87"/>
    <n v="177513"/>
    <x v="0"/>
    <x v="4"/>
    <n v="1391"/>
    <n v="1.35429980075425E+18"/>
    <n v="0"/>
  </r>
  <r>
    <n v="89"/>
    <n v="665552"/>
    <x v="1"/>
    <x v="1"/>
    <n v="626"/>
    <n v="1.3543043371875799E+18"/>
    <n v="0"/>
  </r>
  <r>
    <n v="90"/>
    <n v="724503"/>
    <x v="3"/>
    <x v="2"/>
    <n v="1231"/>
    <n v="1.35430622773661E+18"/>
    <n v="0"/>
  </r>
  <r>
    <n v="92"/>
    <n v="584183"/>
    <x v="4"/>
    <x v="1"/>
    <n v="1009"/>
    <n v="1.3543115188133601E+18"/>
    <n v="0"/>
  </r>
  <r>
    <n v="93"/>
    <n v="1254279"/>
    <x v="5"/>
    <x v="2"/>
    <n v="826"/>
    <n v="1.3543129062807199E+18"/>
    <n v="0"/>
  </r>
  <r>
    <n v="94"/>
    <n v="637745"/>
    <x v="2"/>
    <x v="4"/>
    <n v="797"/>
    <n v="1.35431429341678E+18"/>
    <n v="0"/>
  </r>
  <r>
    <n v="95"/>
    <n v="235147"/>
    <x v="5"/>
    <x v="1"/>
    <n v="731"/>
    <n v="1.35431693921726E+18"/>
    <n v="0"/>
  </r>
  <r>
    <n v="96"/>
    <n v="926655"/>
    <x v="1"/>
    <x v="0"/>
    <n v="679"/>
    <n v="1.3543195845018299E+18"/>
    <n v="0"/>
  </r>
  <r>
    <n v="97"/>
    <n v="1517279"/>
    <x v="6"/>
    <x v="4"/>
    <n v="1205"/>
    <n v="1.35432147515986E+18"/>
    <n v="0"/>
  </r>
  <r>
    <n v="98"/>
    <n v="1282698"/>
    <x v="6"/>
    <x v="1"/>
    <n v="675"/>
    <n v="1.35432412067521E+18"/>
    <n v="0"/>
  </r>
  <r>
    <n v="99"/>
    <n v="2082909"/>
    <x v="0"/>
    <x v="4"/>
    <n v="1374"/>
    <n v="1.35432676630797E+18"/>
    <n v="0"/>
  </r>
  <r>
    <n v="100"/>
    <n v="1072368"/>
    <x v="4"/>
    <x v="1"/>
    <n v="967"/>
    <n v="1.35432865666399E+18"/>
    <n v="0"/>
  </r>
  <r>
    <n v="101"/>
    <n v="817883"/>
    <x v="1"/>
    <x v="1"/>
    <n v="1168"/>
    <n v="1.35433054748561E+18"/>
    <n v="0"/>
  </r>
  <r>
    <n v="102"/>
    <n v="333092"/>
    <x v="5"/>
    <x v="1"/>
    <n v="1227"/>
    <n v="1.3543326894789299E+18"/>
    <n v="0"/>
  </r>
  <r>
    <n v="103"/>
    <n v="1964520"/>
    <x v="3"/>
    <x v="2"/>
    <n v="985"/>
    <n v="1.3543353348348201E+18"/>
    <n v="0"/>
  </r>
  <r>
    <n v="104"/>
    <n v="1194689"/>
    <x v="6"/>
    <x v="3"/>
    <n v="458"/>
    <n v="1.3543377289142001E+18"/>
    <n v="0"/>
  </r>
  <r>
    <n v="105"/>
    <n v="1380248"/>
    <x v="4"/>
    <x v="1"/>
    <n v="1075"/>
    <n v="1.35433911632703E+18"/>
    <n v="0"/>
  </r>
  <r>
    <n v="106"/>
    <n v="739343"/>
    <x v="0"/>
    <x v="3"/>
    <n v="1143"/>
    <n v="1.3543415101966799E+18"/>
    <n v="0"/>
  </r>
  <r>
    <n v="107"/>
    <n v="862768"/>
    <x v="5"/>
    <x v="2"/>
    <n v="750"/>
    <n v="1.3543428977060101E+18"/>
    <n v="0"/>
  </r>
  <r>
    <n v="108"/>
    <n v="70150"/>
    <x v="4"/>
    <x v="1"/>
    <n v="1073"/>
    <n v="1.3543452919028401E+18"/>
    <n v="0"/>
  </r>
  <r>
    <n v="109"/>
    <n v="1633404"/>
    <x v="3"/>
    <x v="0"/>
    <n v="632"/>
    <n v="1.3543469308984E+18"/>
    <n v="0"/>
  </r>
  <r>
    <n v="110"/>
    <n v="2059318"/>
    <x v="2"/>
    <x v="3"/>
    <n v="846"/>
    <n v="1.3543488216864599E+18"/>
    <n v="0"/>
  </r>
  <r>
    <n v="111"/>
    <n v="650507"/>
    <x v="3"/>
    <x v="3"/>
    <n v="1318"/>
    <n v="1.3543502092502999E+18"/>
    <n v="0"/>
  </r>
  <r>
    <n v="112"/>
    <n v="1694520"/>
    <x v="6"/>
    <x v="1"/>
    <n v="1412"/>
    <n v="1.35435209997122E+18"/>
    <n v="0"/>
  </r>
  <r>
    <n v="113"/>
    <n v="443203"/>
    <x v="6"/>
    <x v="1"/>
    <n v="1247"/>
    <n v="1.35435474578017E+18"/>
    <n v="0"/>
  </r>
  <r>
    <n v="71"/>
    <n v="91999"/>
    <x v="6"/>
    <x v="2"/>
    <n v="706"/>
    <n v="1.3542655220246999E+18"/>
    <n v="1"/>
  </r>
  <r>
    <n v="1"/>
    <n v="585864"/>
    <x v="4"/>
    <x v="4"/>
    <n v="434"/>
    <n v="1.3529450822410801E+18"/>
    <n v="1"/>
  </r>
  <r>
    <n v="6"/>
    <n v="143608"/>
    <x v="6"/>
    <x v="1"/>
    <n v="403"/>
    <n v="1.3541406111385001E+18"/>
    <n v="1"/>
  </r>
  <r>
    <n v="30"/>
    <n v="1514068"/>
    <x v="6"/>
    <x v="1"/>
    <n v="719"/>
    <n v="1.3541895141520399E+18"/>
    <n v="1"/>
  </r>
  <r>
    <n v="9"/>
    <n v="35661"/>
    <x v="3"/>
    <x v="2"/>
    <n v="1356"/>
    <n v="1.3541460322554299E+18"/>
    <n v="1"/>
  </r>
  <r>
    <n v="15"/>
    <n v="641409"/>
    <x v="5"/>
    <x v="2"/>
    <n v="1355"/>
    <n v="1.3541601452495501E+18"/>
    <n v="1"/>
  </r>
  <r>
    <n v="91"/>
    <n v="495757"/>
    <x v="6"/>
    <x v="4"/>
    <n v="736"/>
    <n v="1.35430887333582E+18"/>
    <n v="1"/>
  </r>
  <r>
    <n v="77"/>
    <n v="457102"/>
    <x v="6"/>
    <x v="2"/>
    <n v="1177"/>
    <n v="1.35427812506094E+18"/>
    <n v="1"/>
  </r>
  <r>
    <n v="88"/>
    <n v="1381205"/>
    <x v="6"/>
    <x v="2"/>
    <n v="560"/>
    <n v="1.3543019432215301E+18"/>
    <n v="1"/>
  </r>
  <r>
    <n v="14"/>
    <n v="1438230"/>
    <x v="6"/>
    <x v="0"/>
    <n v="884"/>
    <n v="1.35415775088495E+18"/>
    <n v="1"/>
  </r>
  <r>
    <n v="32"/>
    <n v="1767007"/>
    <x v="6"/>
    <x v="3"/>
    <n v="1139"/>
    <n v="1.3541925402501E+18"/>
    <n v="1"/>
  </r>
  <r>
    <n v="114"/>
    <n v="1893828"/>
    <x v="5"/>
    <x v="1"/>
    <n v="581"/>
    <n v="1.3543571397504499E+18"/>
    <n v="0"/>
  </r>
  <r>
    <n v="115"/>
    <n v="466194"/>
    <x v="3"/>
    <x v="2"/>
    <n v="1337"/>
    <n v="1.3543585270541901E+18"/>
    <n v="0"/>
  </r>
  <r>
    <n v="116"/>
    <n v="929972"/>
    <x v="3"/>
    <x v="3"/>
    <n v="1191"/>
    <n v="1.35436092119233E+18"/>
    <n v="0"/>
  </r>
  <r>
    <n v="117"/>
    <n v="354113"/>
    <x v="4"/>
    <x v="0"/>
    <n v="1486"/>
    <n v="1.35436356702642E+18"/>
    <n v="0"/>
  </r>
  <r>
    <n v="118"/>
    <n v="994420"/>
    <x v="6"/>
    <x v="1"/>
    <n v="455"/>
    <n v="1.3543654575460401E+18"/>
    <n v="0"/>
  </r>
  <r>
    <n v="119"/>
    <n v="30273"/>
    <x v="3"/>
    <x v="2"/>
    <n v="759"/>
    <n v="1.3543670965332401E+18"/>
    <n v="0"/>
  </r>
  <r>
    <n v="120"/>
    <n v="1840016"/>
    <x v="6"/>
    <x v="4"/>
    <n v="946"/>
    <n v="1.35436974210304E+18"/>
    <n v="0"/>
  </r>
  <r>
    <n v="121"/>
    <n v="499611"/>
    <x v="1"/>
    <x v="1"/>
    <n v="724"/>
    <n v="1.35437213610273E+18"/>
    <n v="0"/>
  </r>
  <r>
    <n v="122"/>
    <n v="1509820"/>
    <x v="1"/>
    <x v="4"/>
    <n v="1220"/>
    <n v="1.35437352331424E+18"/>
    <n v="0"/>
  </r>
  <r>
    <n v="123"/>
    <n v="803658"/>
    <x v="2"/>
    <x v="4"/>
    <n v="1272"/>
    <n v="1.3543749105802801E+18"/>
    <n v="0"/>
  </r>
  <r>
    <n v="124"/>
    <n v="1365109"/>
    <x v="2"/>
    <x v="1"/>
    <n v="1090"/>
    <n v="1.3543773044373499E+18"/>
    <n v="0"/>
  </r>
  <r>
    <n v="125"/>
    <n v="1291902"/>
    <x v="5"/>
    <x v="0"/>
    <n v="1361"/>
    <n v="1.35437919522959E+18"/>
    <n v="0"/>
  </r>
  <r>
    <n v="126"/>
    <n v="790765"/>
    <x v="4"/>
    <x v="1"/>
    <n v="1318"/>
    <n v="1.3543805821978601E+18"/>
    <n v="0"/>
  </r>
  <r>
    <n v="127"/>
    <n v="68679"/>
    <x v="0"/>
    <x v="1"/>
    <n v="919"/>
    <n v="1.35438272472802E+18"/>
    <n v="0"/>
  </r>
  <r>
    <n v="128"/>
    <n v="1230706"/>
    <x v="2"/>
    <x v="2"/>
    <n v="1180"/>
    <n v="1.3543853700000799E+18"/>
    <n v="0"/>
  </r>
  <r>
    <n v="129"/>
    <n v="1805508"/>
    <x v="1"/>
    <x v="0"/>
    <n v="1250"/>
    <n v="1.3543880156370099E+18"/>
    <n v="0"/>
  </r>
  <r>
    <n v="130"/>
    <n v="1813428"/>
    <x v="6"/>
    <x v="2"/>
    <n v="708"/>
    <n v="1.3543904094647301E+18"/>
    <n v="0"/>
  </r>
  <r>
    <n v="131"/>
    <n v="1360992"/>
    <x v="2"/>
    <x v="4"/>
    <n v="930"/>
    <n v="1.3543920485861299E+18"/>
    <n v="0"/>
  </r>
  <r>
    <n v="132"/>
    <n v="1011181"/>
    <x v="4"/>
    <x v="2"/>
    <n v="631"/>
    <n v="1.35439368739298E+18"/>
    <n v="0"/>
  </r>
  <r>
    <n v="133"/>
    <n v="1233264"/>
    <x v="4"/>
    <x v="2"/>
    <n v="1239"/>
    <n v="1.35439507485614E+18"/>
    <n v="0"/>
  </r>
  <r>
    <n v="134"/>
    <n v="1493387"/>
    <x v="5"/>
    <x v="0"/>
    <n v="784"/>
    <n v="1.3543964620634299E+18"/>
    <n v="0"/>
  </r>
  <r>
    <n v="135"/>
    <n v="55790"/>
    <x v="4"/>
    <x v="1"/>
    <n v="1048"/>
    <n v="1.3543991077382001E+18"/>
    <n v="0"/>
  </r>
  <r>
    <n v="136"/>
    <n v="853207"/>
    <x v="5"/>
    <x v="3"/>
    <n v="1231"/>
    <n v="1.3544004947357299E+18"/>
    <n v="0"/>
  </r>
  <r>
    <n v="137"/>
    <n v="1945570"/>
    <x v="4"/>
    <x v="2"/>
    <n v="840"/>
    <n v="1.35440213359298E+18"/>
    <n v="0"/>
  </r>
  <r>
    <n v="138"/>
    <n v="1869533"/>
    <x v="0"/>
    <x v="2"/>
    <n v="457"/>
    <n v="1.3544037726262999E+18"/>
    <n v="0"/>
  </r>
  <r>
    <n v="139"/>
    <n v="1746816"/>
    <x v="1"/>
    <x v="4"/>
    <n v="1165"/>
    <n v="1.3544056635989E+18"/>
    <n v="0"/>
  </r>
  <r>
    <n v="140"/>
    <n v="22919"/>
    <x v="2"/>
    <x v="4"/>
    <n v="1204"/>
    <n v="1.3544070511292001E+18"/>
    <n v="0"/>
  </r>
  <r>
    <n v="141"/>
    <n v="2026536"/>
    <x v="3"/>
    <x v="0"/>
    <n v="1314"/>
    <n v="1.35440969695907E+18"/>
    <n v="0"/>
  </r>
  <r>
    <n v="142"/>
    <n v="798465"/>
    <x v="1"/>
    <x v="4"/>
    <n v="457"/>
    <n v="1.35441133616018E+18"/>
    <n v="0"/>
  </r>
  <r>
    <n v="143"/>
    <n v="2001905"/>
    <x v="3"/>
    <x v="1"/>
    <n v="697"/>
    <n v="1.3544132264952499E+18"/>
    <n v="0"/>
  </r>
  <r>
    <n v="144"/>
    <n v="464107"/>
    <x v="5"/>
    <x v="4"/>
    <n v="1157"/>
    <n v="1.35441587232094E+18"/>
    <n v="0"/>
  </r>
  <r>
    <n v="145"/>
    <n v="157160"/>
    <x v="6"/>
    <x v="3"/>
    <n v="842"/>
    <n v="1.3544172597925199E+18"/>
    <n v="0"/>
  </r>
  <r>
    <n v="146"/>
    <n v="1154692"/>
    <x v="0"/>
    <x v="2"/>
    <n v="920"/>
    <n v="1.35441915076509E+18"/>
    <n v="0"/>
  </r>
  <r>
    <n v="147"/>
    <n v="576871"/>
    <x v="0"/>
    <x v="4"/>
    <n v="1069"/>
    <n v="1.35442104149437E+18"/>
    <n v="0"/>
  </r>
  <r>
    <n v="148"/>
    <n v="1250613"/>
    <x v="5"/>
    <x v="3"/>
    <n v="1051"/>
    <n v="1.35442343547315E+18"/>
    <n v="0"/>
  </r>
  <r>
    <n v="149"/>
    <n v="285142"/>
    <x v="1"/>
    <x v="0"/>
    <n v="1200"/>
    <n v="1.3544260812988001E+18"/>
    <n v="0"/>
  </r>
  <r>
    <n v="150"/>
    <n v="918406"/>
    <x v="6"/>
    <x v="2"/>
    <n v="1114"/>
    <n v="1.3544274683509601E+18"/>
    <n v="0"/>
  </r>
  <r>
    <n v="151"/>
    <n v="1552278"/>
    <x v="5"/>
    <x v="3"/>
    <n v="968"/>
    <n v="1.3544293592480599E+18"/>
    <n v="0"/>
  </r>
  <r>
    <n v="152"/>
    <n v="914029"/>
    <x v="1"/>
    <x v="4"/>
    <n v="584"/>
    <n v="1.3544320048556401E+18"/>
    <n v="0"/>
  </r>
  <r>
    <n v="153"/>
    <n v="930431"/>
    <x v="6"/>
    <x v="2"/>
    <n v="1298"/>
    <n v="1.3544343991069499E+18"/>
    <n v="0"/>
  </r>
  <r>
    <n v="154"/>
    <n v="714926"/>
    <x v="5"/>
    <x v="4"/>
    <n v="953"/>
    <n v="1.3544347796813299E+18"/>
    <n v="0"/>
  </r>
  <r>
    <n v="155"/>
    <n v="507489"/>
    <x v="6"/>
    <x v="4"/>
    <n v="773"/>
    <n v="1.3544361670941801E+18"/>
    <n v="0"/>
  </r>
  <r>
    <n v="156"/>
    <n v="1637967"/>
    <x v="2"/>
    <x v="1"/>
    <n v="830"/>
    <n v="1.3544383092426601E+18"/>
    <n v="0"/>
  </r>
  <r>
    <n v="157"/>
    <n v="1335311"/>
    <x v="2"/>
    <x v="1"/>
    <n v="1374"/>
    <n v="1.3544401998252001E+18"/>
    <n v="0"/>
  </r>
  <r>
    <n v="158"/>
    <n v="516380"/>
    <x v="1"/>
    <x v="3"/>
    <n v="1288"/>
    <n v="1.3544418391395799E+18"/>
    <n v="0"/>
  </r>
  <r>
    <n v="159"/>
    <n v="726935"/>
    <x v="4"/>
    <x v="4"/>
    <n v="760"/>
    <n v="1.35444423304689E+18"/>
    <n v="0"/>
  </r>
  <r>
    <n v="160"/>
    <n v="859989"/>
    <x v="4"/>
    <x v="4"/>
    <n v="881"/>
    <n v="1.3544458723697001E+18"/>
    <n v="0"/>
  </r>
  <r>
    <n v="161"/>
    <n v="1822863"/>
    <x v="4"/>
    <x v="0"/>
    <n v="1258"/>
    <n v="1.3544477632080799E+18"/>
    <n v="0"/>
  </r>
  <r>
    <n v="162"/>
    <n v="738221"/>
    <x v="2"/>
    <x v="0"/>
    <n v="1123"/>
    <n v="1.35444990575505E+18"/>
    <n v="0"/>
  </r>
  <r>
    <n v="163"/>
    <n v="1020579"/>
    <x v="2"/>
    <x v="3"/>
    <n v="1153"/>
    <n v="1.35445204821389E+18"/>
    <n v="0"/>
  </r>
  <r>
    <n v="165"/>
    <n v="34049"/>
    <x v="6"/>
    <x v="0"/>
    <n v="1235"/>
    <n v="1.3544563332448901E+18"/>
    <n v="0"/>
  </r>
  <r>
    <n v="166"/>
    <n v="1940211"/>
    <x v="1"/>
    <x v="0"/>
    <n v="517"/>
    <n v="1.35445797235793E+18"/>
    <n v="0"/>
  </r>
  <r>
    <n v="167"/>
    <n v="1299524"/>
    <x v="2"/>
    <x v="3"/>
    <n v="592"/>
    <n v="1.3544596110850701E+18"/>
    <n v="0"/>
  </r>
  <r>
    <n v="168"/>
    <n v="1840406"/>
    <x v="2"/>
    <x v="1"/>
    <n v="755"/>
    <n v="1.3544617536152699E+18"/>
    <n v="0"/>
  </r>
  <r>
    <n v="169"/>
    <n v="1702962"/>
    <x v="4"/>
    <x v="4"/>
    <n v="1397"/>
    <n v="1.35446389581827E+18"/>
    <n v="0"/>
  </r>
  <r>
    <n v="170"/>
    <n v="1038815"/>
    <x v="4"/>
    <x v="2"/>
    <n v="551"/>
    <n v="1.3544662901996201E+18"/>
    <n v="0"/>
  </r>
  <r>
    <n v="171"/>
    <n v="1751721"/>
    <x v="5"/>
    <x v="1"/>
    <n v="595"/>
    <n v="1.3544681809792901E+18"/>
    <n v="0"/>
  </r>
  <r>
    <n v="172"/>
    <n v="1882777"/>
    <x v="5"/>
    <x v="2"/>
    <n v="480"/>
    <n v="1.35446956862703E+18"/>
    <n v="0"/>
  </r>
  <r>
    <n v="173"/>
    <n v="1102783"/>
    <x v="0"/>
    <x v="2"/>
    <n v="505"/>
    <n v="1.3544714593857201E+18"/>
    <n v="0"/>
  </r>
  <r>
    <n v="174"/>
    <n v="389126"/>
    <x v="0"/>
    <x v="4"/>
    <n v="1118"/>
    <n v="1.3544733501695501E+18"/>
    <n v="0"/>
  </r>
  <r>
    <n v="175"/>
    <n v="669287"/>
    <x v="4"/>
    <x v="1"/>
    <n v="1410"/>
    <n v="1.3544747376914801E+18"/>
    <n v="0"/>
  </r>
  <r>
    <n v="176"/>
    <n v="555473"/>
    <x v="3"/>
    <x v="1"/>
    <n v="403"/>
    <n v="1.3544771317708401E+18"/>
    <n v="0"/>
  </r>
  <r>
    <n v="177"/>
    <n v="1713848"/>
    <x v="1"/>
    <x v="1"/>
    <n v="1143"/>
    <n v="1.3544785190158899E+18"/>
    <n v="0"/>
  </r>
  <r>
    <n v="178"/>
    <n v="1904425"/>
    <x v="5"/>
    <x v="0"/>
    <n v="563"/>
    <n v="1.3544804101982001E+18"/>
    <n v="0"/>
  </r>
  <r>
    <n v="179"/>
    <n v="1824764"/>
    <x v="4"/>
    <x v="4"/>
    <n v="1339"/>
    <n v="1.3544817977159199E+18"/>
    <n v="0"/>
  </r>
  <r>
    <n v="180"/>
    <n v="1783879"/>
    <x v="1"/>
    <x v="2"/>
    <n v="1061"/>
    <n v="1.35448343702607E+18"/>
    <n v="0"/>
  </r>
  <r>
    <n v="181"/>
    <n v="275211"/>
    <x v="1"/>
    <x v="0"/>
    <n v="1072"/>
    <n v="1.35448507617267E+18"/>
    <n v="0"/>
  </r>
  <r>
    <n v="182"/>
    <n v="180174"/>
    <x v="2"/>
    <x v="1"/>
    <n v="656"/>
    <n v="1.3544872186819E+18"/>
    <n v="0"/>
  </r>
  <r>
    <n v="183"/>
    <n v="653531"/>
    <x v="1"/>
    <x v="1"/>
    <n v="1043"/>
    <n v="1.35448860615343E+18"/>
    <n v="0"/>
  </r>
  <r>
    <n v="184"/>
    <n v="1408652"/>
    <x v="2"/>
    <x v="3"/>
    <n v="1372"/>
    <n v="1.3544902453419899E+18"/>
    <n v="0"/>
  </r>
  <r>
    <n v="185"/>
    <n v="85265"/>
    <x v="2"/>
    <x v="0"/>
    <n v="734"/>
    <n v="1.3544926395136E+18"/>
    <n v="0"/>
  </r>
  <r>
    <n v="186"/>
    <n v="1989737"/>
    <x v="5"/>
    <x v="4"/>
    <n v="1387"/>
    <n v="1.3544940270522801E+18"/>
    <n v="0"/>
  </r>
  <r>
    <n v="187"/>
    <n v="585771"/>
    <x v="0"/>
    <x v="2"/>
    <n v="951"/>
    <n v="1.35449541446094E+18"/>
    <n v="0"/>
  </r>
  <r>
    <n v="188"/>
    <n v="1068036"/>
    <x v="4"/>
    <x v="4"/>
    <n v="1032"/>
    <n v="1.35449755692401E+18"/>
    <n v="0"/>
  </r>
  <r>
    <n v="189"/>
    <n v="22017"/>
    <x v="2"/>
    <x v="4"/>
    <n v="1396"/>
    <n v="1.3544979374689999E+18"/>
    <n v="0"/>
  </r>
  <r>
    <n v="190"/>
    <n v="1115949"/>
    <x v="4"/>
    <x v="2"/>
    <n v="1091"/>
    <n v="1.3544995766407501E+18"/>
    <n v="0"/>
  </r>
  <r>
    <n v="191"/>
    <n v="987522"/>
    <x v="2"/>
    <x v="4"/>
    <n v="900"/>
    <n v="1.3545017191499699E+18"/>
    <n v="0"/>
  </r>
  <r>
    <n v="192"/>
    <n v="2069186"/>
    <x v="6"/>
    <x v="3"/>
    <n v="404"/>
    <n v="1.3545031062440599E+18"/>
    <n v="0"/>
  </r>
  <r>
    <n v="193"/>
    <n v="1650186"/>
    <x v="5"/>
    <x v="4"/>
    <n v="1087"/>
    <n v="1.35450499745153E+18"/>
    <n v="0"/>
  </r>
  <r>
    <n v="194"/>
    <n v="2056559"/>
    <x v="2"/>
    <x v="0"/>
    <n v="686"/>
    <n v="1.35450688832768E+18"/>
    <n v="0"/>
  </r>
  <r>
    <n v="195"/>
    <n v="1447284"/>
    <x v="3"/>
    <x v="2"/>
    <n v="716"/>
    <n v="1.35450953369616E+18"/>
    <n v="0"/>
  </r>
  <r>
    <n v="196"/>
    <n v="835284"/>
    <x v="6"/>
    <x v="1"/>
    <n v="1222"/>
    <n v="1.3545116758698399E+18"/>
    <n v="0"/>
  </r>
  <r>
    <n v="197"/>
    <n v="1767194"/>
    <x v="0"/>
    <x v="1"/>
    <n v="1164"/>
    <n v="1.3545143215906701E+18"/>
    <n v="0"/>
  </r>
  <r>
    <n v="198"/>
    <n v="1470854"/>
    <x v="6"/>
    <x v="0"/>
    <n v="1467"/>
    <n v="1.35451570931807E+18"/>
    <n v="0"/>
  </r>
  <r>
    <n v="199"/>
    <n v="915520"/>
    <x v="0"/>
    <x v="0"/>
    <n v="1252"/>
    <n v="1.3545181035568399E+18"/>
    <n v="0"/>
  </r>
  <r>
    <n v="200"/>
    <n v="1373350"/>
    <x v="3"/>
    <x v="0"/>
    <n v="1309"/>
    <n v="1.35451999453362E+18"/>
    <n v="0"/>
  </r>
  <r>
    <n v="201"/>
    <n v="1576599"/>
    <x v="5"/>
    <x v="2"/>
    <n v="1368"/>
    <n v="1.3545213823030001E+18"/>
    <n v="0"/>
  </r>
  <r>
    <n v="202"/>
    <n v="1071805"/>
    <x v="0"/>
    <x v="2"/>
    <n v="1018"/>
    <n v="1.3545237765752901E+18"/>
    <n v="0"/>
  </r>
  <r>
    <n v="203"/>
    <n v="1543279"/>
    <x v="4"/>
    <x v="1"/>
    <n v="407"/>
    <n v="1.3545254158183301E+18"/>
    <n v="0"/>
  </r>
  <r>
    <n v="204"/>
    <n v="586236"/>
    <x v="2"/>
    <x v="0"/>
    <n v="782"/>
    <n v="1.35452705532563E+18"/>
    <n v="0"/>
  </r>
  <r>
    <n v="205"/>
    <n v="1150798"/>
    <x v="0"/>
    <x v="4"/>
    <n v="579"/>
    <n v="1.3545294495517901E+18"/>
    <n v="0"/>
  </r>
  <r>
    <n v="206"/>
    <n v="674490"/>
    <x v="6"/>
    <x v="4"/>
    <n v="1322"/>
    <n v="1.3545310883418801E+18"/>
    <n v="0"/>
  </r>
  <r>
    <n v="207"/>
    <n v="2021155"/>
    <x v="4"/>
    <x v="2"/>
    <n v="1346"/>
    <n v="1.35453297879855E+18"/>
    <n v="0"/>
  </r>
  <r>
    <n v="208"/>
    <n v="816918"/>
    <x v="2"/>
    <x v="1"/>
    <n v="933"/>
    <n v="1.35453461803742E+18"/>
    <n v="0"/>
  </r>
  <r>
    <n v="209"/>
    <n v="222527"/>
    <x v="2"/>
    <x v="2"/>
    <n v="603"/>
    <n v="1.3545370124397299E+18"/>
    <n v="0"/>
  </r>
  <r>
    <n v="210"/>
    <n v="926057"/>
    <x v="4"/>
    <x v="3"/>
    <n v="830"/>
    <n v="1.35453865164925E+18"/>
    <n v="0"/>
  </r>
  <r>
    <n v="211"/>
    <n v="239519"/>
    <x v="4"/>
    <x v="4"/>
    <n v="1098"/>
    <n v="1.3545412975001101E+18"/>
    <n v="0"/>
  </r>
  <r>
    <n v="212"/>
    <n v="1768714"/>
    <x v="3"/>
    <x v="4"/>
    <n v="604"/>
    <n v="1.3545426851562099E+18"/>
    <n v="0"/>
  </r>
  <r>
    <n v="213"/>
    <n v="1036083"/>
    <x v="1"/>
    <x v="2"/>
    <n v="480"/>
    <n v="1.35454507936974E+18"/>
    <n v="0"/>
  </r>
  <r>
    <n v="214"/>
    <n v="1412158"/>
    <x v="0"/>
    <x v="3"/>
    <n v="556"/>
    <n v="1.3545469700655501E+18"/>
    <n v="0"/>
  </r>
  <r>
    <n v="215"/>
    <n v="1354368"/>
    <x v="2"/>
    <x v="0"/>
    <n v="730"/>
    <n v="1.3545496160170801E+18"/>
    <n v="0"/>
  </r>
  <r>
    <n v="216"/>
    <n v="1031363"/>
    <x v="5"/>
    <x v="3"/>
    <n v="415"/>
    <n v="1.3545520103144901E+18"/>
    <n v="0"/>
  </r>
  <r>
    <n v="217"/>
    <n v="141536"/>
    <x v="1"/>
    <x v="4"/>
    <n v="1197"/>
    <n v="1.3545544046917E+18"/>
    <n v="0"/>
  </r>
  <r>
    <n v="218"/>
    <n v="408882"/>
    <x v="4"/>
    <x v="0"/>
    <n v="531"/>
    <n v="1.3545562954797499E+18"/>
    <n v="0"/>
  </r>
  <r>
    <n v="219"/>
    <n v="195648"/>
    <x v="0"/>
    <x v="2"/>
    <n v="1257"/>
    <n v="1.3545579346724201E+18"/>
    <n v="0"/>
  </r>
  <r>
    <n v="220"/>
    <n v="260015"/>
    <x v="3"/>
    <x v="2"/>
    <n v="481"/>
    <n v="1.3545598254395599E+18"/>
    <n v="0"/>
  </r>
  <r>
    <n v="221"/>
    <n v="1304579"/>
    <x v="1"/>
    <x v="3"/>
    <n v="1303"/>
    <n v="1.3545614645986701E+18"/>
    <n v="0"/>
  </r>
  <r>
    <n v="222"/>
    <n v="1128342"/>
    <x v="2"/>
    <x v="3"/>
    <n v="1058"/>
    <n v="1.35456310376209E+18"/>
    <n v="0"/>
  </r>
  <r>
    <n v="223"/>
    <n v="582936"/>
    <x v="1"/>
    <x v="3"/>
    <n v="605"/>
    <n v="1.3545647427996401E+18"/>
    <n v="0"/>
  </r>
  <r>
    <n v="224"/>
    <n v="1226043"/>
    <x v="4"/>
    <x v="4"/>
    <n v="502"/>
    <n v="1.35456738879729E+18"/>
    <n v="0"/>
  </r>
  <r>
    <n v="225"/>
    <n v="579458"/>
    <x v="6"/>
    <x v="1"/>
    <n v="433"/>
    <n v="1.35456953176365E+18"/>
    <n v="0"/>
  </r>
  <r>
    <n v="226"/>
    <n v="584726"/>
    <x v="3"/>
    <x v="3"/>
    <n v="1406"/>
    <n v="1.3545721772370199E+18"/>
    <n v="0"/>
  </r>
  <r>
    <n v="227"/>
    <n v="724956"/>
    <x v="6"/>
    <x v="4"/>
    <n v="497"/>
    <n v="1.35457381642976E+18"/>
    <n v="0"/>
  </r>
  <r>
    <n v="228"/>
    <n v="1658817"/>
    <x v="4"/>
    <x v="1"/>
    <n v="1043"/>
    <n v="1.3545752040061701E+18"/>
    <n v="0"/>
  </r>
  <r>
    <n v="229"/>
    <n v="161914"/>
    <x v="3"/>
    <x v="4"/>
    <n v="564"/>
    <n v="1.35457759815265E+18"/>
    <n v="0"/>
  </r>
  <r>
    <n v="230"/>
    <n v="1779659"/>
    <x v="0"/>
    <x v="1"/>
    <n v="1312"/>
    <n v="1.3545799920516401E+18"/>
    <n v="0"/>
  </r>
  <r>
    <n v="231"/>
    <n v="263225"/>
    <x v="4"/>
    <x v="4"/>
    <n v="1018"/>
    <n v="1.3545816313450199E+18"/>
    <n v="0"/>
  </r>
  <r>
    <n v="232"/>
    <n v="1506261"/>
    <x v="5"/>
    <x v="3"/>
    <n v="1107"/>
    <n v="1.3545837737661499E+18"/>
    <n v="0"/>
  </r>
  <r>
    <n v="233"/>
    <n v="1609134"/>
    <x v="5"/>
    <x v="4"/>
    <n v="634"/>
    <n v="1.3545841544998999E+18"/>
    <n v="0"/>
  </r>
  <r>
    <n v="234"/>
    <n v="503667"/>
    <x v="5"/>
    <x v="0"/>
    <n v="1080"/>
    <n v="1.3545865485582899E+18"/>
    <n v="0"/>
  </r>
  <r>
    <n v="235"/>
    <n v="225592"/>
    <x v="0"/>
    <x v="3"/>
    <n v="619"/>
    <n v="1.3545881877971799E+18"/>
    <n v="0"/>
  </r>
  <r>
    <n v="236"/>
    <n v="1913405"/>
    <x v="6"/>
    <x v="4"/>
    <n v="1187"/>
    <n v="1.3545905820568801E+18"/>
    <n v="0"/>
  </r>
  <r>
    <n v="237"/>
    <n v="1617582"/>
    <x v="3"/>
    <x v="3"/>
    <n v="1394"/>
    <n v="1.3545929756203599E+18"/>
    <n v="0"/>
  </r>
  <r>
    <n v="238"/>
    <n v="701286"/>
    <x v="1"/>
    <x v="3"/>
    <n v="819"/>
    <n v="1.3545951180330701E+18"/>
    <n v="0"/>
  </r>
  <r>
    <n v="239"/>
    <n v="775819"/>
    <x v="2"/>
    <x v="4"/>
    <n v="1368"/>
    <n v="1.3545965053578501E+18"/>
    <n v="0"/>
  </r>
  <r>
    <n v="240"/>
    <n v="886630"/>
    <x v="0"/>
    <x v="2"/>
    <n v="809"/>
    <n v="1.3545981444624799E+18"/>
    <n v="0"/>
  </r>
  <r>
    <n v="241"/>
    <n v="721128"/>
    <x v="2"/>
    <x v="4"/>
    <n v="923"/>
    <n v="1.35459978343711E+18"/>
    <n v="0"/>
  </r>
  <r>
    <n v="242"/>
    <n v="814756"/>
    <x v="4"/>
    <x v="0"/>
    <n v="854"/>
    <n v="1.3546014226088599E+18"/>
    <n v="0"/>
  </r>
  <r>
    <n v="243"/>
    <n v="1115398"/>
    <x v="1"/>
    <x v="3"/>
    <n v="765"/>
    <n v="1.3546030617134999E+18"/>
    <n v="0"/>
  </r>
  <r>
    <n v="244"/>
    <n v="892484"/>
    <x v="2"/>
    <x v="1"/>
    <n v="1171"/>
    <n v="1.3546047007049101E+18"/>
    <n v="0"/>
  </r>
  <r>
    <n v="245"/>
    <n v="565590"/>
    <x v="0"/>
    <x v="4"/>
    <n v="472"/>
    <n v="1.35460684317218E+18"/>
    <n v="0"/>
  </r>
  <r>
    <n v="246"/>
    <n v="1081403"/>
    <x v="5"/>
    <x v="2"/>
    <n v="1407"/>
    <n v="1.3546082306814999E+18"/>
    <n v="0"/>
  </r>
  <r>
    <n v="247"/>
    <n v="1439166"/>
    <x v="3"/>
    <x v="0"/>
    <n v="712"/>
    <n v="1.35461012149891E+18"/>
    <n v="0"/>
  </r>
  <r>
    <n v="248"/>
    <n v="1361617"/>
    <x v="2"/>
    <x v="1"/>
    <n v="573"/>
    <n v="1.3546122638864599E+18"/>
    <n v="0"/>
  </r>
  <r>
    <n v="249"/>
    <n v="1481428"/>
    <x v="0"/>
    <x v="3"/>
    <n v="915"/>
    <n v="1.35461465789872E+18"/>
    <n v="0"/>
  </r>
  <r>
    <n v="250"/>
    <n v="2084241"/>
    <x v="2"/>
    <x v="0"/>
    <n v="929"/>
    <n v="1.3546168003911501E+18"/>
    <n v="0"/>
  </r>
  <r>
    <n v="251"/>
    <n v="1518351"/>
    <x v="4"/>
    <x v="3"/>
    <n v="464"/>
    <n v="1.3546184396719301E+18"/>
    <n v="0"/>
  </r>
  <r>
    <n v="252"/>
    <n v="594410"/>
    <x v="4"/>
    <x v="1"/>
    <n v="817"/>
    <n v="1.3546203304935301E+18"/>
    <n v="0"/>
  </r>
  <r>
    <n v="253"/>
    <n v="284479"/>
    <x v="0"/>
    <x v="1"/>
    <n v="688"/>
    <n v="1.3546217179483599E+18"/>
    <n v="0"/>
  </r>
  <r>
    <n v="254"/>
    <n v="1627657"/>
    <x v="1"/>
    <x v="3"/>
    <n v="1006"/>
    <n v="1.3546231050005E+18"/>
    <n v="0"/>
  </r>
  <r>
    <n v="255"/>
    <n v="904703"/>
    <x v="6"/>
    <x v="3"/>
    <n v="682"/>
    <n v="1.3546257506877399E+18"/>
    <n v="0"/>
  </r>
  <r>
    <n v="256"/>
    <n v="326357"/>
    <x v="6"/>
    <x v="3"/>
    <n v="1282"/>
    <n v="1.35462713812159E+18"/>
    <n v="0"/>
  </r>
  <r>
    <n v="257"/>
    <n v="992769"/>
    <x v="3"/>
    <x v="3"/>
    <n v="804"/>
    <n v="1.35462928060143E+18"/>
    <n v="0"/>
  </r>
  <r>
    <n v="258"/>
    <n v="374691"/>
    <x v="3"/>
    <x v="1"/>
    <n v="1035"/>
    <n v="1.3546319259615401E+18"/>
    <n v="0"/>
  </r>
  <r>
    <n v="259"/>
    <n v="1970046"/>
    <x v="2"/>
    <x v="2"/>
    <n v="1351"/>
    <n v="1.35463381679153E+18"/>
    <n v="0"/>
  </r>
  <r>
    <n v="260"/>
    <n v="1823374"/>
    <x v="4"/>
    <x v="4"/>
    <n v="1066"/>
    <n v="1.3546362109505101E+18"/>
    <n v="0"/>
  </r>
  <r>
    <n v="261"/>
    <n v="495652"/>
    <x v="2"/>
    <x v="1"/>
    <n v="1386"/>
    <n v="1.35463885668817E+18"/>
    <n v="0"/>
  </r>
  <r>
    <n v="262"/>
    <n v="1205645"/>
    <x v="3"/>
    <x v="4"/>
    <n v="830"/>
    <n v="1.35464125090594E+18"/>
    <n v="0"/>
  </r>
  <r>
    <n v="263"/>
    <n v="2047695"/>
    <x v="2"/>
    <x v="0"/>
    <n v="958"/>
    <n v="1.3546416313167601E+18"/>
    <n v="0"/>
  </r>
  <r>
    <n v="264"/>
    <n v="1028863"/>
    <x v="6"/>
    <x v="2"/>
    <n v="1062"/>
    <n v="1.35464402557645E+18"/>
    <n v="0"/>
  </r>
  <r>
    <n v="265"/>
    <n v="1529621"/>
    <x v="2"/>
    <x v="2"/>
    <n v="489"/>
    <n v="1.35464616814019E+18"/>
    <n v="0"/>
  </r>
  <r>
    <n v="266"/>
    <n v="2084222"/>
    <x v="1"/>
    <x v="4"/>
    <n v="1025"/>
    <n v="1.3546480586682099E+18"/>
    <n v="0"/>
  </r>
  <r>
    <n v="267"/>
    <n v="1385933"/>
    <x v="3"/>
    <x v="1"/>
    <n v="1051"/>
    <n v="1.3546484388399301E+18"/>
    <n v="0"/>
  </r>
  <r>
    <n v="268"/>
    <n v="869669"/>
    <x v="3"/>
    <x v="1"/>
    <n v="413"/>
    <n v="1.3546508326297101E+18"/>
    <n v="0"/>
  </r>
  <r>
    <n v="269"/>
    <n v="582526"/>
    <x v="5"/>
    <x v="4"/>
    <n v="512"/>
    <n v="1.35465222009725E+18"/>
    <n v="0"/>
  </r>
  <r>
    <n v="270"/>
    <n v="1512589"/>
    <x v="5"/>
    <x v="0"/>
    <n v="1228"/>
    <n v="1.3546526006044301E+18"/>
    <n v="0"/>
  </r>
  <r>
    <n v="271"/>
    <n v="841578"/>
    <x v="0"/>
    <x v="3"/>
    <n v="1208"/>
    <n v="1.3546549945747999E+18"/>
    <n v="0"/>
  </r>
  <r>
    <n v="272"/>
    <n v="1997791"/>
    <x v="4"/>
    <x v="3"/>
    <n v="1166"/>
    <n v="1.3546566336962099E+18"/>
    <n v="0"/>
  </r>
  <r>
    <n v="273"/>
    <n v="1530838"/>
    <x v="3"/>
    <x v="0"/>
    <n v="1109"/>
    <n v="1.35465902745263E+18"/>
    <n v="0"/>
  </r>
  <r>
    <n v="274"/>
    <n v="2053825"/>
    <x v="1"/>
    <x v="2"/>
    <n v="863"/>
    <n v="1.3546609180687099E+18"/>
    <n v="0"/>
  </r>
  <r>
    <n v="275"/>
    <n v="1279940"/>
    <x v="6"/>
    <x v="0"/>
    <n v="409"/>
    <n v="1.35466280851283E+18"/>
    <n v="0"/>
  </r>
  <r>
    <n v="276"/>
    <n v="631908"/>
    <x v="5"/>
    <x v="2"/>
    <n v="1429"/>
    <n v="1.35466495101362E+18"/>
    <n v="0"/>
  </r>
  <r>
    <n v="277"/>
    <n v="241111"/>
    <x v="1"/>
    <x v="1"/>
    <n v="1464"/>
    <n v="1.3546673451391501E+18"/>
    <n v="0"/>
  </r>
  <r>
    <n v="278"/>
    <n v="1958470"/>
    <x v="6"/>
    <x v="1"/>
    <n v="1051"/>
    <n v="1.35466898454158E+18"/>
    <n v="0"/>
  </r>
  <r>
    <n v="279"/>
    <n v="923876"/>
    <x v="2"/>
    <x v="2"/>
    <n v="1107"/>
    <n v="1.3546708753128399E+18"/>
    <n v="0"/>
  </r>
  <r>
    <n v="280"/>
    <n v="167074"/>
    <x v="2"/>
    <x v="1"/>
    <n v="897"/>
    <n v="1.35467276585343E+18"/>
    <n v="0"/>
  </r>
  <r>
    <n v="281"/>
    <n v="1795966"/>
    <x v="4"/>
    <x v="1"/>
    <n v="1370"/>
    <n v="1.35467465663309E+18"/>
    <n v="0"/>
  </r>
  <r>
    <n v="282"/>
    <n v="995853"/>
    <x v="3"/>
    <x v="1"/>
    <n v="549"/>
    <n v="1.35467604369362E+18"/>
    <n v="0"/>
  </r>
  <r>
    <n v="283"/>
    <n v="2045434"/>
    <x v="3"/>
    <x v="3"/>
    <n v="1284"/>
    <n v="1.35467843782751E+18"/>
    <n v="0"/>
  </r>
  <r>
    <n v="284"/>
    <n v="2037009"/>
    <x v="0"/>
    <x v="2"/>
    <n v="791"/>
    <n v="1.35468108378735E+18"/>
    <n v="0"/>
  </r>
  <r>
    <n v="285"/>
    <n v="430338"/>
    <x v="6"/>
    <x v="1"/>
    <n v="575"/>
    <n v="1.3546834776402801E+18"/>
    <n v="0"/>
  </r>
  <r>
    <n v="286"/>
    <n v="864752"/>
    <x v="6"/>
    <x v="1"/>
    <n v="1099"/>
    <n v="1.3546853678662999E+18"/>
    <n v="0"/>
  </r>
  <r>
    <n v="287"/>
    <n v="623984"/>
    <x v="3"/>
    <x v="2"/>
    <n v="1125"/>
    <n v="1.3546877617569101E+18"/>
    <n v="0"/>
  </r>
  <r>
    <n v="288"/>
    <n v="398769"/>
    <x v="1"/>
    <x v="1"/>
    <n v="1026"/>
    <n v="1.3546901558320901E+18"/>
    <n v="0"/>
  </r>
  <r>
    <n v="289"/>
    <n v="711850"/>
    <x v="1"/>
    <x v="1"/>
    <n v="1077"/>
    <n v="1.3546915432952599E+18"/>
    <n v="0"/>
  </r>
  <r>
    <n v="290"/>
    <n v="134009"/>
    <x v="0"/>
    <x v="0"/>
    <n v="512"/>
    <n v="1.35469318252573E+18"/>
    <n v="0"/>
  </r>
  <r>
    <n v="291"/>
    <n v="1173258"/>
    <x v="5"/>
    <x v="3"/>
    <n v="1460"/>
    <n v="1.3546950731837499E+18"/>
    <n v="0"/>
  </r>
  <r>
    <n v="292"/>
    <n v="283202"/>
    <x v="6"/>
    <x v="3"/>
    <n v="1117"/>
    <n v="1.35469671208707E+18"/>
    <n v="0"/>
  </r>
  <r>
    <n v="293"/>
    <n v="367292"/>
    <x v="4"/>
    <x v="3"/>
    <n v="946"/>
    <n v="1.3546980991727099E+18"/>
    <n v="0"/>
  </r>
  <r>
    <n v="294"/>
    <n v="1892057"/>
    <x v="4"/>
    <x v="1"/>
    <n v="980"/>
    <n v="1.35470049307598E+18"/>
    <n v="0"/>
  </r>
  <r>
    <n v="295"/>
    <n v="110752"/>
    <x v="1"/>
    <x v="0"/>
    <n v="578"/>
    <n v="1.3547028871301601E+18"/>
    <n v="0"/>
  </r>
  <r>
    <n v="296"/>
    <n v="1963656"/>
    <x v="3"/>
    <x v="2"/>
    <n v="1309"/>
    <n v="1.35470452610893E+18"/>
    <n v="0"/>
  </r>
  <r>
    <n v="297"/>
    <n v="1548096"/>
    <x v="2"/>
    <x v="4"/>
    <n v="1414"/>
    <n v="1.3547061651255401E+18"/>
    <n v="0"/>
  </r>
  <r>
    <n v="298"/>
    <n v="996774"/>
    <x v="6"/>
    <x v="3"/>
    <n v="665"/>
    <n v="1.3547075524796201E+18"/>
    <n v="0"/>
  </r>
  <r>
    <n v="299"/>
    <n v="1032901"/>
    <x v="1"/>
    <x v="0"/>
    <n v="1190"/>
    <n v="1.3547099462947799E+18"/>
    <n v="0"/>
  </r>
  <r>
    <n v="300"/>
    <n v="591231"/>
    <x v="1"/>
    <x v="4"/>
    <n v="1414"/>
    <n v="1.35471183701155E+18"/>
    <n v="0"/>
  </r>
  <r>
    <n v="301"/>
    <n v="104554"/>
    <x v="6"/>
    <x v="0"/>
    <n v="628"/>
    <n v="1.3547139797137101E+18"/>
    <n v="0"/>
  </r>
  <r>
    <n v="302"/>
    <n v="354715"/>
    <x v="4"/>
    <x v="1"/>
    <n v="634"/>
    <n v="1.35471587032979E+18"/>
    <n v="0"/>
  </r>
  <r>
    <n v="303"/>
    <n v="622687"/>
    <x v="1"/>
    <x v="2"/>
    <n v="885"/>
    <n v="1.35471851598766E+18"/>
    <n v="0"/>
  </r>
  <r>
    <n v="304"/>
    <n v="133958"/>
    <x v="6"/>
    <x v="4"/>
    <n v="1227"/>
    <n v="1.35472015511329E+18"/>
    <n v="0"/>
  </r>
  <r>
    <n v="305"/>
    <n v="38051"/>
    <x v="6"/>
    <x v="3"/>
    <n v="1128"/>
    <n v="1.35472254914653E+18"/>
    <n v="0"/>
  </r>
  <r>
    <n v="306"/>
    <n v="1318813"/>
    <x v="2"/>
    <x v="1"/>
    <n v="854"/>
    <n v="1.35472469106851E+18"/>
    <n v="0"/>
  </r>
  <r>
    <n v="307"/>
    <n v="372676"/>
    <x v="3"/>
    <x v="0"/>
    <n v="1237"/>
    <n v="1.35472658235568E+18"/>
    <n v="0"/>
  </r>
  <r>
    <n v="308"/>
    <n v="1923628"/>
    <x v="6"/>
    <x v="0"/>
    <n v="1414"/>
    <n v="1.35472822157776E+18"/>
    <n v="0"/>
  </r>
  <r>
    <n v="309"/>
    <n v="1945541"/>
    <x v="5"/>
    <x v="0"/>
    <n v="737"/>
    <n v="1.3547308673488699E+18"/>
    <n v="0"/>
  </r>
  <r>
    <n v="310"/>
    <n v="1124883"/>
    <x v="6"/>
    <x v="0"/>
    <n v="1115"/>
    <n v="1.35473300985394E+18"/>
    <n v="0"/>
  </r>
  <r>
    <n v="311"/>
    <n v="276402"/>
    <x v="5"/>
    <x v="0"/>
    <n v="667"/>
    <n v="1.3547346484972001E+18"/>
    <n v="0"/>
  </r>
  <r>
    <n v="312"/>
    <n v="1801274"/>
    <x v="5"/>
    <x v="1"/>
    <n v="1127"/>
    <n v="1.3547360357632399E+18"/>
    <n v="0"/>
  </r>
  <r>
    <n v="313"/>
    <n v="742340"/>
    <x v="5"/>
    <x v="4"/>
    <n v="879"/>
    <n v="1.3547384297461399E+18"/>
    <n v="0"/>
  </r>
  <r>
    <n v="314"/>
    <n v="208751"/>
    <x v="6"/>
    <x v="4"/>
    <n v="1301"/>
    <n v="1.3547410751104901E+18"/>
    <n v="0"/>
  </r>
  <r>
    <n v="315"/>
    <n v="138100"/>
    <x v="2"/>
    <x v="3"/>
    <n v="1441"/>
    <n v="1.3547432172799099E+18"/>
    <n v="0"/>
  </r>
  <r>
    <n v="316"/>
    <n v="2011981"/>
    <x v="4"/>
    <x v="0"/>
    <n v="663"/>
    <n v="1.35474460481021E+18"/>
    <n v="0"/>
  </r>
  <r>
    <n v="317"/>
    <n v="1732904"/>
    <x v="0"/>
    <x v="4"/>
    <n v="1236"/>
    <n v="1.3547464955058401E+18"/>
    <n v="0"/>
  </r>
  <r>
    <n v="318"/>
    <n v="1232237"/>
    <x v="3"/>
    <x v="2"/>
    <n v="1256"/>
    <n v="1.3547488894553201E+18"/>
    <n v="0"/>
  </r>
  <r>
    <n v="319"/>
    <n v="1162182"/>
    <x v="1"/>
    <x v="1"/>
    <n v="1388"/>
    <n v="1.3547505282370099E+18"/>
    <n v="0"/>
  </r>
  <r>
    <n v="320"/>
    <n v="1762283"/>
    <x v="0"/>
    <x v="0"/>
    <n v="1348"/>
    <n v="1.3547509085512699E+18"/>
    <n v="0"/>
  </r>
  <r>
    <n v="321"/>
    <n v="1271754"/>
    <x v="4"/>
    <x v="2"/>
    <n v="1112"/>
    <n v="1.3547533024754501E+18"/>
    <n v="0"/>
  </r>
  <r>
    <n v="322"/>
    <n v="482466"/>
    <x v="4"/>
    <x v="4"/>
    <n v="743"/>
    <n v="1.35475569630322E+18"/>
    <n v="0"/>
  </r>
  <r>
    <n v="323"/>
    <n v="1121758"/>
    <x v="4"/>
    <x v="2"/>
    <n v="1449"/>
    <n v="1.3547578388124301E+18"/>
    <n v="0"/>
  </r>
  <r>
    <n v="324"/>
    <n v="1970406"/>
    <x v="6"/>
    <x v="3"/>
    <n v="1030"/>
    <n v="1.3547597291432901E+18"/>
    <n v="0"/>
  </r>
  <r>
    <n v="325"/>
    <n v="595890"/>
    <x v="5"/>
    <x v="4"/>
    <n v="434"/>
    <n v="1.35476187168605E+18"/>
    <n v="0"/>
  </r>
  <r>
    <n v="326"/>
    <n v="1673822"/>
    <x v="4"/>
    <x v="1"/>
    <n v="756"/>
    <n v="1.35476225219331E+18"/>
    <n v="0"/>
  </r>
  <r>
    <n v="327"/>
    <n v="1149971"/>
    <x v="6"/>
    <x v="2"/>
    <n v="425"/>
    <n v="1.3547638912434401E+18"/>
    <n v="0"/>
  </r>
  <r>
    <n v="328"/>
    <n v="13724"/>
    <x v="1"/>
    <x v="2"/>
    <n v="678"/>
    <n v="1.35476653701459E+18"/>
    <n v="0"/>
  </r>
  <r>
    <n v="329"/>
    <n v="950522"/>
    <x v="3"/>
    <x v="4"/>
    <n v="628"/>
    <n v="1.3547691824250099E+18"/>
    <n v="0"/>
  </r>
  <r>
    <n v="330"/>
    <n v="1477753"/>
    <x v="1"/>
    <x v="4"/>
    <n v="1428"/>
    <n v="1.35477157600946E+18"/>
    <n v="0"/>
  </r>
  <r>
    <n v="331"/>
    <n v="160176"/>
    <x v="1"/>
    <x v="1"/>
    <n v="539"/>
    <n v="1.3547734668813299E+18"/>
    <n v="0"/>
  </r>
  <r>
    <n v="332"/>
    <n v="136566"/>
    <x v="6"/>
    <x v="0"/>
    <n v="653"/>
    <n v="1.35477510614544E+18"/>
    <n v="0"/>
  </r>
  <r>
    <n v="333"/>
    <n v="59699"/>
    <x v="2"/>
    <x v="4"/>
    <n v="1256"/>
    <n v="1.35477699708445E+18"/>
    <n v="0"/>
  </r>
  <r>
    <n v="334"/>
    <n v="789361"/>
    <x v="6"/>
    <x v="1"/>
    <n v="600"/>
    <n v="1.35477913983696E+18"/>
    <n v="0"/>
  </r>
  <r>
    <n v="335"/>
    <n v="715856"/>
    <x v="0"/>
    <x v="2"/>
    <n v="1354"/>
    <n v="1.3547810305704599E+18"/>
    <n v="0"/>
  </r>
  <r>
    <n v="336"/>
    <n v="25995"/>
    <x v="6"/>
    <x v="0"/>
    <n v="654"/>
    <n v="1.3547824182014001E+18"/>
    <n v="0"/>
  </r>
  <r>
    <n v="337"/>
    <n v="1615440"/>
    <x v="2"/>
    <x v="1"/>
    <n v="1185"/>
    <n v="1.35478405715088E+18"/>
    <n v="0"/>
  </r>
  <r>
    <n v="338"/>
    <n v="897239"/>
    <x v="3"/>
    <x v="4"/>
    <n v="946"/>
    <n v="1.3547859478298601E+18"/>
    <n v="0"/>
  </r>
  <r>
    <n v="339"/>
    <n v="138751"/>
    <x v="0"/>
    <x v="3"/>
    <n v="446"/>
    <n v="1.3547873353392E+18"/>
    <n v="0"/>
  </r>
  <r>
    <n v="340"/>
    <n v="667371"/>
    <x v="1"/>
    <x v="0"/>
    <n v="470"/>
    <n v="1.35478897452352E+18"/>
    <n v="0"/>
  </r>
  <r>
    <n v="341"/>
    <n v="1757352"/>
    <x v="3"/>
    <x v="2"/>
    <n v="579"/>
    <n v="1.35479136869937E+18"/>
    <n v="0"/>
  </r>
  <r>
    <n v="342"/>
    <n v="1456990"/>
    <x v="0"/>
    <x v="3"/>
    <n v="1263"/>
    <n v="1.35479401459215E+18"/>
    <n v="0"/>
  </r>
  <r>
    <n v="343"/>
    <n v="531352"/>
    <x v="0"/>
    <x v="1"/>
    <n v="809"/>
    <n v="1.35479666032125E+18"/>
    <n v="0"/>
  </r>
  <r>
    <n v="344"/>
    <n v="272934"/>
    <x v="4"/>
    <x v="1"/>
    <n v="468"/>
    <n v="1.35479930623917E+18"/>
    <n v="0"/>
  </r>
  <r>
    <n v="345"/>
    <n v="2040529"/>
    <x v="4"/>
    <x v="2"/>
    <n v="1263"/>
    <n v="1.35480144916366E+18"/>
    <n v="0"/>
  </r>
  <r>
    <n v="346"/>
    <n v="807334"/>
    <x v="0"/>
    <x v="0"/>
    <n v="1344"/>
    <n v="1.35480384373795E+18"/>
    <n v="0"/>
  </r>
  <r>
    <n v="347"/>
    <n v="651381"/>
    <x v="0"/>
    <x v="3"/>
    <n v="867"/>
    <n v="1.3548052317295301E+18"/>
    <n v="0"/>
  </r>
  <r>
    <n v="348"/>
    <n v="371712"/>
    <x v="6"/>
    <x v="0"/>
    <n v="865"/>
    <n v="1.3548078784486001E+18"/>
    <n v="0"/>
  </r>
  <r>
    <n v="349"/>
    <n v="1073424"/>
    <x v="3"/>
    <x v="1"/>
    <n v="1207"/>
    <n v="1.3548092670568499E+18"/>
    <n v="0"/>
  </r>
  <r>
    <n v="350"/>
    <n v="892503"/>
    <x v="5"/>
    <x v="3"/>
    <n v="1345"/>
    <n v="1.3548119135620101E+18"/>
    <n v="0"/>
  </r>
  <r>
    <n v="351"/>
    <n v="1105549"/>
    <x v="6"/>
    <x v="3"/>
    <n v="1119"/>
    <n v="1.3548145608850401E+18"/>
    <n v="0"/>
  </r>
  <r>
    <n v="352"/>
    <n v="1490281"/>
    <x v="6"/>
    <x v="0"/>
    <n v="876"/>
    <n v="1.35481645222258E+18"/>
    <n v="0"/>
  </r>
  <r>
    <n v="353"/>
    <n v="955885"/>
    <x v="0"/>
    <x v="2"/>
    <n v="826"/>
    <n v="1.35481884694365E+18"/>
    <n v="0"/>
  </r>
  <r>
    <n v="354"/>
    <n v="804024"/>
    <x v="2"/>
    <x v="4"/>
    <n v="1255"/>
    <n v="1.35482048677811E+18"/>
    <n v="0"/>
  </r>
  <r>
    <n v="355"/>
    <n v="367762"/>
    <x v="6"/>
    <x v="0"/>
    <n v="441"/>
    <n v="1.35482237832113E+18"/>
    <n v="0"/>
  </r>
  <r>
    <n v="356"/>
    <n v="273038"/>
    <x v="3"/>
    <x v="0"/>
    <n v="1287"/>
    <n v="1.3548240177109901E+18"/>
    <n v="0"/>
  </r>
  <r>
    <n v="357"/>
    <n v="225936"/>
    <x v="2"/>
    <x v="0"/>
    <n v="526"/>
    <n v="1.3548256575160499E+18"/>
    <n v="0"/>
  </r>
  <r>
    <n v="358"/>
    <n v="1084534"/>
    <x v="5"/>
    <x v="0"/>
    <n v="1225"/>
    <n v="1.3548272968597701E+18"/>
    <n v="0"/>
  </r>
  <r>
    <n v="359"/>
    <n v="837666"/>
    <x v="2"/>
    <x v="4"/>
    <n v="948"/>
    <n v="1.3548289363965901E+18"/>
    <n v="0"/>
  </r>
  <r>
    <n v="360"/>
    <n v="1471514"/>
    <x v="1"/>
    <x v="0"/>
    <n v="1479"/>
    <n v="1.3548310789854899E+18"/>
    <n v="0"/>
  </r>
  <r>
    <n v="361"/>
    <n v="46804"/>
    <x v="1"/>
    <x v="4"/>
    <n v="803"/>
    <n v="1.35483246662065E+18"/>
    <n v="0"/>
  </r>
  <r>
    <n v="362"/>
    <n v="1870077"/>
    <x v="2"/>
    <x v="0"/>
    <n v="1391"/>
    <n v="1.3548348609390899E+18"/>
    <n v="0"/>
  </r>
  <r>
    <n v="363"/>
    <n v="1630331"/>
    <x v="0"/>
    <x v="0"/>
    <n v="1394"/>
    <n v="1.3548362484525901E+18"/>
    <n v="0"/>
  </r>
  <r>
    <n v="364"/>
    <n v="831074"/>
    <x v="5"/>
    <x v="2"/>
    <n v="1162"/>
    <n v="1.3548378872636301E+18"/>
    <n v="0"/>
  </r>
  <r>
    <n v="365"/>
    <n v="794841"/>
    <x v="6"/>
    <x v="3"/>
    <n v="655"/>
    <n v="1.35483927555309E+18"/>
    <n v="0"/>
  </r>
  <r>
    <n v="366"/>
    <n v="1278524"/>
    <x v="1"/>
    <x v="2"/>
    <n v="1264"/>
    <n v="1.35484116656766E+18"/>
    <n v="0"/>
  </r>
  <r>
    <n v="367"/>
    <n v="1499479"/>
    <x v="4"/>
    <x v="1"/>
    <n v="1138"/>
    <n v="1.3548438122633101E+18"/>
    <n v="0"/>
  </r>
  <r>
    <n v="368"/>
    <n v="464169"/>
    <x v="1"/>
    <x v="4"/>
    <n v="1369"/>
    <n v="1.3548462065020301E+18"/>
    <n v="0"/>
  </r>
  <r>
    <n v="369"/>
    <n v="831219"/>
    <x v="6"/>
    <x v="1"/>
    <n v="745"/>
    <n v="1.3548475941036301E+18"/>
    <n v="0"/>
  </r>
  <r>
    <n v="370"/>
    <n v="3941"/>
    <x v="4"/>
    <x v="3"/>
    <n v="444"/>
    <n v="1.35484923332574E+18"/>
    <n v="0"/>
  </r>
  <r>
    <n v="371"/>
    <n v="549907"/>
    <x v="2"/>
    <x v="0"/>
    <n v="1209"/>
    <n v="1.3548508725981199E+18"/>
    <n v="0"/>
  </r>
  <r>
    <n v="372"/>
    <n v="1725124"/>
    <x v="3"/>
    <x v="0"/>
    <n v="723"/>
    <n v="1.3548530149353101E+18"/>
    <n v="0"/>
  </r>
  <r>
    <n v="373"/>
    <n v="813544"/>
    <x v="2"/>
    <x v="4"/>
    <n v="705"/>
    <n v="1.35485540897699E+18"/>
    <n v="0"/>
  </r>
  <r>
    <n v="374"/>
    <n v="1538954"/>
    <x v="0"/>
    <x v="1"/>
    <n v="896"/>
    <n v="1.3548572997440599E+18"/>
    <n v="0"/>
  </r>
  <r>
    <n v="375"/>
    <n v="1554666"/>
    <x v="4"/>
    <x v="2"/>
    <n v="1097"/>
    <n v="1.3548586868633001E+18"/>
    <n v="0"/>
  </r>
  <r>
    <n v="376"/>
    <n v="852466"/>
    <x v="6"/>
    <x v="3"/>
    <n v="1017"/>
    <n v="1.3548610809594701E+18"/>
    <n v="0"/>
  </r>
  <r>
    <n v="377"/>
    <n v="1090563"/>
    <x v="5"/>
    <x v="1"/>
    <n v="520"/>
    <n v="1.3548637268480499E+18"/>
    <n v="0"/>
  </r>
  <r>
    <n v="378"/>
    <n v="1837401"/>
    <x v="6"/>
    <x v="3"/>
    <n v="1099"/>
    <n v="1.3548656175605901E+18"/>
    <n v="0"/>
  </r>
  <r>
    <n v="379"/>
    <n v="66851"/>
    <x v="4"/>
    <x v="1"/>
    <n v="1311"/>
    <n v="1.3548659981139999E+18"/>
    <n v="0"/>
  </r>
  <r>
    <n v="380"/>
    <n v="1730328"/>
    <x v="4"/>
    <x v="4"/>
    <n v="1197"/>
    <n v="1.3548673857197901E+18"/>
    <n v="0"/>
  </r>
  <r>
    <n v="381"/>
    <n v="1745307"/>
    <x v="0"/>
    <x v="2"/>
    <n v="1373"/>
    <n v="1.35486977983264E+18"/>
    <n v="0"/>
  </r>
  <r>
    <n v="382"/>
    <n v="1719602"/>
    <x v="6"/>
    <x v="2"/>
    <n v="1498"/>
    <n v="1.35487242570446E+18"/>
    <n v="0"/>
  </r>
  <r>
    <n v="383"/>
    <n v="731882"/>
    <x v="5"/>
    <x v="0"/>
    <n v="819"/>
    <n v="1.35487431632898E+18"/>
    <n v="0"/>
  </r>
  <r>
    <n v="384"/>
    <n v="603986"/>
    <x v="4"/>
    <x v="0"/>
    <n v="1092"/>
    <n v="1.3548764585781701E+18"/>
    <n v="0"/>
  </r>
  <r>
    <n v="385"/>
    <n v="5583"/>
    <x v="4"/>
    <x v="0"/>
    <n v="860"/>
    <n v="1.3548778462175099E+18"/>
    <n v="0"/>
  </r>
  <r>
    <n v="386"/>
    <n v="1112026"/>
    <x v="5"/>
    <x v="4"/>
    <n v="632"/>
    <n v="1.3548799888189599E+18"/>
    <n v="0"/>
  </r>
  <r>
    <n v="387"/>
    <n v="1343950"/>
    <x v="1"/>
    <x v="2"/>
    <n v="1220"/>
    <n v="1.35488263478305E+18"/>
    <n v="0"/>
  </r>
  <r>
    <n v="388"/>
    <n v="1768842"/>
    <x v="0"/>
    <x v="0"/>
    <n v="940"/>
    <n v="1.35488452581439E+18"/>
    <n v="0"/>
  </r>
  <r>
    <n v="389"/>
    <n v="251602"/>
    <x v="4"/>
    <x v="2"/>
    <n v="1072"/>
    <n v="1.35488616536782E+18"/>
    <n v="0"/>
  </r>
  <r>
    <n v="390"/>
    <n v="1590139"/>
    <x v="1"/>
    <x v="1"/>
    <n v="595"/>
    <n v="1.354888308028E+18"/>
    <n v="0"/>
  </r>
  <r>
    <n v="391"/>
    <n v="979347"/>
    <x v="5"/>
    <x v="1"/>
    <n v="686"/>
    <n v="1.35488994702781E+18"/>
    <n v="0"/>
  </r>
  <r>
    <n v="392"/>
    <n v="1868773"/>
    <x v="5"/>
    <x v="0"/>
    <n v="870"/>
    <n v="1.3548923413671501E+18"/>
    <n v="0"/>
  </r>
  <r>
    <n v="393"/>
    <n v="1419306"/>
    <x v="0"/>
    <x v="2"/>
    <n v="1259"/>
    <n v="1.35489423725553E+18"/>
    <n v="0"/>
  </r>
  <r>
    <n v="394"/>
    <n v="594434"/>
    <x v="2"/>
    <x v="1"/>
    <n v="811"/>
    <n v="1.3548961281190999E+18"/>
    <n v="0"/>
  </r>
  <r>
    <n v="395"/>
    <n v="1426735"/>
    <x v="1"/>
    <x v="4"/>
    <n v="806"/>
    <n v="1.35489801893648E+18"/>
    <n v="0"/>
  </r>
  <r>
    <n v="396"/>
    <n v="1267107"/>
    <x v="6"/>
    <x v="2"/>
    <n v="1298"/>
    <n v="1.3548996581501901E+18"/>
    <n v="0"/>
  </r>
  <r>
    <n v="397"/>
    <n v="1740902"/>
    <x v="6"/>
    <x v="2"/>
    <n v="663"/>
    <n v="1.3549023038710001E+18"/>
    <n v="0"/>
  </r>
  <r>
    <n v="398"/>
    <n v="1881618"/>
    <x v="5"/>
    <x v="0"/>
    <n v="993"/>
    <n v="1.3549039432818601E+18"/>
    <n v="0"/>
  </r>
  <r>
    <n v="399"/>
    <n v="1022735"/>
    <x v="3"/>
    <x v="1"/>
    <n v="1302"/>
    <n v="1.35490658906979E+18"/>
    <n v="0"/>
  </r>
  <r>
    <n v="400"/>
    <n v="1240324"/>
    <x v="3"/>
    <x v="0"/>
    <n v="772"/>
    <n v="1.3549079769188401E+18"/>
    <n v="0"/>
  </r>
  <r>
    <n v="401"/>
    <n v="781399"/>
    <x v="3"/>
    <x v="0"/>
    <n v="521"/>
    <n v="1.3549101194364201E+18"/>
    <n v="0"/>
  </r>
  <r>
    <n v="402"/>
    <n v="1329966"/>
    <x v="2"/>
    <x v="1"/>
    <n v="1054"/>
    <n v="1.35491276540051E+18"/>
    <n v="0"/>
  </r>
  <r>
    <n v="403"/>
    <n v="928314"/>
    <x v="4"/>
    <x v="4"/>
    <n v="1071"/>
    <n v="1.3549149078551301E+18"/>
    <n v="0"/>
  </r>
  <r>
    <n v="404"/>
    <n v="10914"/>
    <x v="2"/>
    <x v="3"/>
    <n v="1165"/>
    <n v="1.35491629524287E+18"/>
    <n v="0"/>
  </r>
  <r>
    <n v="405"/>
    <n v="1391258"/>
    <x v="1"/>
    <x v="2"/>
    <n v="1121"/>
    <n v="1.3549179344523699E+18"/>
    <n v="0"/>
  </r>
  <r>
    <n v="406"/>
    <n v="1483774"/>
    <x v="3"/>
    <x v="0"/>
    <n v="678"/>
    <n v="1.3549193221797901E+18"/>
    <n v="0"/>
  </r>
  <r>
    <n v="407"/>
    <n v="2070984"/>
    <x v="5"/>
    <x v="2"/>
    <n v="1303"/>
    <n v="1.35492071002466E+18"/>
    <n v="0"/>
  </r>
  <r>
    <n v="408"/>
    <n v="456204"/>
    <x v="3"/>
    <x v="1"/>
    <n v="1337"/>
    <n v="1.3549226007540101E+18"/>
    <n v="0"/>
  </r>
  <r>
    <n v="409"/>
    <n v="1686324"/>
    <x v="4"/>
    <x v="1"/>
    <n v="673"/>
    <n v="1.3549244929597299E+18"/>
    <n v="0"/>
  </r>
  <r>
    <n v="410"/>
    <n v="128281"/>
    <x v="3"/>
    <x v="0"/>
    <n v="431"/>
    <n v="1.35492638382739E+18"/>
    <n v="0"/>
  </r>
  <r>
    <n v="411"/>
    <n v="1535606"/>
    <x v="1"/>
    <x v="3"/>
    <n v="1035"/>
    <n v="1.3549282745022799E+18"/>
    <n v="0"/>
  </r>
  <r>
    <n v="412"/>
    <n v="1494233"/>
    <x v="6"/>
    <x v="0"/>
    <n v="662"/>
    <n v="1.35493092027762E+18"/>
    <n v="0"/>
  </r>
  <r>
    <n v="413"/>
    <n v="842293"/>
    <x v="4"/>
    <x v="0"/>
    <n v="639"/>
    <n v="1.35493281105727E+18"/>
    <n v="0"/>
  </r>
  <r>
    <n v="414"/>
    <n v="1805869"/>
    <x v="1"/>
    <x v="2"/>
    <n v="883"/>
    <n v="1.35493470187889E+18"/>
    <n v="0"/>
  </r>
  <r>
    <n v="415"/>
    <n v="1352977"/>
    <x v="1"/>
    <x v="4"/>
    <n v="1203"/>
    <n v="1.35493734757873E+18"/>
    <n v="0"/>
  </r>
  <r>
    <n v="416"/>
    <n v="518914"/>
    <x v="2"/>
    <x v="3"/>
    <n v="584"/>
    <n v="1.3549387350586199E+18"/>
    <n v="0"/>
  </r>
  <r>
    <n v="417"/>
    <n v="1614682"/>
    <x v="2"/>
    <x v="3"/>
    <n v="539"/>
    <n v="1.3549413807291799E+18"/>
    <n v="0"/>
  </r>
  <r>
    <n v="418"/>
    <n v="527586"/>
    <x v="0"/>
    <x v="0"/>
    <n v="773"/>
    <n v="1.3549440261773901E+18"/>
    <n v="0"/>
  </r>
  <r>
    <n v="419"/>
    <n v="252036"/>
    <x v="3"/>
    <x v="2"/>
    <n v="888"/>
    <n v="1.35494667198207E+18"/>
    <n v="0"/>
  </r>
  <r>
    <n v="420"/>
    <n v="291023"/>
    <x v="2"/>
    <x v="1"/>
    <n v="838"/>
    <n v="1.3549480595753001E+18"/>
    <n v="0"/>
  </r>
  <r>
    <n v="421"/>
    <n v="1725123"/>
    <x v="1"/>
    <x v="4"/>
    <n v="829"/>
    <n v="1.3549502019461E+18"/>
    <n v="0"/>
  </r>
  <r>
    <n v="422"/>
    <n v="1075377"/>
    <x v="6"/>
    <x v="4"/>
    <n v="1004"/>
    <n v="1.3549518412226801E+18"/>
    <n v="0"/>
  </r>
  <r>
    <n v="423"/>
    <n v="1484908"/>
    <x v="5"/>
    <x v="1"/>
    <n v="436"/>
    <n v="1.35495322841744E+18"/>
    <n v="0"/>
  </r>
  <r>
    <n v="424"/>
    <n v="2014450"/>
    <x v="3"/>
    <x v="3"/>
    <n v="1052"/>
    <n v="1.3549548675934001E+18"/>
    <n v="0"/>
  </r>
  <r>
    <n v="425"/>
    <n v="1033055"/>
    <x v="3"/>
    <x v="0"/>
    <n v="663"/>
    <n v="1.3549575134484201E+18"/>
    <n v="0"/>
  </r>
  <r>
    <n v="426"/>
    <n v="611988"/>
    <x v="6"/>
    <x v="0"/>
    <n v="1305"/>
    <n v="1.3549589006557399E+18"/>
    <n v="0"/>
  </r>
  <r>
    <n v="427"/>
    <n v="28428"/>
    <x v="4"/>
    <x v="1"/>
    <n v="1287"/>
    <n v="1.35496053994494E+18"/>
    <n v="0"/>
  </r>
  <r>
    <n v="428"/>
    <n v="535268"/>
    <x v="1"/>
    <x v="3"/>
    <n v="1025"/>
    <n v="1.3549609204018701E+18"/>
    <n v="0"/>
  </r>
  <r>
    <n v="429"/>
    <n v="1485986"/>
    <x v="5"/>
    <x v="2"/>
    <n v="1014"/>
    <n v="1.35496306276846E+18"/>
    <n v="0"/>
  </r>
  <r>
    <n v="430"/>
    <n v="1751519"/>
    <x v="4"/>
    <x v="2"/>
    <n v="1149"/>
    <n v="1.35496495353136E+18"/>
    <n v="0"/>
  </r>
  <r>
    <n v="431"/>
    <n v="1268155"/>
    <x v="3"/>
    <x v="1"/>
    <n v="1153"/>
    <n v="1.3549673477155999E+18"/>
    <n v="0"/>
  </r>
  <r>
    <n v="432"/>
    <n v="1797852"/>
    <x v="2"/>
    <x v="3"/>
    <n v="738"/>
    <n v="1.35496974153907E+18"/>
    <n v="0"/>
  </r>
  <r>
    <n v="433"/>
    <n v="1274755"/>
    <x v="2"/>
    <x v="2"/>
    <n v="447"/>
    <n v="1.3549723873395899E+18"/>
    <n v="0"/>
  </r>
  <r>
    <n v="434"/>
    <n v="1177853"/>
    <x v="5"/>
    <x v="0"/>
    <n v="915"/>
    <n v="1.35497503298914E+18"/>
    <n v="0"/>
  </r>
  <r>
    <n v="435"/>
    <n v="1283643"/>
    <x v="1"/>
    <x v="3"/>
    <n v="806"/>
    <n v="1.3549764205655601E+18"/>
    <n v="0"/>
  </r>
  <r>
    <n v="436"/>
    <n v="257209"/>
    <x v="4"/>
    <x v="0"/>
    <n v="1494"/>
    <n v="1.35497881472035E+18"/>
    <n v="0"/>
  </r>
  <r>
    <n v="437"/>
    <n v="1860629"/>
    <x v="4"/>
    <x v="0"/>
    <n v="454"/>
    <n v="1.35498045373699E+18"/>
    <n v="0"/>
  </r>
  <r>
    <n v="438"/>
    <n v="2022930"/>
    <x v="2"/>
    <x v="4"/>
    <n v="1480"/>
    <n v="1.35498234434465E+18"/>
    <n v="0"/>
  </r>
  <r>
    <n v="439"/>
    <n v="1317553"/>
    <x v="4"/>
    <x v="1"/>
    <n v="1004"/>
    <n v="1.35498473822269E+18"/>
    <n v="0"/>
  </r>
  <r>
    <n v="440"/>
    <n v="530858"/>
    <x v="5"/>
    <x v="1"/>
    <n v="1484"/>
    <n v="1.35498662911123E+18"/>
    <n v="0"/>
  </r>
  <r>
    <n v="441"/>
    <n v="1633306"/>
    <x v="1"/>
    <x v="1"/>
    <n v="1063"/>
    <n v="1.3549882686271201E+18"/>
    <n v="0"/>
  </r>
  <r>
    <n v="442"/>
    <n v="1685476"/>
    <x v="2"/>
    <x v="4"/>
    <n v="1043"/>
    <n v="1.3549896559393001E+18"/>
    <n v="0"/>
  </r>
  <r>
    <n v="443"/>
    <n v="1076931"/>
    <x v="6"/>
    <x v="4"/>
    <n v="532"/>
    <n v="1.35499104362896E+18"/>
    <n v="0"/>
  </r>
  <r>
    <n v="444"/>
    <n v="624552"/>
    <x v="5"/>
    <x v="2"/>
    <n v="456"/>
    <n v="1.3549934372679199E+18"/>
    <n v="0"/>
  </r>
  <r>
    <n v="445"/>
    <n v="1236521"/>
    <x v="0"/>
    <x v="4"/>
    <n v="1006"/>
    <n v="1.35499608315234E+18"/>
    <n v="0"/>
  </r>
  <r>
    <n v="446"/>
    <n v="1039140"/>
    <x v="4"/>
    <x v="4"/>
    <n v="1449"/>
    <n v="1.35499822555249E+18"/>
    <n v="0"/>
  </r>
  <r>
    <n v="447"/>
    <n v="1264901"/>
    <x v="3"/>
    <x v="2"/>
    <n v="857"/>
    <n v="1.3550001164831401E+18"/>
    <n v="0"/>
  </r>
  <r>
    <n v="448"/>
    <n v="1982560"/>
    <x v="4"/>
    <x v="2"/>
    <n v="638"/>
    <n v="1.35500251068832E+18"/>
    <n v="0"/>
  </r>
  <r>
    <n v="449"/>
    <n v="1984382"/>
    <x v="1"/>
    <x v="4"/>
    <n v="991"/>
    <n v="1.35500389768176E+18"/>
    <n v="0"/>
  </r>
  <r>
    <n v="450"/>
    <n v="1408905"/>
    <x v="1"/>
    <x v="3"/>
    <n v="510"/>
    <n v="1.3550055366269901E+18"/>
    <n v="0"/>
  </r>
  <r>
    <n v="451"/>
    <n v="1453299"/>
    <x v="4"/>
    <x v="3"/>
    <n v="749"/>
    <n v="1.35500591710909E+18"/>
    <n v="0"/>
  </r>
  <r>
    <n v="452"/>
    <n v="590512"/>
    <x v="4"/>
    <x v="3"/>
    <n v="882"/>
    <n v="1.3550075561340301E+18"/>
    <n v="0"/>
  </r>
  <r>
    <n v="453"/>
    <n v="1669575"/>
    <x v="0"/>
    <x v="1"/>
    <n v="546"/>
    <n v="1.3550091951967401E+18"/>
    <n v="0"/>
  </r>
  <r>
    <n v="454"/>
    <n v="1509021"/>
    <x v="6"/>
    <x v="4"/>
    <n v="1448"/>
    <n v="1.3550108342426501E+18"/>
    <n v="0"/>
  </r>
  <r>
    <n v="455"/>
    <n v="1985896"/>
    <x v="5"/>
    <x v="0"/>
    <n v="1171"/>
    <n v="1.3550134796657101E+18"/>
    <n v="0"/>
  </r>
  <r>
    <n v="456"/>
    <n v="695150"/>
    <x v="6"/>
    <x v="2"/>
    <n v="871"/>
    <n v="1.35501486686882E+18"/>
    <n v="0"/>
  </r>
  <r>
    <n v="457"/>
    <n v="1856936"/>
    <x v="4"/>
    <x v="3"/>
    <n v="869"/>
    <n v="1.3550170090760499E+18"/>
    <n v="0"/>
  </r>
  <r>
    <n v="458"/>
    <n v="158113"/>
    <x v="0"/>
    <x v="2"/>
    <n v="1414"/>
    <n v="1.3550194031637901E+18"/>
    <n v="0"/>
  </r>
  <r>
    <n v="459"/>
    <n v="524967"/>
    <x v="1"/>
    <x v="0"/>
    <n v="1271"/>
    <n v="1.3550217969034099E+18"/>
    <n v="0"/>
  </r>
  <r>
    <n v="460"/>
    <n v="657152"/>
    <x v="6"/>
    <x v="3"/>
    <n v="927"/>
    <n v="1.3550236877753001E+18"/>
    <n v="0"/>
  </r>
  <r>
    <n v="461"/>
    <n v="1270621"/>
    <x v="6"/>
    <x v="1"/>
    <n v="1415"/>
    <n v="1.3550240680896699E+18"/>
    <n v="0"/>
  </r>
  <r>
    <n v="462"/>
    <n v="974728"/>
    <x v="2"/>
    <x v="4"/>
    <n v="616"/>
    <n v="1.3550262103933599E+18"/>
    <n v="0"/>
  </r>
  <r>
    <n v="463"/>
    <n v="1255052"/>
    <x v="6"/>
    <x v="4"/>
    <n v="1482"/>
    <n v="1.3550283527096399E+18"/>
    <n v="0"/>
  </r>
  <r>
    <n v="464"/>
    <n v="1784027"/>
    <x v="6"/>
    <x v="1"/>
    <n v="1272"/>
    <n v="1.35503099832558E+18"/>
    <n v="0"/>
  </r>
  <r>
    <n v="465"/>
    <n v="2031926"/>
    <x v="2"/>
    <x v="3"/>
    <n v="451"/>
    <n v="1.3550333921407099E+18"/>
    <n v="0"/>
  </r>
  <r>
    <n v="466"/>
    <n v="1601242"/>
    <x v="5"/>
    <x v="4"/>
    <n v="1356"/>
    <n v="1.35503503129152E+18"/>
    <n v="0"/>
  </r>
  <r>
    <n v="467"/>
    <n v="1312547"/>
    <x v="3"/>
    <x v="0"/>
    <n v="1462"/>
    <n v="1.35503692158882E+18"/>
    <n v="0"/>
  </r>
  <r>
    <n v="468"/>
    <n v="1425320"/>
    <x v="2"/>
    <x v="3"/>
    <n v="1041"/>
    <n v="1.3550393155968901E+18"/>
    <n v="0"/>
  </r>
  <r>
    <n v="469"/>
    <n v="1851227"/>
    <x v="0"/>
    <x v="1"/>
    <n v="942"/>
    <n v="1.3550414577831301E+18"/>
    <n v="0"/>
  </r>
  <r>
    <n v="470"/>
    <n v="1359905"/>
    <x v="4"/>
    <x v="3"/>
    <n v="1105"/>
    <n v="1.3550436002797199E+18"/>
    <n v="0"/>
  </r>
  <r>
    <n v="471"/>
    <n v="1785054"/>
    <x v="1"/>
    <x v="4"/>
    <n v="1399"/>
    <n v="1.3550459938935301E+18"/>
    <n v="0"/>
  </r>
  <r>
    <n v="472"/>
    <n v="1317056"/>
    <x v="4"/>
    <x v="1"/>
    <n v="1402"/>
    <n v="1.35504863955985E+18"/>
    <n v="0"/>
  </r>
  <r>
    <n v="473"/>
    <n v="1879452"/>
    <x v="6"/>
    <x v="3"/>
    <n v="1161"/>
    <n v="1.3550500266245701E+18"/>
    <n v="0"/>
  </r>
  <r>
    <n v="474"/>
    <n v="1537393"/>
    <x v="4"/>
    <x v="1"/>
    <n v="529"/>
    <n v="1.35505242049839E+18"/>
    <n v="0"/>
  </r>
  <r>
    <n v="475"/>
    <n v="266174"/>
    <x v="1"/>
    <x v="3"/>
    <n v="791"/>
    <n v="1.35505405946882E+18"/>
    <n v="0"/>
  </r>
  <r>
    <n v="476"/>
    <n v="384117"/>
    <x v="6"/>
    <x v="4"/>
    <n v="1256"/>
    <n v="1.35505645352722E+18"/>
    <n v="0"/>
  </r>
  <r>
    <n v="477"/>
    <n v="299663"/>
    <x v="1"/>
    <x v="0"/>
    <n v="615"/>
    <n v="1.3550585956211699E+18"/>
    <n v="0"/>
  </r>
  <r>
    <n v="478"/>
    <n v="991020"/>
    <x v="5"/>
    <x v="4"/>
    <n v="515"/>
    <n v="1.35506124143009E+18"/>
    <n v="0"/>
  </r>
  <r>
    <n v="479"/>
    <n v="1548176"/>
    <x v="0"/>
    <x v="2"/>
    <n v="1150"/>
    <n v="1.35506338394766E+18"/>
    <n v="0"/>
  </r>
  <r>
    <n v="480"/>
    <n v="2033458"/>
    <x v="1"/>
    <x v="4"/>
    <n v="600"/>
    <n v="1.3550657779096E+18"/>
    <n v="0"/>
  </r>
  <r>
    <n v="481"/>
    <n v="1972693"/>
    <x v="0"/>
    <x v="4"/>
    <n v="1391"/>
    <n v="1.35506766845856E+18"/>
    <n v="0"/>
  </r>
  <r>
    <n v="482"/>
    <n v="128754"/>
    <x v="6"/>
    <x v="3"/>
    <n v="742"/>
    <n v="1.3550700627139899E+18"/>
    <n v="0"/>
  </r>
  <r>
    <n v="483"/>
    <n v="704311"/>
    <x v="1"/>
    <x v="2"/>
    <n v="1487"/>
    <n v="1.3550727086572101E+18"/>
    <n v="0"/>
  </r>
  <r>
    <n v="484"/>
    <n v="1433184"/>
    <x v="4"/>
    <x v="3"/>
    <n v="902"/>
    <n v="1.3550743474430899E+18"/>
    <n v="0"/>
  </r>
  <r>
    <n v="485"/>
    <n v="2058131"/>
    <x v="1"/>
    <x v="3"/>
    <n v="536"/>
    <n v="1.35507699321006E+18"/>
    <n v="0"/>
  </r>
  <r>
    <n v="486"/>
    <n v="1543934"/>
    <x v="2"/>
    <x v="4"/>
    <n v="1024"/>
    <n v="1.35507888405677E+18"/>
    <n v="0"/>
  </r>
  <r>
    <n v="487"/>
    <n v="410716"/>
    <x v="2"/>
    <x v="2"/>
    <n v="1025"/>
    <n v="1.35508102639408E+18"/>
    <n v="0"/>
  </r>
  <r>
    <n v="488"/>
    <n v="1522403"/>
    <x v="0"/>
    <x v="0"/>
    <n v="465"/>
    <n v="1.3550836721484301E+18"/>
    <n v="0"/>
  </r>
  <r>
    <n v="489"/>
    <n v="475063"/>
    <x v="0"/>
    <x v="3"/>
    <n v="1256"/>
    <n v="1.35508405253406E+18"/>
    <n v="0"/>
  </r>
  <r>
    <n v="490"/>
    <n v="1273197"/>
    <x v="4"/>
    <x v="3"/>
    <n v="1090"/>
    <n v="1.3550861949970801E+18"/>
    <n v="0"/>
  </r>
  <r>
    <n v="491"/>
    <n v="893493"/>
    <x v="4"/>
    <x v="0"/>
    <n v="1468"/>
    <n v="1.3550883372295301E+18"/>
    <n v="0"/>
  </r>
  <r>
    <n v="492"/>
    <n v="1087872"/>
    <x v="4"/>
    <x v="0"/>
    <n v="795"/>
    <n v="1.3550904795457999E+18"/>
    <n v="0"/>
  </r>
  <r>
    <n v="493"/>
    <n v="1798299"/>
    <x v="0"/>
    <x v="3"/>
    <n v="1207"/>
    <n v="1.35509287356642E+18"/>
    <n v="0"/>
  </r>
  <r>
    <n v="494"/>
    <n v="461400"/>
    <x v="2"/>
    <x v="1"/>
    <n v="1036"/>
    <n v="1.35509526715086E+18"/>
    <n v="0"/>
  </r>
  <r>
    <n v="495"/>
    <n v="250664"/>
    <x v="5"/>
    <x v="1"/>
    <n v="1459"/>
    <n v="1.35509766133507E+18"/>
    <n v="0"/>
  </r>
  <r>
    <n v="496"/>
    <n v="946522"/>
    <x v="0"/>
    <x v="4"/>
    <n v="535"/>
    <n v="1.3551000554564101E+18"/>
    <n v="0"/>
  </r>
  <r>
    <n v="497"/>
    <n v="2043631"/>
    <x v="2"/>
    <x v="3"/>
    <n v="435"/>
    <n v="1.3551016942716401E+18"/>
    <n v="0"/>
  </r>
  <r>
    <n v="498"/>
    <n v="1201908"/>
    <x v="5"/>
    <x v="1"/>
    <n v="561"/>
    <n v="1.35510333342242E+18"/>
    <n v="0"/>
  </r>
  <r>
    <n v="499"/>
    <n v="299315"/>
    <x v="3"/>
    <x v="1"/>
    <n v="644"/>
    <n v="1.3551054758728699E+18"/>
    <n v="0"/>
  </r>
  <r>
    <n v="500"/>
    <n v="743355"/>
    <x v="5"/>
    <x v="2"/>
    <n v="1146"/>
    <n v="1.3551076182772201E+18"/>
    <n v="0"/>
  </r>
  <r>
    <n v="501"/>
    <n v="766225"/>
    <x v="0"/>
    <x v="4"/>
    <n v="917"/>
    <n v="1.35510950896882E+18"/>
    <n v="0"/>
  </r>
  <r>
    <n v="502"/>
    <n v="1172020"/>
    <x v="3"/>
    <x v="4"/>
    <n v="486"/>
    <n v="1.35510988946349E+18"/>
    <n v="0"/>
  </r>
  <r>
    <n v="503"/>
    <n v="1135599"/>
    <x v="0"/>
    <x v="1"/>
    <n v="905"/>
    <n v="1.3551117803983301E+18"/>
    <n v="0"/>
  </r>
  <r>
    <n v="504"/>
    <n v="355099"/>
    <x v="6"/>
    <x v="4"/>
    <n v="918"/>
    <n v="1.3551136708298099E+18"/>
    <n v="0"/>
  </r>
  <r>
    <n v="505"/>
    <n v="84653"/>
    <x v="2"/>
    <x v="1"/>
    <n v="1170"/>
    <n v="1.35511505849438E+18"/>
    <n v="0"/>
  </r>
  <r>
    <n v="506"/>
    <n v="1639923"/>
    <x v="0"/>
    <x v="0"/>
    <n v="681"/>
    <n v="1.3551169489804301E+18"/>
    <n v="0"/>
  </r>
  <r>
    <n v="507"/>
    <n v="156269"/>
    <x v="3"/>
    <x v="2"/>
    <n v="926"/>
    <n v="1.35511883974751E+18"/>
    <n v="0"/>
  </r>
  <r>
    <n v="508"/>
    <n v="884450"/>
    <x v="5"/>
    <x v="4"/>
    <n v="705"/>
    <n v="1.35512073015806E+18"/>
    <n v="0"/>
  </r>
  <r>
    <n v="509"/>
    <n v="339798"/>
    <x v="3"/>
    <x v="1"/>
    <n v="477"/>
    <n v="1.35512287267565E+18"/>
    <n v="0"/>
  </r>
  <r>
    <n v="510"/>
    <n v="416506"/>
    <x v="6"/>
    <x v="2"/>
    <n v="1253"/>
    <n v="1.35512451186001E+18"/>
    <n v="0"/>
  </r>
  <r>
    <n v="511"/>
    <n v="1196065"/>
    <x v="4"/>
    <x v="2"/>
    <n v="1236"/>
    <n v="1.3551271575263201E+18"/>
    <n v="0"/>
  </r>
  <r>
    <n v="512"/>
    <n v="1711120"/>
    <x v="3"/>
    <x v="0"/>
    <n v="1120"/>
    <n v="1.35512980329326E+18"/>
    <n v="0"/>
  </r>
  <r>
    <n v="513"/>
    <n v="348479"/>
    <x v="5"/>
    <x v="1"/>
    <n v="1032"/>
    <n v="1.3551319456850199E+18"/>
    <n v="0"/>
  </r>
  <r>
    <n v="514"/>
    <n v="1798575"/>
    <x v="0"/>
    <x v="3"/>
    <n v="893"/>
    <n v="1.3551338364101601E+18"/>
    <n v="0"/>
  </r>
  <r>
    <n v="515"/>
    <n v="226260"/>
    <x v="2"/>
    <x v="4"/>
    <n v="1188"/>
    <n v="1.3551357269004301E+18"/>
    <n v="0"/>
  </r>
  <r>
    <n v="516"/>
    <n v="1670169"/>
    <x v="0"/>
    <x v="1"/>
    <n v="1377"/>
    <n v="1.3551378693257201E+18"/>
    <n v="0"/>
  </r>
  <r>
    <n v="517"/>
    <n v="1503042"/>
    <x v="5"/>
    <x v="0"/>
    <n v="484"/>
    <n v="1.3551392569441201E+18"/>
    <n v="0"/>
  </r>
  <r>
    <n v="518"/>
    <n v="1264037"/>
    <x v="3"/>
    <x v="4"/>
    <n v="716"/>
    <n v="1.3551406441472399E+18"/>
    <n v="0"/>
  </r>
  <r>
    <n v="519"/>
    <n v="117650"/>
    <x v="6"/>
    <x v="3"/>
    <n v="1214"/>
    <n v="1.35514102462931E+18"/>
    <n v="0"/>
  </r>
  <r>
    <n v="520"/>
    <n v="253837"/>
    <x v="0"/>
    <x v="0"/>
    <n v="1002"/>
    <n v="1.3551434182976499E+18"/>
    <n v="0"/>
  </r>
  <r>
    <n v="521"/>
    <n v="1849735"/>
    <x v="6"/>
    <x v="1"/>
    <n v="555"/>
    <n v="1.3551455604376901E+18"/>
    <n v="0"/>
  </r>
  <r>
    <n v="522"/>
    <n v="2015001"/>
    <x v="6"/>
    <x v="2"/>
    <n v="1108"/>
    <n v="1.35514594095341E+18"/>
    <n v="0"/>
  </r>
  <r>
    <n v="523"/>
    <n v="1864824"/>
    <x v="0"/>
    <x v="4"/>
    <n v="834"/>
    <n v="1.3551483350453399E+18"/>
    <n v="0"/>
  </r>
  <r>
    <n v="524"/>
    <n v="173157"/>
    <x v="2"/>
    <x v="4"/>
    <n v="1106"/>
    <n v="1.3551504773742001E+18"/>
    <n v="0"/>
  </r>
  <r>
    <n v="525"/>
    <n v="882979"/>
    <x v="1"/>
    <x v="4"/>
    <n v="472"/>
    <n v="1.35515186482062E+18"/>
    <n v="0"/>
  </r>
  <r>
    <n v="526"/>
    <n v="737256"/>
    <x v="6"/>
    <x v="2"/>
    <n v="609"/>
    <n v="1.3551535040217101E+18"/>
    <n v="0"/>
  </r>
  <r>
    <n v="527"/>
    <n v="419410"/>
    <x v="1"/>
    <x v="4"/>
    <n v="814"/>
    <n v="1.3551561499522701E+18"/>
    <n v="0"/>
  </r>
  <r>
    <n v="528"/>
    <n v="940990"/>
    <x v="4"/>
    <x v="1"/>
    <n v="1277"/>
    <n v="1.35515778888913E+18"/>
    <n v="0"/>
  </r>
  <r>
    <n v="529"/>
    <n v="1655629"/>
    <x v="4"/>
    <x v="1"/>
    <n v="887"/>
    <n v="1.35515942797282E+18"/>
    <n v="0"/>
  </r>
  <r>
    <n v="530"/>
    <n v="1964572"/>
    <x v="5"/>
    <x v="1"/>
    <n v="962"/>
    <n v="1.3551610672325701E+18"/>
    <n v="0"/>
  </r>
  <r>
    <n v="531"/>
    <n v="888828"/>
    <x v="4"/>
    <x v="4"/>
    <n v="586"/>
    <n v="1.3551632095656699E+18"/>
    <n v="0"/>
  </r>
  <r>
    <n v="532"/>
    <n v="1272406"/>
    <x v="6"/>
    <x v="0"/>
    <n v="619"/>
    <n v="1.3551658553535401E+18"/>
    <n v="0"/>
  </r>
  <r>
    <n v="533"/>
    <n v="1651410"/>
    <x v="0"/>
    <x v="1"/>
    <n v="1111"/>
    <n v="1.3551674944121001E+18"/>
    <n v="0"/>
  </r>
  <r>
    <n v="534"/>
    <n v="167029"/>
    <x v="1"/>
    <x v="1"/>
    <n v="1345"/>
    <n v="1.35517014009518E+18"/>
    <n v="0"/>
  </r>
  <r>
    <n v="535"/>
    <n v="686887"/>
    <x v="3"/>
    <x v="0"/>
    <n v="620"/>
    <n v="1.35517278556018E+18"/>
    <n v="0"/>
  </r>
  <r>
    <n v="536"/>
    <n v="488520"/>
    <x v="0"/>
    <x v="1"/>
    <n v="1021"/>
    <n v="1.3551731660674099E+18"/>
    <n v="0"/>
  </r>
  <r>
    <n v="537"/>
    <n v="2019057"/>
    <x v="6"/>
    <x v="3"/>
    <n v="760"/>
    <n v="1.35517581177149E+18"/>
    <n v="0"/>
  </r>
  <r>
    <n v="538"/>
    <n v="1933574"/>
    <x v="1"/>
    <x v="1"/>
    <n v="848"/>
    <n v="1.3551779538570601E+18"/>
    <n v="0"/>
  </r>
  <r>
    <n v="539"/>
    <n v="1210384"/>
    <x v="0"/>
    <x v="2"/>
    <n v="1077"/>
    <n v="1.35518059958206E+18"/>
    <n v="0"/>
  </r>
  <r>
    <n v="540"/>
    <n v="1421072"/>
    <x v="5"/>
    <x v="1"/>
    <n v="1382"/>
    <n v="1.35518223876642E+18"/>
    <n v="0"/>
  </r>
  <r>
    <n v="541"/>
    <n v="1758687"/>
    <x v="3"/>
    <x v="0"/>
    <n v="1329"/>
    <n v="1.3551841296341299E+18"/>
    <n v="0"/>
  </r>
  <r>
    <n v="542"/>
    <n v="1178820"/>
    <x v="1"/>
    <x v="2"/>
    <n v="899"/>
    <n v="1.3551844697544399E+18"/>
    <n v="0"/>
  </r>
  <r>
    <n v="543"/>
    <n v="173236"/>
    <x v="2"/>
    <x v="0"/>
    <n v="400"/>
    <n v="1.3551864085546299E+18"/>
    <n v="0"/>
  </r>
  <r>
    <n v="544"/>
    <n v="1809399"/>
    <x v="3"/>
    <x v="1"/>
    <n v="870"/>
    <n v="1.3551872927349399E+18"/>
    <n v="0"/>
  </r>
  <r>
    <n v="545"/>
    <n v="193043"/>
    <x v="5"/>
    <x v="3"/>
    <n v="993"/>
    <n v="1.3551876732044001E+18"/>
    <n v="0"/>
  </r>
  <r>
    <n v="546"/>
    <n v="390003"/>
    <x v="3"/>
    <x v="0"/>
    <n v="1006"/>
    <n v="1.3551885570323899E+18"/>
    <n v="0"/>
  </r>
  <r>
    <n v="547"/>
    <n v="691554"/>
    <x v="4"/>
    <x v="0"/>
    <n v="497"/>
    <n v="1.3551899444620201E+18"/>
    <n v="0"/>
  </r>
  <r>
    <n v="548"/>
    <n v="1628688"/>
    <x v="2"/>
    <x v="3"/>
    <n v="450"/>
    <n v="1.3551908284115699E+18"/>
    <n v="0"/>
  </r>
  <r>
    <n v="549"/>
    <n v="803131"/>
    <x v="3"/>
    <x v="4"/>
    <n v="456"/>
    <n v="1.35519221573635E+18"/>
    <n v="0"/>
  </r>
  <r>
    <n v="550"/>
    <n v="1803030"/>
    <x v="5"/>
    <x v="3"/>
    <n v="1074"/>
    <n v="1.3551936033463401E+18"/>
    <n v="0"/>
  </r>
  <r>
    <n v="551"/>
    <n v="402339"/>
    <x v="3"/>
    <x v="0"/>
    <n v="1157"/>
    <n v="1.35519423583059E+18"/>
    <n v="0"/>
  </r>
  <r>
    <n v="552"/>
    <n v="447750"/>
    <x v="3"/>
    <x v="0"/>
    <n v="1223"/>
    <n v="1.3551956234573399E+18"/>
    <n v="0"/>
  </r>
  <r>
    <n v="553"/>
    <n v="1857710"/>
    <x v="5"/>
    <x v="3"/>
    <n v="1372"/>
    <n v="1.3551970108618399E+18"/>
    <n v="0"/>
  </r>
  <r>
    <n v="554"/>
    <n v="794800"/>
    <x v="1"/>
    <x v="4"/>
    <n v="1249"/>
    <n v="1.3551983978845901E+18"/>
    <n v="0"/>
  </r>
  <r>
    <n v="555"/>
    <n v="1551670"/>
    <x v="0"/>
    <x v="2"/>
    <n v="519"/>
    <n v="1.35519978549038E+18"/>
    <n v="0"/>
  </r>
  <r>
    <n v="556"/>
    <n v="1508370"/>
    <x v="0"/>
    <x v="2"/>
    <n v="1128"/>
    <n v="1.35520066924703E+18"/>
    <n v="0"/>
  </r>
  <r>
    <n v="557"/>
    <n v="41428"/>
    <x v="6"/>
    <x v="0"/>
    <n v="1435"/>
    <n v="1.3552018049471201E+18"/>
    <n v="0"/>
  </r>
  <r>
    <n v="558"/>
    <n v="388748"/>
    <x v="4"/>
    <x v="4"/>
    <n v="789"/>
    <n v="1.3552029405045701E+18"/>
    <n v="0"/>
  </r>
  <r>
    <n v="559"/>
    <n v="1325037"/>
    <x v="3"/>
    <x v="0"/>
    <n v="884"/>
    <n v="1.3552040759404301E+18"/>
    <n v="0"/>
  </r>
  <r>
    <n v="560"/>
    <n v="422565"/>
    <x v="6"/>
    <x v="3"/>
    <n v="1264"/>
    <n v="1.3552047082946501E+18"/>
    <n v="0"/>
  </r>
  <r>
    <n v="561"/>
    <n v="619957"/>
    <x v="5"/>
    <x v="4"/>
    <n v="1036"/>
    <n v="1.3552060957829399E+18"/>
    <n v="0"/>
  </r>
  <r>
    <n v="562"/>
    <n v="545002"/>
    <x v="3"/>
    <x v="3"/>
    <n v="883"/>
    <n v="1.3552074830113001E+18"/>
    <n v="0"/>
  </r>
  <r>
    <n v="563"/>
    <n v="451115"/>
    <x v="5"/>
    <x v="3"/>
    <n v="539"/>
    <n v="1.3552103873109701E+18"/>
    <n v="0"/>
  </r>
  <r>
    <n v="564"/>
    <n v="972672"/>
    <x v="0"/>
    <x v="1"/>
    <n v="1159"/>
    <n v="1.35521177478255E+18"/>
    <n v="0"/>
  </r>
  <r>
    <n v="565"/>
    <n v="290286"/>
    <x v="4"/>
    <x v="1"/>
    <n v="722"/>
    <n v="1.3552129104994199E+18"/>
    <n v="0"/>
  </r>
  <r>
    <n v="566"/>
    <n v="543437"/>
    <x v="2"/>
    <x v="4"/>
    <n v="869"/>
    <n v="1.35521329104015E+18"/>
    <n v="0"/>
  </r>
  <r>
    <n v="567"/>
    <n v="195259"/>
    <x v="4"/>
    <x v="3"/>
    <n v="553"/>
    <n v="1.3552144266395699E+18"/>
    <n v="0"/>
  </r>
  <r>
    <n v="568"/>
    <n v="425861"/>
    <x v="4"/>
    <x v="2"/>
    <n v="631"/>
    <n v="1.3552155625158799E+18"/>
    <n v="0"/>
  </r>
  <r>
    <n v="569"/>
    <n v="1241797"/>
    <x v="4"/>
    <x v="0"/>
    <n v="832"/>
    <n v="1.3552169500461599E+18"/>
    <n v="0"/>
  </r>
  <r>
    <n v="570"/>
    <n v="846491"/>
    <x v="4"/>
    <x v="4"/>
    <n v="909"/>
    <n v="1.3552175824801001E+18"/>
    <n v="0"/>
  </r>
  <r>
    <n v="571"/>
    <n v="254225"/>
    <x v="3"/>
    <x v="2"/>
    <n v="1403"/>
    <n v="1.3552187185534799E+18"/>
    <n v="0"/>
  </r>
  <r>
    <n v="572"/>
    <n v="390270"/>
    <x v="3"/>
    <x v="1"/>
    <n v="1457"/>
    <n v="1.3552196025953101E+18"/>
    <n v="0"/>
  </r>
  <r>
    <n v="573"/>
    <n v="1715383"/>
    <x v="1"/>
    <x v="2"/>
    <n v="812"/>
    <n v="1.3552207383960801E+18"/>
    <n v="0"/>
  </r>
  <r>
    <n v="574"/>
    <n v="60757"/>
    <x v="5"/>
    <x v="3"/>
    <n v="643"/>
    <n v="1.3552221258005199E+18"/>
    <n v="0"/>
  </r>
  <r>
    <n v="690"/>
    <n v="1558030"/>
    <x v="2"/>
    <x v="2"/>
    <n v="1195"/>
    <n v="1.3553337405794401E+18"/>
    <n v="0"/>
  </r>
  <r>
    <n v="575"/>
    <n v="1707766"/>
    <x v="6"/>
    <x v="1"/>
    <n v="1406"/>
    <n v="1.3552235133517801E+18"/>
    <n v="0"/>
  </r>
  <r>
    <n v="576"/>
    <n v="709875"/>
    <x v="2"/>
    <x v="4"/>
    <n v="1092"/>
    <n v="1.35522464914832E+18"/>
    <n v="0"/>
  </r>
  <r>
    <n v="577"/>
    <n v="483009"/>
    <x v="6"/>
    <x v="4"/>
    <n v="1256"/>
    <n v="1.3552255332866299E+18"/>
    <n v="0"/>
  </r>
  <r>
    <n v="578"/>
    <n v="476487"/>
    <x v="0"/>
    <x v="4"/>
    <n v="901"/>
    <n v="1.35522692072049E+18"/>
    <n v="0"/>
  </r>
  <r>
    <n v="579"/>
    <n v="2029413"/>
    <x v="3"/>
    <x v="1"/>
    <n v="869"/>
    <n v="1.35522755321726E+18"/>
    <n v="0"/>
  </r>
  <r>
    <n v="580"/>
    <n v="1238737"/>
    <x v="5"/>
    <x v="4"/>
    <n v="952"/>
    <n v="1.35522843724658E+18"/>
    <n v="0"/>
  </r>
  <r>
    <n v="581"/>
    <n v="1341467"/>
    <x v="6"/>
    <x v="2"/>
    <n v="1427"/>
    <n v="1.3552298247558799E+18"/>
    <n v="0"/>
  </r>
  <r>
    <n v="582"/>
    <n v="1722615"/>
    <x v="1"/>
    <x v="3"/>
    <n v="609"/>
    <n v="1.35523070872222E+18"/>
    <n v="0"/>
  </r>
  <r>
    <n v="583"/>
    <n v="1474921"/>
    <x v="6"/>
    <x v="2"/>
    <n v="491"/>
    <n v="1.3552315928437701E+18"/>
    <n v="0"/>
  </r>
  <r>
    <n v="584"/>
    <n v="394363"/>
    <x v="3"/>
    <x v="1"/>
    <n v="416"/>
    <n v="1.3552324768730299E+18"/>
    <n v="0"/>
  </r>
  <r>
    <n v="585"/>
    <n v="1929127"/>
    <x v="3"/>
    <x v="2"/>
    <n v="1027"/>
    <n v="1.3552333612588001E+18"/>
    <n v="0"/>
  </r>
  <r>
    <n v="586"/>
    <n v="1758772"/>
    <x v="1"/>
    <x v="4"/>
    <n v="1150"/>
    <n v="1.3552339935458801E+18"/>
    <n v="0"/>
  </r>
  <r>
    <n v="587"/>
    <n v="1299806"/>
    <x v="3"/>
    <x v="2"/>
    <n v="1012"/>
    <n v="1.35523538107203E+18"/>
    <n v="0"/>
  </r>
  <r>
    <n v="588"/>
    <n v="2008041"/>
    <x v="6"/>
    <x v="0"/>
    <n v="1111"/>
    <n v="1.35523626533199E+18"/>
    <n v="0"/>
  </r>
  <r>
    <n v="589"/>
    <n v="1520718"/>
    <x v="4"/>
    <x v="2"/>
    <n v="1446"/>
    <n v="1.35523689765267E+18"/>
    <n v="0"/>
  </r>
  <r>
    <n v="590"/>
    <n v="1640528"/>
    <x v="0"/>
    <x v="2"/>
    <n v="1246"/>
    <n v="1.35523753016211E+18"/>
    <n v="0"/>
  </r>
  <r>
    <n v="591"/>
    <n v="1184144"/>
    <x v="2"/>
    <x v="3"/>
    <n v="1234"/>
    <n v="1.35523866608449E+18"/>
    <n v="0"/>
  </r>
  <r>
    <n v="592"/>
    <n v="10638"/>
    <x v="0"/>
    <x v="1"/>
    <n v="1288"/>
    <n v="1.3552400536399601E+18"/>
    <n v="0"/>
  </r>
  <r>
    <n v="593"/>
    <n v="958782"/>
    <x v="5"/>
    <x v="1"/>
    <n v="1446"/>
    <n v="1.35524118927713E+18"/>
    <n v="0"/>
  </r>
  <r>
    <n v="594"/>
    <n v="689274"/>
    <x v="2"/>
    <x v="2"/>
    <n v="812"/>
    <n v="1.3552425762831099E+18"/>
    <n v="0"/>
  </r>
  <r>
    <n v="595"/>
    <n v="1286190"/>
    <x v="0"/>
    <x v="2"/>
    <n v="1040"/>
    <n v="1.35524346024944E+18"/>
    <n v="0"/>
  </r>
  <r>
    <n v="596"/>
    <n v="1017080"/>
    <x v="6"/>
    <x v="3"/>
    <n v="1132"/>
    <n v="1.3552448478467899E+18"/>
    <n v="0"/>
  </r>
  <r>
    <n v="597"/>
    <n v="1137902"/>
    <x v="6"/>
    <x v="0"/>
    <n v="914"/>
    <n v="1.3552459832072E+18"/>
    <n v="0"/>
  </r>
  <r>
    <n v="598"/>
    <n v="14679"/>
    <x v="1"/>
    <x v="1"/>
    <n v="530"/>
    <n v="1.35524737069137E+18"/>
    <n v="0"/>
  </r>
  <r>
    <n v="599"/>
    <n v="436104"/>
    <x v="2"/>
    <x v="4"/>
    <n v="663"/>
    <n v="1.35524800330145E+18"/>
    <n v="0"/>
  </r>
  <r>
    <n v="600"/>
    <n v="285721"/>
    <x v="1"/>
    <x v="2"/>
    <n v="1421"/>
    <n v="1.3552486358108201E+18"/>
    <n v="0"/>
  </r>
  <r>
    <n v="601"/>
    <n v="985820"/>
    <x v="0"/>
    <x v="3"/>
    <n v="982"/>
    <n v="1.3552495199156301E+18"/>
    <n v="0"/>
  </r>
  <r>
    <n v="602"/>
    <n v="2063031"/>
    <x v="0"/>
    <x v="2"/>
    <n v="793"/>
    <n v="1.35525040420496E+18"/>
    <n v="0"/>
  </r>
  <r>
    <n v="603"/>
    <n v="982807"/>
    <x v="4"/>
    <x v="2"/>
    <n v="1057"/>
    <n v="1.35525153997633E+18"/>
    <n v="0"/>
  </r>
  <r>
    <n v="604"/>
    <n v="683234"/>
    <x v="5"/>
    <x v="4"/>
    <n v="1402"/>
    <n v="1.35525292762399E+18"/>
    <n v="0"/>
  </r>
  <r>
    <n v="605"/>
    <n v="418324"/>
    <x v="3"/>
    <x v="2"/>
    <n v="1302"/>
    <n v="1.35525431512498E+18"/>
    <n v="0"/>
  </r>
  <r>
    <n v="606"/>
    <n v="73749"/>
    <x v="3"/>
    <x v="3"/>
    <n v="848"/>
    <n v="1.3552549476805701E+18"/>
    <n v="0"/>
  </r>
  <r>
    <n v="607"/>
    <n v="2090811"/>
    <x v="4"/>
    <x v="3"/>
    <n v="1099"/>
    <n v="1.35525608350227E+18"/>
    <n v="0"/>
  </r>
  <r>
    <n v="608"/>
    <n v="2014549"/>
    <x v="6"/>
    <x v="1"/>
    <n v="1316"/>
    <n v="1.3552574708102799E+18"/>
    <n v="0"/>
  </r>
  <r>
    <n v="609"/>
    <n v="949571"/>
    <x v="0"/>
    <x v="0"/>
    <n v="1152"/>
    <n v="1.3552581034077901E+18"/>
    <n v="0"/>
  </r>
  <r>
    <n v="610"/>
    <n v="576975"/>
    <x v="2"/>
    <x v="1"/>
    <n v="943"/>
    <n v="1.3552587359381801E+18"/>
    <n v="0"/>
  </r>
  <r>
    <n v="611"/>
    <n v="2074730"/>
    <x v="3"/>
    <x v="1"/>
    <n v="1193"/>
    <n v="1.3552596201226099E+18"/>
    <n v="0"/>
  </r>
  <r>
    <n v="612"/>
    <n v="1529037"/>
    <x v="4"/>
    <x v="3"/>
    <n v="425"/>
    <n v="1.3552600007221601E+18"/>
    <n v="0"/>
  </r>
  <r>
    <n v="613"/>
    <n v="671828"/>
    <x v="6"/>
    <x v="0"/>
    <n v="1162"/>
    <n v="1.3552606331938401E+18"/>
    <n v="0"/>
  </r>
  <r>
    <n v="614"/>
    <n v="1786181"/>
    <x v="4"/>
    <x v="4"/>
    <n v="745"/>
    <n v="1.35526151731537E+18"/>
    <n v="0"/>
  </r>
  <r>
    <n v="615"/>
    <n v="28709"/>
    <x v="2"/>
    <x v="4"/>
    <n v="845"/>
    <n v="1.35526214948925E+18"/>
    <n v="0"/>
  </r>
  <r>
    <n v="616"/>
    <n v="2011208"/>
    <x v="5"/>
    <x v="1"/>
    <n v="1245"/>
    <n v="1.3552632851474299E+18"/>
    <n v="0"/>
  </r>
  <r>
    <n v="617"/>
    <n v="118082"/>
    <x v="2"/>
    <x v="2"/>
    <n v="1178"/>
    <n v="1.3552644207216499E+18"/>
    <n v="0"/>
  </r>
  <r>
    <n v="618"/>
    <n v="739166"/>
    <x v="4"/>
    <x v="1"/>
    <n v="1022"/>
    <n v="1.3552650531933499E+18"/>
    <n v="0"/>
  </r>
  <r>
    <n v="619"/>
    <n v="1148363"/>
    <x v="6"/>
    <x v="2"/>
    <n v="1202"/>
    <n v="1.3552661887550001E+18"/>
    <n v="0"/>
  </r>
  <r>
    <n v="620"/>
    <n v="1482559"/>
    <x v="2"/>
    <x v="3"/>
    <n v="1162"/>
    <n v="1.3552673247361201E+18"/>
    <n v="0"/>
  </r>
  <r>
    <n v="621"/>
    <n v="229637"/>
    <x v="5"/>
    <x v="1"/>
    <n v="874"/>
    <n v="1.3552679571071201E+18"/>
    <n v="0"/>
  </r>
  <r>
    <n v="622"/>
    <n v="1787835"/>
    <x v="0"/>
    <x v="3"/>
    <n v="1143"/>
    <n v="1.35526884132512E+18"/>
    <n v="0"/>
  </r>
  <r>
    <n v="623"/>
    <n v="244761"/>
    <x v="5"/>
    <x v="1"/>
    <n v="1153"/>
    <n v="1.3552699770797599E+18"/>
    <n v="0"/>
  </r>
  <r>
    <n v="624"/>
    <n v="572506"/>
    <x v="0"/>
    <x v="3"/>
    <n v="593"/>
    <n v="1.35527086102931E+18"/>
    <n v="0"/>
  </r>
  <r>
    <n v="625"/>
    <n v="568169"/>
    <x v="4"/>
    <x v="4"/>
    <n v="1489"/>
    <n v="1.35527174520531E+18"/>
    <n v="0"/>
  </r>
  <r>
    <n v="626"/>
    <n v="336481"/>
    <x v="6"/>
    <x v="0"/>
    <n v="679"/>
    <n v="1.3552726294737101E+18"/>
    <n v="0"/>
  </r>
  <r>
    <n v="627"/>
    <n v="335588"/>
    <x v="0"/>
    <x v="1"/>
    <n v="996"/>
    <n v="1.3552737652702799E+18"/>
    <n v="0"/>
  </r>
  <r>
    <n v="628"/>
    <n v="924494"/>
    <x v="2"/>
    <x v="0"/>
    <n v="949"/>
    <n v="1.3552743978216499E+18"/>
    <n v="0"/>
  </r>
  <r>
    <n v="629"/>
    <n v="123935"/>
    <x v="2"/>
    <x v="3"/>
    <n v="637"/>
    <n v="1.3552757852722401E+18"/>
    <n v="0"/>
  </r>
  <r>
    <n v="630"/>
    <n v="1042357"/>
    <x v="6"/>
    <x v="3"/>
    <n v="682"/>
    <n v="1.3552771723915E+18"/>
    <n v="0"/>
  </r>
  <r>
    <n v="631"/>
    <n v="1957435"/>
    <x v="1"/>
    <x v="4"/>
    <n v="1321"/>
    <n v="1.3552778047415199E+18"/>
    <n v="0"/>
  </r>
  <r>
    <n v="632"/>
    <n v="456899"/>
    <x v="2"/>
    <x v="1"/>
    <n v="515"/>
    <n v="1.3552789403829E+18"/>
    <n v="0"/>
  </r>
  <r>
    <n v="633"/>
    <n v="1342029"/>
    <x v="6"/>
    <x v="3"/>
    <n v="1001"/>
    <n v="1.35528007628849E+18"/>
    <n v="0"/>
  </r>
  <r>
    <n v="634"/>
    <n v="221895"/>
    <x v="3"/>
    <x v="2"/>
    <n v="985"/>
    <n v="1.35528070934738E+18"/>
    <n v="0"/>
  </r>
  <r>
    <n v="635"/>
    <n v="845695"/>
    <x v="6"/>
    <x v="2"/>
    <n v="1318"/>
    <n v="1.3552818453536399E+18"/>
    <n v="0"/>
  </r>
  <r>
    <n v="636"/>
    <n v="1417431"/>
    <x v="5"/>
    <x v="4"/>
    <n v="1294"/>
    <n v="1.35528247787568E+18"/>
    <n v="0"/>
  </r>
  <r>
    <n v="637"/>
    <n v="71440"/>
    <x v="2"/>
    <x v="0"/>
    <n v="1024"/>
    <n v="1.35528336202656E+18"/>
    <n v="0"/>
  </r>
  <r>
    <n v="638"/>
    <n v="844393"/>
    <x v="0"/>
    <x v="2"/>
    <n v="1161"/>
    <n v="1.35528449771405E+18"/>
    <n v="0"/>
  </r>
  <r>
    <n v="639"/>
    <n v="195395"/>
    <x v="1"/>
    <x v="1"/>
    <n v="1370"/>
    <n v="1.3552851300934001E+18"/>
    <n v="0"/>
  </r>
  <r>
    <n v="640"/>
    <n v="1400261"/>
    <x v="3"/>
    <x v="2"/>
    <n v="904"/>
    <n v="1.35528551049587E+18"/>
    <n v="0"/>
  </r>
  <r>
    <n v="641"/>
    <n v="1124916"/>
    <x v="4"/>
    <x v="1"/>
    <n v="874"/>
    <n v="1.3552866462924201E+18"/>
    <n v="0"/>
  </r>
  <r>
    <n v="642"/>
    <n v="1089655"/>
    <x v="0"/>
    <x v="1"/>
    <n v="921"/>
    <n v="1.35528778210992E+18"/>
    <n v="0"/>
  </r>
  <r>
    <n v="643"/>
    <n v="155844"/>
    <x v="5"/>
    <x v="2"/>
    <n v="1114"/>
    <n v="1.3552884144306501E+18"/>
    <n v="0"/>
  </r>
  <r>
    <n v="644"/>
    <n v="1747424"/>
    <x v="1"/>
    <x v="1"/>
    <n v="1487"/>
    <n v="1.3552890470407401E+18"/>
    <n v="0"/>
  </r>
  <r>
    <n v="645"/>
    <n v="1196792"/>
    <x v="0"/>
    <x v="4"/>
    <n v="812"/>
    <n v="1.3552896794704499E+18"/>
    <n v="0"/>
  </r>
  <r>
    <n v="646"/>
    <n v="399127"/>
    <x v="4"/>
    <x v="1"/>
    <n v="461"/>
    <n v="1.35529081544736E+18"/>
    <n v="0"/>
  </r>
  <r>
    <n v="647"/>
    <n v="1746646"/>
    <x v="2"/>
    <x v="1"/>
    <n v="528"/>
    <n v="1.35529220285602E+18"/>
    <n v="0"/>
  </r>
  <r>
    <n v="648"/>
    <n v="964845"/>
    <x v="2"/>
    <x v="1"/>
    <n v="712"/>
    <n v="1.35529308670912E+18"/>
    <n v="0"/>
  </r>
  <r>
    <n v="649"/>
    <n v="2052354"/>
    <x v="5"/>
    <x v="4"/>
    <n v="1093"/>
    <n v="1.3552937193192399E+18"/>
    <n v="0"/>
  </r>
  <r>
    <n v="650"/>
    <n v="1362619"/>
    <x v="2"/>
    <x v="0"/>
    <n v="754"/>
    <n v="1.3552943518538299E+18"/>
    <n v="0"/>
  </r>
  <r>
    <n v="651"/>
    <n v="1566727"/>
    <x v="0"/>
    <x v="3"/>
    <n v="1274"/>
    <n v="1.3552954876839301E+18"/>
    <n v="0"/>
  </r>
  <r>
    <n v="652"/>
    <n v="1625560"/>
    <x v="6"/>
    <x v="2"/>
    <n v="577"/>
    <n v="1.3552961204492001E+18"/>
    <n v="0"/>
  </r>
  <r>
    <n v="653"/>
    <n v="764727"/>
    <x v="1"/>
    <x v="3"/>
    <n v="952"/>
    <n v="1.35529750790818E+18"/>
    <n v="0"/>
  </r>
  <r>
    <n v="654"/>
    <n v="1977520"/>
    <x v="6"/>
    <x v="1"/>
    <n v="1246"/>
    <n v="1.3552981398933299E+18"/>
    <n v="0"/>
  </r>
  <r>
    <n v="655"/>
    <n v="43414"/>
    <x v="3"/>
    <x v="1"/>
    <n v="653"/>
    <n v="1.3552985202957299E+18"/>
    <n v="0"/>
  </r>
  <r>
    <n v="656"/>
    <n v="752889"/>
    <x v="6"/>
    <x v="2"/>
    <n v="830"/>
    <n v="1.35529940418239E+18"/>
    <n v="0"/>
  </r>
  <r>
    <n v="657"/>
    <n v="1105178"/>
    <x v="6"/>
    <x v="1"/>
    <n v="1334"/>
    <n v="1.3553000365450099E+18"/>
    <n v="0"/>
  </r>
  <r>
    <n v="658"/>
    <n v="205159"/>
    <x v="1"/>
    <x v="3"/>
    <n v="870"/>
    <n v="1.3553014241466399E+18"/>
    <n v="0"/>
  </r>
  <r>
    <n v="659"/>
    <n v="1545737"/>
    <x v="1"/>
    <x v="2"/>
    <n v="1393"/>
    <n v="1.3553020566812101E+18"/>
    <n v="0"/>
  </r>
  <r>
    <n v="660"/>
    <n v="648721"/>
    <x v="6"/>
    <x v="1"/>
    <n v="772"/>
    <n v="1.3553034440772201E+18"/>
    <n v="0"/>
  </r>
  <r>
    <n v="661"/>
    <n v="1158241"/>
    <x v="0"/>
    <x v="0"/>
    <n v="1297"/>
    <n v="1.35530432786749E+18"/>
    <n v="0"/>
  </r>
  <r>
    <n v="662"/>
    <n v="97614"/>
    <x v="3"/>
    <x v="0"/>
    <n v="1468"/>
    <n v="1.3553054638863401E+18"/>
    <n v="0"/>
  </r>
  <r>
    <n v="663"/>
    <n v="1035341"/>
    <x v="4"/>
    <x v="2"/>
    <n v="401"/>
    <n v="1.3553065997583601E+18"/>
    <n v="0"/>
  </r>
  <r>
    <n v="664"/>
    <n v="858326"/>
    <x v="6"/>
    <x v="2"/>
    <n v="1445"/>
    <n v="1.3553079869069901E+18"/>
    <n v="0"/>
  </r>
  <r>
    <n v="665"/>
    <n v="200447"/>
    <x v="5"/>
    <x v="1"/>
    <n v="1458"/>
    <n v="1.35530912274547E+18"/>
    <n v="0"/>
  </r>
  <r>
    <n v="666"/>
    <n v="2005688"/>
    <x v="5"/>
    <x v="1"/>
    <n v="432"/>
    <n v="1.3553102580638799E+18"/>
    <n v="0"/>
  </r>
  <r>
    <n v="667"/>
    <n v="1385335"/>
    <x v="4"/>
    <x v="2"/>
    <n v="853"/>
    <n v="1.3553108907158899E+18"/>
    <n v="0"/>
  </r>
  <r>
    <n v="668"/>
    <n v="998995"/>
    <x v="6"/>
    <x v="4"/>
    <n v="825"/>
    <n v="1.35531177425442E+18"/>
    <n v="0"/>
  </r>
  <r>
    <n v="669"/>
    <n v="1978746"/>
    <x v="4"/>
    <x v="2"/>
    <n v="1136"/>
    <n v="1.35531240681421E+18"/>
    <n v="0"/>
  </r>
  <r>
    <n v="670"/>
    <n v="1084839"/>
    <x v="0"/>
    <x v="4"/>
    <n v="876"/>
    <n v="1.3553132910783201E+18"/>
    <n v="0"/>
  </r>
  <r>
    <n v="671"/>
    <n v="452110"/>
    <x v="4"/>
    <x v="0"/>
    <n v="1144"/>
    <n v="1.3553144268874601E+18"/>
    <n v="0"/>
  </r>
  <r>
    <n v="672"/>
    <n v="138929"/>
    <x v="5"/>
    <x v="2"/>
    <n v="521"/>
    <n v="1.3553150592627E+18"/>
    <n v="0"/>
  </r>
  <r>
    <n v="673"/>
    <n v="2094453"/>
    <x v="5"/>
    <x v="2"/>
    <n v="731"/>
    <n v="1.35531644657489E+18"/>
    <n v="0"/>
  </r>
  <r>
    <n v="674"/>
    <n v="1924832"/>
    <x v="1"/>
    <x v="4"/>
    <n v="1057"/>
    <n v="1.3553170786061499E+18"/>
    <n v="0"/>
  </r>
  <r>
    <n v="675"/>
    <n v="749529"/>
    <x v="1"/>
    <x v="1"/>
    <n v="903"/>
    <n v="1.3553184659057001E+18"/>
    <n v="0"/>
  </r>
  <r>
    <n v="676"/>
    <n v="1312447"/>
    <x v="3"/>
    <x v="2"/>
    <n v="1329"/>
    <n v="1.3553198531130801E+18"/>
    <n v="0"/>
  </r>
  <r>
    <n v="677"/>
    <n v="1938338"/>
    <x v="3"/>
    <x v="3"/>
    <n v="674"/>
    <n v="1.3553212405930601E+18"/>
    <n v="0"/>
  </r>
  <r>
    <n v="678"/>
    <n v="319364"/>
    <x v="6"/>
    <x v="1"/>
    <n v="1033"/>
    <n v="1.3553221247774799E+18"/>
    <n v="0"/>
  </r>
  <r>
    <n v="679"/>
    <n v="1855311"/>
    <x v="0"/>
    <x v="1"/>
    <n v="410"/>
    <n v="1.3553232604314199E+18"/>
    <n v="0"/>
  </r>
  <r>
    <n v="680"/>
    <n v="1404667"/>
    <x v="4"/>
    <x v="0"/>
    <n v="1167"/>
    <n v="1.3553241444858801E+18"/>
    <n v="0"/>
  </r>
  <r>
    <n v="681"/>
    <n v="1333522"/>
    <x v="0"/>
    <x v="4"/>
    <n v="782"/>
    <n v="1.3553252799929999E+18"/>
    <n v="0"/>
  </r>
  <r>
    <n v="682"/>
    <n v="805732"/>
    <x v="1"/>
    <x v="1"/>
    <n v="1379"/>
    <n v="1.35532641589855E+18"/>
    <n v="0"/>
  </r>
  <r>
    <n v="683"/>
    <n v="915990"/>
    <x v="1"/>
    <x v="3"/>
    <n v="1435"/>
    <n v="1.35532730013758E+18"/>
    <n v="0"/>
  </r>
  <r>
    <n v="684"/>
    <n v="1031217"/>
    <x v="4"/>
    <x v="1"/>
    <n v="981"/>
    <n v="1.35532793261346E+18"/>
    <n v="0"/>
  </r>
  <r>
    <n v="685"/>
    <n v="871517"/>
    <x v="3"/>
    <x v="4"/>
    <n v="1207"/>
    <n v="1.3553293201018099E+18"/>
    <n v="0"/>
  </r>
  <r>
    <n v="686"/>
    <n v="1484208"/>
    <x v="0"/>
    <x v="3"/>
    <n v="600"/>
    <n v="1.3553302041604201E+18"/>
    <n v="0"/>
  </r>
  <r>
    <n v="687"/>
    <n v="1086651"/>
    <x v="2"/>
    <x v="3"/>
    <n v="775"/>
    <n v="1.35533083661953E+18"/>
    <n v="0"/>
  </r>
  <r>
    <n v="688"/>
    <n v="717346"/>
    <x v="5"/>
    <x v="2"/>
    <n v="622"/>
    <n v="1.35533146877663E+18"/>
    <n v="0"/>
  </r>
  <r>
    <n v="689"/>
    <n v="958813"/>
    <x v="0"/>
    <x v="3"/>
    <n v="722"/>
    <n v="1.3553326046109399E+18"/>
    <n v="0"/>
  </r>
  <r>
    <n v="691"/>
    <n v="870165"/>
    <x v="2"/>
    <x v="0"/>
    <n v="741"/>
    <n v="1.3553348764389299E+18"/>
    <n v="0"/>
  </r>
  <r>
    <n v="692"/>
    <n v="1620663"/>
    <x v="3"/>
    <x v="2"/>
    <n v="899"/>
    <n v="1.3553360123989901E+18"/>
    <n v="0"/>
  </r>
  <r>
    <n v="693"/>
    <n v="612963"/>
    <x v="1"/>
    <x v="0"/>
    <n v="1156"/>
    <n v="1.355336896508E+18"/>
    <n v="0"/>
  </r>
  <r>
    <n v="694"/>
    <n v="9139"/>
    <x v="5"/>
    <x v="4"/>
    <n v="1418"/>
    <n v="1.3553375288706601E+18"/>
    <n v="0"/>
  </r>
  <r>
    <n v="695"/>
    <n v="1066535"/>
    <x v="2"/>
    <x v="2"/>
    <n v="829"/>
    <n v="1.3553381613255601E+18"/>
    <n v="0"/>
  </r>
  <r>
    <n v="696"/>
    <n v="895925"/>
    <x v="1"/>
    <x v="3"/>
    <n v="577"/>
    <n v="1.3553390455309499E+18"/>
    <n v="0"/>
  </r>
  <r>
    <n v="697"/>
    <n v="1730291"/>
    <x v="1"/>
    <x v="1"/>
    <n v="692"/>
    <n v="1.3553396780949199E+18"/>
    <n v="0"/>
  </r>
  <r>
    <n v="698"/>
    <n v="1970621"/>
    <x v="4"/>
    <x v="0"/>
    <n v="840"/>
    <n v="1.3553403103987699E+18"/>
    <n v="0"/>
  </r>
  <r>
    <n v="699"/>
    <n v="113175"/>
    <x v="6"/>
    <x v="1"/>
    <n v="609"/>
    <n v="1.3553414461366799E+18"/>
    <n v="0"/>
  </r>
  <r>
    <n v="700"/>
    <n v="388703"/>
    <x v="5"/>
    <x v="0"/>
    <n v="515"/>
    <n v="1.3553428332223401E+18"/>
    <n v="0"/>
  </r>
  <r>
    <n v="701"/>
    <n v="1451071"/>
    <x v="4"/>
    <x v="0"/>
    <n v="860"/>
    <n v="1.35534396875041E+18"/>
    <n v="0"/>
  </r>
  <r>
    <n v="702"/>
    <n v="750190"/>
    <x v="2"/>
    <x v="2"/>
    <n v="824"/>
    <n v="1.35534535597039E+18"/>
    <n v="0"/>
  </r>
  <r>
    <n v="703"/>
    <n v="589102"/>
    <x v="1"/>
    <x v="0"/>
    <n v="726"/>
    <n v="1.35534598848403E+18"/>
    <n v="0"/>
  </r>
  <r>
    <n v="704"/>
    <n v="403305"/>
    <x v="3"/>
    <x v="1"/>
    <n v="1452"/>
    <n v="1.3553473759765299E+18"/>
    <n v="0"/>
  </r>
  <r>
    <n v="705"/>
    <n v="1250353"/>
    <x v="2"/>
    <x v="0"/>
    <n v="1031"/>
    <n v="1.35534851193662E+18"/>
    <n v="0"/>
  </r>
  <r>
    <n v="706"/>
    <n v="1798505"/>
    <x v="2"/>
    <x v="3"/>
    <n v="407"/>
    <n v="1.3553493960162701E+18"/>
    <n v="0"/>
  </r>
  <r>
    <n v="707"/>
    <n v="639098"/>
    <x v="0"/>
    <x v="1"/>
    <n v="768"/>
    <n v="1.3553505315653701E+18"/>
    <n v="0"/>
  </r>
  <r>
    <n v="708"/>
    <n v="842604"/>
    <x v="0"/>
    <x v="1"/>
    <n v="848"/>
    <n v="1.3553516673577201E+18"/>
    <n v="0"/>
  </r>
  <r>
    <n v="709"/>
    <n v="910066"/>
    <x v="3"/>
    <x v="3"/>
    <n v="787"/>
    <n v="1.3553522996951199E+18"/>
    <n v="0"/>
  </r>
  <r>
    <n v="710"/>
    <n v="889871"/>
    <x v="4"/>
    <x v="2"/>
    <n v="523"/>
    <n v="1.35535343534911E+18"/>
    <n v="0"/>
  </r>
  <r>
    <n v="711"/>
    <n v="1831226"/>
    <x v="4"/>
    <x v="0"/>
    <n v="1227"/>
    <n v="1.3553540676782001E+18"/>
    <n v="0"/>
  </r>
  <r>
    <n v="712"/>
    <n v="883749"/>
    <x v="5"/>
    <x v="2"/>
    <n v="1142"/>
    <n v="1.3553552034453801E+18"/>
    <n v="0"/>
  </r>
  <r>
    <n v="713"/>
    <n v="2062678"/>
    <x v="4"/>
    <x v="0"/>
    <n v="563"/>
    <n v="1.3553560872439601E+18"/>
    <n v="0"/>
  </r>
  <r>
    <n v="714"/>
    <n v="1353833"/>
    <x v="2"/>
    <x v="3"/>
    <n v="1101"/>
    <n v="1.3553574747071501E+18"/>
    <n v="0"/>
  </r>
  <r>
    <n v="715"/>
    <n v="700353"/>
    <x v="5"/>
    <x v="0"/>
    <n v="1033"/>
    <n v="1.3553583590467999E+18"/>
    <n v="0"/>
  </r>
  <r>
    <n v="716"/>
    <n v="164013"/>
    <x v="4"/>
    <x v="1"/>
    <n v="679"/>
    <n v="1.3553597466483899E+18"/>
    <n v="0"/>
  </r>
  <r>
    <n v="717"/>
    <n v="830797"/>
    <x v="5"/>
    <x v="0"/>
    <n v="548"/>
    <n v="1.3553608826001201E+18"/>
    <n v="0"/>
  </r>
  <r>
    <n v="718"/>
    <n v="966515"/>
    <x v="1"/>
    <x v="1"/>
    <n v="1480"/>
    <n v="1.35536151504243E+18"/>
    <n v="0"/>
  </r>
  <r>
    <n v="719"/>
    <n v="1410080"/>
    <x v="6"/>
    <x v="1"/>
    <n v="797"/>
    <n v="1.3553623992184901E+18"/>
    <n v="0"/>
  </r>
  <r>
    <n v="720"/>
    <n v="1218468"/>
    <x v="6"/>
    <x v="2"/>
    <n v="862"/>
    <n v="1.35536378633775E+18"/>
    <n v="0"/>
  </r>
  <r>
    <n v="721"/>
    <n v="634492"/>
    <x v="0"/>
    <x v="2"/>
    <n v="905"/>
    <n v="1.3553646704592799E+18"/>
    <n v="0"/>
  </r>
  <r>
    <n v="722"/>
    <n v="774930"/>
    <x v="2"/>
    <x v="1"/>
    <n v="466"/>
    <n v="1.35536530275902E+18"/>
    <n v="0"/>
  </r>
  <r>
    <n v="723"/>
    <n v="30064"/>
    <x v="3"/>
    <x v="0"/>
    <n v="707"/>
    <n v="1.35536643863103E+18"/>
    <n v="0"/>
  </r>
  <r>
    <n v="724"/>
    <n v="642913"/>
    <x v="4"/>
    <x v="1"/>
    <n v="1131"/>
    <n v="1.3553673227693801E+18"/>
    <n v="0"/>
  </r>
  <r>
    <n v="725"/>
    <n v="1597881"/>
    <x v="4"/>
    <x v="1"/>
    <n v="470"/>
    <n v="1.35536770342336E+18"/>
    <n v="0"/>
  </r>
  <r>
    <n v="726"/>
    <n v="303790"/>
    <x v="1"/>
    <x v="1"/>
    <n v="659"/>
    <n v="1.3553683357818601E+18"/>
    <n v="0"/>
  </r>
  <r>
    <n v="727"/>
    <n v="1065200"/>
    <x v="3"/>
    <x v="4"/>
    <n v="1198"/>
    <n v="1.3553697233624699E+18"/>
    <n v="0"/>
  </r>
  <r>
    <n v="728"/>
    <n v="24840"/>
    <x v="3"/>
    <x v="4"/>
    <n v="1410"/>
    <n v="1.35537035566637E+18"/>
    <n v="0"/>
  </r>
  <r>
    <n v="729"/>
    <n v="1197019"/>
    <x v="4"/>
    <x v="1"/>
    <n v="470"/>
    <n v="1.3553707357122701E+18"/>
    <n v="0"/>
  </r>
  <r>
    <n v="730"/>
    <n v="1690378"/>
    <x v="0"/>
    <x v="4"/>
    <n v="1174"/>
    <n v="1.35537187141235E+18"/>
    <n v="0"/>
  </r>
  <r>
    <n v="731"/>
    <n v="1534859"/>
    <x v="1"/>
    <x v="0"/>
    <n v="1132"/>
    <n v="1.3553727553325701E+18"/>
    <n v="0"/>
  </r>
  <r>
    <n v="732"/>
    <n v="1528712"/>
    <x v="5"/>
    <x v="2"/>
    <n v="1170"/>
    <n v="1.3553731356301299E+18"/>
    <n v="0"/>
  </r>
  <r>
    <n v="733"/>
    <n v="297135"/>
    <x v="4"/>
    <x v="3"/>
    <n v="735"/>
    <n v="1.35537401973486E+18"/>
    <n v="0"/>
  </r>
  <r>
    <n v="734"/>
    <n v="822230"/>
    <x v="2"/>
    <x v="0"/>
    <n v="1241"/>
    <n v="1.3553749038018801E+18"/>
    <n v="0"/>
  </r>
  <r>
    <n v="735"/>
    <n v="1907948"/>
    <x v="6"/>
    <x v="4"/>
    <n v="609"/>
    <n v="1.3553757878269299E+18"/>
    <n v="0"/>
  </r>
  <r>
    <n v="736"/>
    <n v="1212053"/>
    <x v="0"/>
    <x v="3"/>
    <n v="852"/>
    <n v="1.35537642024829E+18"/>
    <n v="0"/>
  </r>
  <r>
    <n v="737"/>
    <n v="1925276"/>
    <x v="3"/>
    <x v="1"/>
    <n v="422"/>
    <n v="1.35537780724592E+18"/>
    <n v="0"/>
  </r>
  <r>
    <n v="738"/>
    <n v="1640218"/>
    <x v="4"/>
    <x v="1"/>
    <n v="606"/>
    <n v="1.35537869128354E+18"/>
    <n v="0"/>
  </r>
  <r>
    <n v="739"/>
    <n v="1356950"/>
    <x v="1"/>
    <x v="4"/>
    <n v="833"/>
    <n v="1.3553798271975301E+18"/>
    <n v="0"/>
  </r>
  <r>
    <n v="740"/>
    <n v="1272393"/>
    <x v="0"/>
    <x v="2"/>
    <n v="641"/>
    <n v="1.35538071129392E+18"/>
    <n v="0"/>
  </r>
  <r>
    <n v="741"/>
    <n v="1142780"/>
    <x v="0"/>
    <x v="3"/>
    <n v="1069"/>
    <n v="1.3553815955538601E+18"/>
    <n v="0"/>
  </r>
  <r>
    <n v="742"/>
    <n v="1726883"/>
    <x v="2"/>
    <x v="3"/>
    <n v="1466"/>
    <n v="1.3553829826857101E+18"/>
    <n v="0"/>
  </r>
  <r>
    <n v="743"/>
    <n v="1376949"/>
    <x v="6"/>
    <x v="1"/>
    <n v="1267"/>
    <n v="1.35538386664783E+18"/>
    <n v="0"/>
  </r>
  <r>
    <n v="744"/>
    <n v="816614"/>
    <x v="5"/>
    <x v="1"/>
    <n v="540"/>
    <n v="1.35538525409424E+18"/>
    <n v="0"/>
  </r>
  <r>
    <n v="745"/>
    <n v="1907543"/>
    <x v="5"/>
    <x v="1"/>
    <n v="1337"/>
    <n v="1.3553858866330399E+18"/>
    <n v="0"/>
  </r>
  <r>
    <n v="746"/>
    <n v="1799922"/>
    <x v="3"/>
    <x v="0"/>
    <n v="894"/>
    <n v="1.35538727389069E+18"/>
    <n v="0"/>
  </r>
  <r>
    <n v="747"/>
    <n v="507688"/>
    <x v="3"/>
    <x v="2"/>
    <n v="1097"/>
    <n v="1.3553886612070799E+18"/>
    <n v="0"/>
  </r>
  <r>
    <n v="748"/>
    <n v="911083"/>
    <x v="4"/>
    <x v="1"/>
    <n v="481"/>
    <n v="1.35538954511469E+18"/>
    <n v="0"/>
  </r>
  <r>
    <n v="749"/>
    <n v="1881692"/>
    <x v="0"/>
    <x v="4"/>
    <n v="484"/>
    <n v="1.3553901774815201E+18"/>
    <n v="0"/>
  </r>
  <r>
    <n v="750"/>
    <n v="51520"/>
    <x v="4"/>
    <x v="2"/>
    <n v="732"/>
    <n v="1.35539106138078E+18"/>
    <n v="0"/>
  </r>
  <r>
    <n v="751"/>
    <n v="1128640"/>
    <x v="4"/>
    <x v="4"/>
    <n v="1270"/>
    <n v="1.3553916938272799E+18"/>
    <n v="0"/>
  </r>
  <r>
    <n v="752"/>
    <n v="1843640"/>
    <x v="6"/>
    <x v="4"/>
    <n v="1396"/>
    <n v="1.3553928293386199E+18"/>
    <n v="0"/>
  </r>
  <r>
    <n v="753"/>
    <n v="1641032"/>
    <x v="1"/>
    <x v="4"/>
    <n v="696"/>
    <n v="1.35539421670527E+18"/>
    <n v="0"/>
  </r>
  <r>
    <n v="754"/>
    <n v="170454"/>
    <x v="6"/>
    <x v="4"/>
    <n v="1084"/>
    <n v="1.35539510036128E+18"/>
    <n v="0"/>
  </r>
  <r>
    <n v="755"/>
    <n v="189262"/>
    <x v="1"/>
    <x v="4"/>
    <n v="1179"/>
    <n v="1.35539623620398E+18"/>
    <n v="0"/>
  </r>
  <r>
    <n v="756"/>
    <n v="902471"/>
    <x v="2"/>
    <x v="1"/>
    <n v="720"/>
    <n v="1.35539711999837E+18"/>
    <n v="0"/>
  </r>
  <r>
    <n v="757"/>
    <n v="625698"/>
    <x v="1"/>
    <x v="1"/>
    <n v="810"/>
    <n v="1.3553985073063401E+18"/>
    <n v="0"/>
  </r>
  <r>
    <n v="758"/>
    <n v="678237"/>
    <x v="3"/>
    <x v="1"/>
    <n v="1207"/>
    <n v="1.3553991400464699E+18"/>
    <n v="0"/>
  </r>
  <r>
    <n v="759"/>
    <n v="1981224"/>
    <x v="6"/>
    <x v="2"/>
    <n v="653"/>
    <n v="1.35540052748867E+18"/>
    <n v="0"/>
  </r>
  <r>
    <n v="760"/>
    <n v="2083896"/>
    <x v="3"/>
    <x v="1"/>
    <n v="1175"/>
    <n v="1.35540116011138E+18"/>
    <n v="0"/>
  </r>
  <r>
    <n v="761"/>
    <n v="1799765"/>
    <x v="0"/>
    <x v="3"/>
    <n v="633"/>
    <n v="1.3554020442077399E+18"/>
    <n v="0"/>
  </r>
  <r>
    <n v="762"/>
    <n v="1937453"/>
    <x v="6"/>
    <x v="0"/>
    <n v="1439"/>
    <n v="1.3554034313102001E+18"/>
    <n v="0"/>
  </r>
  <r>
    <n v="763"/>
    <n v="1127976"/>
    <x v="1"/>
    <x v="3"/>
    <n v="716"/>
    <n v="1.35540481842946E+18"/>
    <n v="0"/>
  </r>
  <r>
    <n v="764"/>
    <n v="620838"/>
    <x v="2"/>
    <x v="2"/>
    <n v="1452"/>
    <n v="1.3554059543727401E+18"/>
    <n v="0"/>
  </r>
  <r>
    <n v="765"/>
    <n v="742695"/>
    <x v="1"/>
    <x v="2"/>
    <n v="1442"/>
    <n v="1.35540734162626E+18"/>
    <n v="0"/>
  </r>
  <r>
    <n v="766"/>
    <n v="58744"/>
    <x v="0"/>
    <x v="2"/>
    <n v="755"/>
    <n v="1.3554079739301601E+18"/>
    <n v="0"/>
  </r>
  <r>
    <n v="767"/>
    <n v="909596"/>
    <x v="5"/>
    <x v="1"/>
    <n v="866"/>
    <n v="1.35540936108719E+18"/>
    <n v="0"/>
  </r>
  <r>
    <n v="768"/>
    <n v="1912650"/>
    <x v="6"/>
    <x v="4"/>
    <n v="1348"/>
    <n v="1.3554099938105101E+18"/>
    <n v="0"/>
  </r>
  <r>
    <n v="769"/>
    <n v="267184"/>
    <x v="5"/>
    <x v="1"/>
    <n v="1226"/>
    <n v="1.3554108778145999E+18"/>
    <n v="0"/>
  </r>
  <r>
    <n v="770"/>
    <n v="1329078"/>
    <x v="2"/>
    <x v="4"/>
    <n v="1058"/>
    <n v="1.3554115102695301E+18"/>
    <n v="0"/>
  </r>
  <r>
    <n v="771"/>
    <n v="769358"/>
    <x v="5"/>
    <x v="4"/>
    <n v="958"/>
    <n v="1.35541289774109E+18"/>
    <n v="0"/>
  </r>
  <r>
    <n v="772"/>
    <n v="1942041"/>
    <x v="2"/>
    <x v="4"/>
    <n v="862"/>
    <n v="1.3554135299862799E+18"/>
    <n v="0"/>
  </r>
  <r>
    <n v="773"/>
    <n v="1697080"/>
    <x v="3"/>
    <x v="4"/>
    <n v="1180"/>
    <n v="1.3554146656444301E+18"/>
    <n v="0"/>
  </r>
  <r>
    <n v="774"/>
    <n v="868386"/>
    <x v="4"/>
    <x v="1"/>
    <n v="1300"/>
    <n v="1.3554160530908401E+18"/>
    <n v="0"/>
  </r>
  <r>
    <n v="775"/>
    <n v="1080576"/>
    <x v="4"/>
    <x v="4"/>
    <n v="600"/>
    <n v="1.35541744058754E+18"/>
    <n v="0"/>
  </r>
  <r>
    <n v="776"/>
    <n v="1333278"/>
    <x v="2"/>
    <x v="0"/>
    <n v="1268"/>
    <n v="1.3554188277319501E+18"/>
    <n v="0"/>
  </r>
  <r>
    <n v="777"/>
    <n v="1958233"/>
    <x v="1"/>
    <x v="2"/>
    <n v="442"/>
    <n v="1.3554194598219699E+18"/>
    <n v="0"/>
  </r>
  <r>
    <n v="778"/>
    <n v="876211"/>
    <x v="4"/>
    <x v="4"/>
    <n v="463"/>
    <n v="1.35542084722225E+18"/>
    <n v="0"/>
  </r>
  <r>
    <n v="779"/>
    <n v="1260290"/>
    <x v="6"/>
    <x v="1"/>
    <n v="727"/>
    <n v="1.3554222344672901E+18"/>
    <n v="0"/>
  </r>
  <r>
    <n v="780"/>
    <n v="1531373"/>
    <x v="4"/>
    <x v="0"/>
    <n v="439"/>
    <n v="1.3554228668214001E+18"/>
    <n v="0"/>
  </r>
  <r>
    <n v="781"/>
    <n v="499325"/>
    <x v="1"/>
    <x v="1"/>
    <n v="700"/>
    <n v="1.35542400228257E+18"/>
    <n v="0"/>
  </r>
  <r>
    <n v="782"/>
    <n v="546726"/>
    <x v="4"/>
    <x v="2"/>
    <n v="931"/>
    <n v="1.3554251380665101E+18"/>
    <n v="0"/>
  </r>
  <r>
    <n v="783"/>
    <n v="2016201"/>
    <x v="2"/>
    <x v="4"/>
    <n v="673"/>
    <n v="1.3554257705382001E+18"/>
    <n v="0"/>
  </r>
  <r>
    <n v="784"/>
    <n v="48518"/>
    <x v="5"/>
    <x v="0"/>
    <n v="919"/>
    <n v="1.3554266544500201E+18"/>
    <n v="0"/>
  </r>
  <r>
    <n v="785"/>
    <n v="1752792"/>
    <x v="1"/>
    <x v="0"/>
    <n v="609"/>
    <n v="1.35542753878547E+18"/>
    <n v="0"/>
  </r>
  <r>
    <n v="786"/>
    <n v="9067"/>
    <x v="2"/>
    <x v="3"/>
    <n v="966"/>
    <n v="1.35542817149202E+18"/>
    <n v="0"/>
  </r>
  <r>
    <n v="787"/>
    <n v="1564508"/>
    <x v="1"/>
    <x v="2"/>
    <n v="1336"/>
    <n v="1.35542955880002E+18"/>
    <n v="0"/>
  </r>
  <r>
    <n v="788"/>
    <n v="1826000"/>
    <x v="3"/>
    <x v="4"/>
    <n v="930"/>
    <n v="1.35543019106193E+18"/>
    <n v="0"/>
  </r>
  <r>
    <n v="789"/>
    <n v="376028"/>
    <x v="6"/>
    <x v="0"/>
    <n v="1329"/>
    <n v="1.3554308233826801E+18"/>
    <n v="0"/>
  </r>
  <r>
    <n v="790"/>
    <n v="838431"/>
    <x v="6"/>
    <x v="2"/>
    <n v="955"/>
    <n v="1.35543170741615E+18"/>
    <n v="0"/>
  </r>
  <r>
    <n v="791"/>
    <n v="2008268"/>
    <x v="0"/>
    <x v="4"/>
    <n v="443"/>
    <n v="1.3554330946109E+18"/>
    <n v="0"/>
  </r>
  <r>
    <n v="792"/>
    <n v="1719716"/>
    <x v="4"/>
    <x v="2"/>
    <n v="491"/>
    <n v="1.35543372686447E+18"/>
    <n v="0"/>
  </r>
  <r>
    <n v="793"/>
    <n v="1283680"/>
    <x v="1"/>
    <x v="1"/>
    <n v="697"/>
    <n v="1.3554351141053599E+18"/>
    <n v="0"/>
  </r>
  <r>
    <n v="794"/>
    <n v="334221"/>
    <x v="1"/>
    <x v="0"/>
    <n v="1330"/>
    <n v="1.3554359981220301E+18"/>
    <n v="0"/>
  </r>
  <r>
    <n v="795"/>
    <n v="1621609"/>
    <x v="3"/>
    <x v="4"/>
    <n v="732"/>
    <n v="1.3554368820169999E+18"/>
    <n v="0"/>
  </r>
  <r>
    <n v="796"/>
    <n v="1105924"/>
    <x v="6"/>
    <x v="2"/>
    <n v="653"/>
    <n v="1.3554377660421199E+18"/>
    <n v="0"/>
  </r>
  <r>
    <n v="797"/>
    <n v="870776"/>
    <x v="2"/>
    <x v="1"/>
    <n v="1039"/>
    <n v="1.3554383982789499E+18"/>
    <n v="0"/>
  </r>
  <r>
    <n v="798"/>
    <n v="755691"/>
    <x v="6"/>
    <x v="4"/>
    <n v="1250"/>
    <n v="1.35543903075901E+18"/>
    <n v="0"/>
  </r>
  <r>
    <n v="799"/>
    <n v="943669"/>
    <x v="3"/>
    <x v="3"/>
    <n v="1409"/>
    <n v="1.35543991452815E+18"/>
    <n v="0"/>
  </r>
  <r>
    <n v="800"/>
    <n v="558258"/>
    <x v="4"/>
    <x v="0"/>
    <n v="465"/>
    <n v="1.35544105045053E+18"/>
    <n v="0"/>
  </r>
  <r>
    <n v="801"/>
    <n v="1393470"/>
    <x v="5"/>
    <x v="0"/>
    <n v="1364"/>
    <n v="1.3554419340184801E+18"/>
    <n v="0"/>
  </r>
  <r>
    <n v="802"/>
    <n v="1718184"/>
    <x v="1"/>
    <x v="3"/>
    <n v="1027"/>
    <n v="1.3554430697647099E+18"/>
    <n v="0"/>
  </r>
  <r>
    <n v="803"/>
    <n v="1079313"/>
    <x v="1"/>
    <x v="3"/>
    <n v="1072"/>
    <n v="1.35544345029713E+18"/>
    <n v="0"/>
  </r>
  <r>
    <n v="804"/>
    <n v="1606169"/>
    <x v="1"/>
    <x v="3"/>
    <n v="1018"/>
    <n v="1.3554443343347599E+18"/>
    <n v="0"/>
  </r>
  <r>
    <n v="805"/>
    <n v="1295502"/>
    <x v="6"/>
    <x v="3"/>
    <n v="570"/>
    <n v="1.3554449666303099E+18"/>
    <n v="0"/>
  </r>
  <r>
    <n v="806"/>
    <n v="1423100"/>
    <x v="4"/>
    <x v="2"/>
    <n v="401"/>
    <n v="1.35544585077282E+18"/>
    <n v="0"/>
  </r>
  <r>
    <n v="807"/>
    <n v="1577720"/>
    <x v="4"/>
    <x v="4"/>
    <n v="1234"/>
    <n v="1.35544698627155E+18"/>
    <n v="0"/>
  </r>
  <r>
    <n v="808"/>
    <n v="1994952"/>
    <x v="2"/>
    <x v="3"/>
    <n v="1207"/>
    <n v="1.3554476187684101E+18"/>
    <n v="0"/>
  </r>
  <r>
    <n v="809"/>
    <n v="724525"/>
    <x v="0"/>
    <x v="2"/>
    <n v="675"/>
    <n v="1.35544875454818E+18"/>
    <n v="0"/>
  </r>
  <r>
    <n v="810"/>
    <n v="2025743"/>
    <x v="3"/>
    <x v="0"/>
    <n v="530"/>
    <n v="1.3554493871876301E+18"/>
    <n v="0"/>
  </r>
  <r>
    <n v="811"/>
    <n v="1183382"/>
    <x v="6"/>
    <x v="3"/>
    <n v="1406"/>
    <n v="1.3554502711749399E+18"/>
    <n v="0"/>
  </r>
  <r>
    <n v="812"/>
    <n v="1327282"/>
    <x v="3"/>
    <x v="4"/>
    <n v="1420"/>
    <n v="1.35545115526287E+18"/>
    <n v="0"/>
  </r>
  <r>
    <n v="813"/>
    <n v="1561513"/>
    <x v="2"/>
    <x v="0"/>
    <n v="1447"/>
    <n v="1.35545203928801E+18"/>
    <n v="0"/>
  </r>
  <r>
    <n v="814"/>
    <n v="182419"/>
    <x v="4"/>
    <x v="0"/>
    <n v="1005"/>
    <n v="1.3554526715374001E+18"/>
    <n v="0"/>
  </r>
  <r>
    <n v="815"/>
    <n v="1483107"/>
    <x v="3"/>
    <x v="4"/>
    <n v="478"/>
    <n v="1.3554538071451899E+18"/>
    <n v="0"/>
  </r>
  <r>
    <n v="816"/>
    <n v="1089422"/>
    <x v="4"/>
    <x v="4"/>
    <n v="524"/>
    <n v="1.3554544394365399E+18"/>
    <n v="0"/>
  </r>
  <r>
    <n v="817"/>
    <n v="1504879"/>
    <x v="2"/>
    <x v="1"/>
    <n v="750"/>
    <n v="1.3554550717445601E+18"/>
    <n v="0"/>
  </r>
  <r>
    <n v="818"/>
    <n v="1212145"/>
    <x v="6"/>
    <x v="4"/>
    <n v="1430"/>
    <n v="1.3554564590484101E+18"/>
    <n v="0"/>
  </r>
  <r>
    <n v="819"/>
    <n v="1136308"/>
    <x v="5"/>
    <x v="0"/>
    <n v="428"/>
    <n v="1.35545734289312E+18"/>
    <n v="0"/>
  </r>
  <r>
    <n v="820"/>
    <n v="1615008"/>
    <x v="1"/>
    <x v="3"/>
    <n v="621"/>
    <n v="1.35545822678398E+18"/>
    <n v="0"/>
  </r>
  <r>
    <n v="821"/>
    <n v="1631420"/>
    <x v="3"/>
    <x v="2"/>
    <n v="1377"/>
    <n v="1.3554593624001999E+18"/>
    <n v="0"/>
  </r>
  <r>
    <n v="822"/>
    <n v="1564930"/>
    <x v="4"/>
    <x v="4"/>
    <n v="546"/>
    <n v="1.35546049802477E+18"/>
    <n v="0"/>
  </r>
  <r>
    <n v="823"/>
    <n v="1493640"/>
    <x v="6"/>
    <x v="3"/>
    <n v="948"/>
    <n v="1.35546138220081E+18"/>
    <n v="0"/>
  </r>
  <r>
    <n v="824"/>
    <n v="1325333"/>
    <x v="3"/>
    <x v="1"/>
    <n v="770"/>
    <n v="1.3554620142781801E+18"/>
    <n v="0"/>
  </r>
  <r>
    <n v="825"/>
    <n v="526501"/>
    <x v="0"/>
    <x v="4"/>
    <n v="537"/>
    <n v="1.3554626465695601E+18"/>
    <n v="0"/>
  </r>
  <r>
    <n v="826"/>
    <n v="909994"/>
    <x v="3"/>
    <x v="0"/>
    <n v="1006"/>
    <n v="1.3554637821731799E+18"/>
    <n v="0"/>
  </r>
  <r>
    <n v="827"/>
    <n v="2008880"/>
    <x v="6"/>
    <x v="3"/>
    <n v="923"/>
    <n v="1.35546491793603E+18"/>
    <n v="0"/>
  </r>
  <r>
    <n v="828"/>
    <n v="1101384"/>
    <x v="0"/>
    <x v="0"/>
    <n v="912"/>
    <n v="1.3554663051099699E+18"/>
    <n v="0"/>
  </r>
  <r>
    <n v="829"/>
    <n v="470017"/>
    <x v="4"/>
    <x v="0"/>
    <n v="1442"/>
    <n v="1.3554671892608399E+18"/>
    <n v="0"/>
  </r>
  <r>
    <n v="830"/>
    <n v="432473"/>
    <x v="2"/>
    <x v="2"/>
    <n v="1200"/>
    <n v="1.35546857631298E+18"/>
    <n v="0"/>
  </r>
  <r>
    <n v="831"/>
    <n v="1280598"/>
    <x v="5"/>
    <x v="3"/>
    <n v="641"/>
    <n v="1.3554697121095501E+18"/>
    <n v="0"/>
  </r>
  <r>
    <n v="832"/>
    <n v="668319"/>
    <x v="3"/>
    <x v="1"/>
    <n v="1193"/>
    <n v="1.3554705958913201E+18"/>
    <n v="0"/>
  </r>
  <r>
    <n v="833"/>
    <n v="1608999"/>
    <x v="0"/>
    <x v="2"/>
    <n v="466"/>
    <n v="1.35547198324547E+18"/>
    <n v="0"/>
  </r>
  <r>
    <n v="834"/>
    <n v="802391"/>
    <x v="0"/>
    <x v="3"/>
    <n v="828"/>
    <n v="1.3554733704066401E+18"/>
    <n v="0"/>
  </r>
  <r>
    <n v="835"/>
    <n v="1469993"/>
    <x v="4"/>
    <x v="4"/>
    <n v="694"/>
    <n v="1.3554742545364201E+18"/>
    <n v="0"/>
  </r>
  <r>
    <n v="836"/>
    <n v="1472017"/>
    <x v="0"/>
    <x v="4"/>
    <n v="964"/>
    <n v="1.35547539000179E+18"/>
    <n v="0"/>
  </r>
  <r>
    <n v="837"/>
    <n v="794019"/>
    <x v="5"/>
    <x v="0"/>
    <n v="1238"/>
    <n v="1.3554762738674701E+18"/>
    <n v="0"/>
  </r>
  <r>
    <n v="838"/>
    <n v="392651"/>
    <x v="2"/>
    <x v="3"/>
    <n v="1257"/>
    <n v="1.3554769060832699E+18"/>
    <n v="0"/>
  </r>
  <r>
    <n v="839"/>
    <n v="1881652"/>
    <x v="3"/>
    <x v="0"/>
    <n v="1097"/>
    <n v="1.3554782934458099E+18"/>
    <n v="0"/>
  </r>
  <r>
    <n v="840"/>
    <n v="1792269"/>
    <x v="2"/>
    <x v="3"/>
    <n v="1367"/>
    <n v="1.35547917731987E+18"/>
    <n v="0"/>
  </r>
  <r>
    <n v="841"/>
    <n v="756445"/>
    <x v="1"/>
    <x v="4"/>
    <n v="727"/>
    <n v="1.35548031294448E+18"/>
    <n v="0"/>
  </r>
  <r>
    <n v="842"/>
    <n v="1500053"/>
    <x v="4"/>
    <x v="1"/>
    <n v="1173"/>
    <n v="1.35548069321264E+18"/>
    <n v="0"/>
  </r>
  <r>
    <n v="843"/>
    <n v="202798"/>
    <x v="1"/>
    <x v="1"/>
    <n v="1382"/>
    <n v="1.3554818289337001E+18"/>
    <n v="0"/>
  </r>
  <r>
    <n v="844"/>
    <n v="59423"/>
    <x v="5"/>
    <x v="1"/>
    <n v="995"/>
    <n v="1.35548296451633E+18"/>
    <n v="0"/>
  </r>
  <r>
    <n v="845"/>
    <n v="1728696"/>
    <x v="6"/>
    <x v="1"/>
    <n v="1410"/>
    <n v="1.3554841004931899E+18"/>
    <n v="0"/>
  </r>
  <r>
    <n v="846"/>
    <n v="1982555"/>
    <x v="6"/>
    <x v="0"/>
    <n v="483"/>
    <n v="1.35548548759151E+18"/>
    <n v="0"/>
  </r>
  <r>
    <n v="847"/>
    <n v="1835045"/>
    <x v="1"/>
    <x v="4"/>
    <n v="1116"/>
    <n v="1.35548612013453E+18"/>
    <n v="0"/>
  </r>
  <r>
    <n v="848"/>
    <n v="1989093"/>
    <x v="5"/>
    <x v="2"/>
    <n v="459"/>
    <n v="1.3554875073711401E+18"/>
    <n v="0"/>
  </r>
  <r>
    <n v="849"/>
    <n v="507811"/>
    <x v="4"/>
    <x v="3"/>
    <n v="1174"/>
    <n v="1.35548839140046E+18"/>
    <n v="0"/>
  </r>
  <r>
    <n v="850"/>
    <n v="1097718"/>
    <x v="0"/>
    <x v="4"/>
    <n v="571"/>
    <n v="1.3554897785448801E+18"/>
    <n v="0"/>
  </r>
  <r>
    <n v="851"/>
    <n v="57774"/>
    <x v="4"/>
    <x v="0"/>
    <n v="499"/>
    <n v="1.35549116594095E+18"/>
    <n v="0"/>
  </r>
  <r>
    <n v="852"/>
    <n v="1451619"/>
    <x v="2"/>
    <x v="4"/>
    <n v="789"/>
    <n v="1.3554925531733801E+18"/>
    <n v="0"/>
  </r>
  <r>
    <n v="853"/>
    <n v="1206421"/>
    <x v="1"/>
    <x v="0"/>
    <n v="980"/>
    <n v="1.35549343737885E+18"/>
    <n v="0"/>
  </r>
  <r>
    <n v="854"/>
    <n v="671443"/>
    <x v="5"/>
    <x v="3"/>
    <n v="875"/>
    <n v="1.35549457325091E+18"/>
    <n v="0"/>
  </r>
  <r>
    <n v="855"/>
    <n v="1319256"/>
    <x v="5"/>
    <x v="2"/>
    <n v="1348"/>
    <n v="1.35549545741021E+18"/>
    <n v="0"/>
  </r>
  <r>
    <n v="856"/>
    <n v="870933"/>
    <x v="2"/>
    <x v="4"/>
    <n v="1349"/>
    <n v="1.3554960898818701E+18"/>
    <n v="0"/>
  </r>
  <r>
    <n v="857"/>
    <n v="501806"/>
    <x v="3"/>
    <x v="4"/>
    <n v="1027"/>
    <n v="1.3554967221437801E+18"/>
    <n v="0"/>
  </r>
  <r>
    <n v="858"/>
    <n v="597533"/>
    <x v="3"/>
    <x v="2"/>
    <n v="636"/>
    <n v="1.3554976062611899E+18"/>
    <n v="0"/>
  </r>
  <r>
    <n v="859"/>
    <n v="62109"/>
    <x v="4"/>
    <x v="2"/>
    <n v="1146"/>
    <n v="1.35549874175149E+18"/>
    <n v="0"/>
  </r>
  <r>
    <n v="860"/>
    <n v="153071"/>
    <x v="6"/>
    <x v="4"/>
    <n v="1128"/>
    <n v="1.35550012929022E+18"/>
    <n v="0"/>
  </r>
  <r>
    <n v="861"/>
    <n v="1424926"/>
    <x v="0"/>
    <x v="1"/>
    <n v="805"/>
    <n v="1.35550101369699E+18"/>
    <n v="0"/>
  </r>
  <r>
    <n v="862"/>
    <n v="674715"/>
    <x v="5"/>
    <x v="2"/>
    <n v="1445"/>
    <n v="1.3555018977346199E+18"/>
    <n v="0"/>
  </r>
  <r>
    <n v="863"/>
    <n v="1788844"/>
    <x v="5"/>
    <x v="1"/>
    <n v="452"/>
    <n v="1.3555030335647501E+18"/>
    <n v="0"/>
  </r>
  <r>
    <n v="864"/>
    <n v="417784"/>
    <x v="1"/>
    <x v="1"/>
    <n v="1353"/>
    <n v="1.3555041690592699E+18"/>
    <n v="0"/>
  </r>
  <r>
    <n v="865"/>
    <n v="1434068"/>
    <x v="6"/>
    <x v="0"/>
    <n v="1076"/>
    <n v="1.3555050531472699E+18"/>
    <n v="0"/>
  </r>
  <r>
    <n v="866"/>
    <n v="1704615"/>
    <x v="5"/>
    <x v="4"/>
    <n v="1423"/>
    <n v="1.35550618866701E+18"/>
    <n v="0"/>
  </r>
  <r>
    <n v="867"/>
    <n v="197885"/>
    <x v="0"/>
    <x v="4"/>
    <n v="1314"/>
    <n v="1.3555068208199199E+18"/>
    <n v="0"/>
  </r>
  <r>
    <n v="868"/>
    <n v="1860217"/>
    <x v="2"/>
    <x v="1"/>
    <n v="753"/>
    <n v="1.35550820785102E+18"/>
    <n v="0"/>
  </r>
  <r>
    <n v="869"/>
    <n v="1059542"/>
    <x v="1"/>
    <x v="0"/>
    <n v="1067"/>
    <n v="1.3555093435721201E+18"/>
    <n v="0"/>
  </r>
  <r>
    <n v="870"/>
    <n v="1805049"/>
    <x v="5"/>
    <x v="1"/>
    <n v="906"/>
    <n v="1.3555104793938401E+18"/>
    <n v="0"/>
  </r>
  <r>
    <n v="871"/>
    <n v="417836"/>
    <x v="3"/>
    <x v="0"/>
    <n v="1198"/>
    <n v="1.3555108599556301E+18"/>
    <n v="0"/>
  </r>
  <r>
    <n v="872"/>
    <n v="1846829"/>
    <x v="2"/>
    <x v="3"/>
    <n v="1274"/>
    <n v="1.3555122471670999E+18"/>
    <n v="0"/>
  </r>
  <r>
    <n v="873"/>
    <n v="868370"/>
    <x v="6"/>
    <x v="1"/>
    <n v="581"/>
    <n v="1.35551313135999E+18"/>
    <n v="0"/>
  </r>
  <r>
    <n v="874"/>
    <n v="744308"/>
    <x v="2"/>
    <x v="3"/>
    <n v="812"/>
    <n v="1.35551401542701E+18"/>
    <n v="0"/>
  </r>
  <r>
    <n v="875"/>
    <n v="1643881"/>
    <x v="6"/>
    <x v="1"/>
    <n v="1021"/>
    <n v="1.3555148995233101E+18"/>
    <n v="0"/>
  </r>
  <r>
    <n v="876"/>
    <n v="1212165"/>
    <x v="4"/>
    <x v="0"/>
    <n v="972"/>
    <n v="1.3555162866677801E+18"/>
    <n v="0"/>
  </r>
  <r>
    <n v="877"/>
    <n v="830310"/>
    <x v="4"/>
    <x v="4"/>
    <n v="718"/>
    <n v="1.35551767394642E+18"/>
    <n v="0"/>
  </r>
  <r>
    <n v="878"/>
    <n v="1432397"/>
    <x v="3"/>
    <x v="4"/>
    <n v="749"/>
    <n v="1.3555188094451799E+18"/>
    <n v="0"/>
  </r>
  <r>
    <n v="879"/>
    <n v="1403987"/>
    <x v="0"/>
    <x v="2"/>
    <n v="1007"/>
    <n v="1.35551994491459E+18"/>
    <n v="0"/>
  </r>
  <r>
    <n v="880"/>
    <n v="1541920"/>
    <x v="3"/>
    <x v="1"/>
    <n v="647"/>
    <n v="1.3555205771974899E+18"/>
    <n v="0"/>
  </r>
  <r>
    <n v="881"/>
    <n v="699083"/>
    <x v="4"/>
    <x v="4"/>
    <n v="496"/>
    <n v="1.3555219646480901E+18"/>
    <n v="0"/>
  </r>
  <r>
    <n v="882"/>
    <n v="619141"/>
    <x v="1"/>
    <x v="1"/>
    <n v="973"/>
    <n v="1.3555231005746701E+18"/>
    <n v="0"/>
  </r>
  <r>
    <n v="883"/>
    <n v="1754356"/>
    <x v="2"/>
    <x v="0"/>
    <n v="941"/>
    <n v="1.3555237332602801E+18"/>
    <n v="0"/>
  </r>
  <r>
    <n v="884"/>
    <n v="974637"/>
    <x v="2"/>
    <x v="2"/>
    <n v="616"/>
    <n v="1.3555246174279601E+18"/>
    <n v="0"/>
  </r>
  <r>
    <n v="885"/>
    <n v="1951264"/>
    <x v="6"/>
    <x v="2"/>
    <n v="1279"/>
    <n v="1.3555260044758899E+18"/>
    <n v="0"/>
  </r>
  <r>
    <n v="886"/>
    <n v="1670412"/>
    <x v="1"/>
    <x v="3"/>
    <n v="1401"/>
    <n v="1.35552663721181E+18"/>
    <n v="0"/>
  </r>
  <r>
    <n v="887"/>
    <n v="409393"/>
    <x v="0"/>
    <x v="2"/>
    <n v="400"/>
    <n v="1.3555277732557701E+18"/>
    <n v="0"/>
  </r>
  <r>
    <n v="888"/>
    <n v="1000475"/>
    <x v="5"/>
    <x v="1"/>
    <n v="671"/>
    <n v="1.35552815371697E+18"/>
    <n v="0"/>
  </r>
  <r>
    <n v="889"/>
    <n v="677849"/>
    <x v="4"/>
    <x v="1"/>
    <n v="1179"/>
    <n v="1.3555287858279199E+18"/>
    <n v="0"/>
  </r>
  <r>
    <n v="890"/>
    <n v="619818"/>
    <x v="4"/>
    <x v="2"/>
    <n v="675"/>
    <n v="1.35552966996206E+18"/>
    <n v="0"/>
  </r>
  <r>
    <n v="891"/>
    <n v="8492"/>
    <x v="1"/>
    <x v="1"/>
    <n v="523"/>
    <n v="1.3555310576810601E+18"/>
    <n v="0"/>
  </r>
  <r>
    <n v="892"/>
    <n v="909391"/>
    <x v="1"/>
    <x v="4"/>
    <n v="1331"/>
    <n v="1.3555324450226099E+18"/>
    <n v="0"/>
  </r>
  <r>
    <n v="893"/>
    <n v="22235"/>
    <x v="1"/>
    <x v="2"/>
    <n v="434"/>
    <n v="1.3555338323557901E+18"/>
    <n v="0"/>
  </r>
  <r>
    <n v="894"/>
    <n v="731438"/>
    <x v="4"/>
    <x v="0"/>
    <n v="1387"/>
    <n v="1.3555349683536699E+18"/>
    <n v="0"/>
  </r>
  <r>
    <n v="895"/>
    <n v="1302823"/>
    <x v="5"/>
    <x v="3"/>
    <n v="1263"/>
    <n v="1.3555363559384699E+18"/>
    <n v="0"/>
  </r>
  <r>
    <n v="896"/>
    <n v="1668814"/>
    <x v="3"/>
    <x v="0"/>
    <n v="480"/>
    <n v="1.35553698843534E+18"/>
    <n v="0"/>
  </r>
  <r>
    <n v="897"/>
    <n v="1816459"/>
    <x v="4"/>
    <x v="4"/>
    <n v="1067"/>
    <n v="1.35553812419406E+18"/>
    <n v="0"/>
  </r>
  <r>
    <n v="898"/>
    <n v="809727"/>
    <x v="4"/>
    <x v="4"/>
    <n v="550"/>
    <n v="1.35553875664477E+18"/>
    <n v="0"/>
  </r>
  <r>
    <n v="899"/>
    <n v="1108831"/>
    <x v="3"/>
    <x v="4"/>
    <n v="1151"/>
    <n v="1.35553964096769E+18"/>
    <n v="0"/>
  </r>
  <r>
    <n v="900"/>
    <n v="967282"/>
    <x v="2"/>
    <x v="3"/>
    <n v="1447"/>
    <n v="1.35554002146656E+18"/>
    <n v="0"/>
  </r>
  <r>
    <n v="901"/>
    <n v="1415227"/>
    <x v="2"/>
    <x v="4"/>
    <n v="1046"/>
    <n v="1.3555414090513999E+18"/>
    <n v="0"/>
  </r>
  <r>
    <n v="902"/>
    <n v="218530"/>
    <x v="0"/>
    <x v="1"/>
    <n v="1436"/>
    <n v="1.35554279661103E+18"/>
    <n v="0"/>
  </r>
  <r>
    <n v="903"/>
    <n v="227063"/>
    <x v="0"/>
    <x v="3"/>
    <n v="1344"/>
    <n v="1.3555436805941499E+18"/>
    <n v="0"/>
  </r>
  <r>
    <n v="904"/>
    <n v="961304"/>
    <x v="3"/>
    <x v="3"/>
    <n v="988"/>
    <n v="1.3555443128938601E+18"/>
    <n v="0"/>
  </r>
  <r>
    <n v="905"/>
    <n v="2036124"/>
    <x v="2"/>
    <x v="0"/>
    <n v="539"/>
    <n v="1.35554494550815E+18"/>
    <n v="0"/>
  </r>
  <r>
    <n v="906"/>
    <n v="840730"/>
    <x v="4"/>
    <x v="2"/>
    <n v="1126"/>
    <n v="1.3555463331475E+18"/>
    <n v="0"/>
  </r>
  <r>
    <n v="907"/>
    <n v="901119"/>
    <x v="5"/>
    <x v="4"/>
    <n v="1008"/>
    <n v="1.3555469656653199E+18"/>
    <n v="0"/>
  </r>
  <r>
    <n v="908"/>
    <n v="959614"/>
    <x v="3"/>
    <x v="3"/>
    <n v="673"/>
    <n v="1.3555478498119601E+18"/>
    <n v="0"/>
  </r>
  <r>
    <n v="909"/>
    <n v="1361775"/>
    <x v="0"/>
    <x v="0"/>
    <n v="1108"/>
    <n v="1.3555487337490099E+18"/>
    <n v="0"/>
  </r>
  <r>
    <n v="910"/>
    <n v="1667406"/>
    <x v="0"/>
    <x v="2"/>
    <n v="508"/>
    <n v="1.3555493662165E+18"/>
    <n v="0"/>
  </r>
  <r>
    <n v="911"/>
    <n v="1549187"/>
    <x v="6"/>
    <x v="4"/>
    <n v="1331"/>
    <n v="1.3555507532854001E+18"/>
    <n v="0"/>
  </r>
  <r>
    <n v="912"/>
    <n v="93545"/>
    <x v="0"/>
    <x v="4"/>
    <n v="958"/>
    <n v="1.3555518892245499E+18"/>
    <n v="0"/>
  </r>
  <r>
    <n v="913"/>
    <n v="1088565"/>
    <x v="6"/>
    <x v="0"/>
    <n v="477"/>
    <n v="1.3555525216585001E+18"/>
    <n v="0"/>
  </r>
  <r>
    <n v="914"/>
    <n v="620531"/>
    <x v="3"/>
    <x v="3"/>
    <n v="1446"/>
    <n v="1.3555536575011899E+18"/>
    <n v="0"/>
  </r>
  <r>
    <n v="915"/>
    <n v="600580"/>
    <x v="6"/>
    <x v="4"/>
    <n v="886"/>
    <n v="1.35555479326413E+18"/>
    <n v="0"/>
  </r>
  <r>
    <n v="916"/>
    <n v="1023123"/>
    <x v="5"/>
    <x v="0"/>
    <n v="1469"/>
    <n v="1.35555592899363E+18"/>
    <n v="0"/>
  </r>
  <r>
    <n v="917"/>
    <n v="807751"/>
    <x v="1"/>
    <x v="1"/>
    <n v="618"/>
    <n v="1.3555570648111601E+18"/>
    <n v="0"/>
  </r>
  <r>
    <n v="918"/>
    <n v="1156040"/>
    <x v="0"/>
    <x v="0"/>
    <n v="745"/>
    <n v="1.35555794908368E+18"/>
    <n v="0"/>
  </r>
  <r>
    <n v="919"/>
    <n v="1426466"/>
    <x v="5"/>
    <x v="0"/>
    <n v="433"/>
    <n v="1.35555883348625E+18"/>
    <n v="0"/>
  </r>
  <r>
    <n v="920"/>
    <n v="102812"/>
    <x v="4"/>
    <x v="2"/>
    <n v="758"/>
    <n v="1.3555597178258099E+18"/>
    <n v="0"/>
  </r>
  <r>
    <n v="921"/>
    <n v="856502"/>
    <x v="3"/>
    <x v="2"/>
    <n v="821"/>
    <n v="1.35556085379438E+18"/>
    <n v="0"/>
  </r>
  <r>
    <n v="922"/>
    <n v="647118"/>
    <x v="0"/>
    <x v="2"/>
    <n v="1438"/>
    <n v="1.3555617380795E+18"/>
    <n v="0"/>
  </r>
  <r>
    <n v="923"/>
    <n v="130502"/>
    <x v="1"/>
    <x v="2"/>
    <n v="934"/>
    <n v="1.35556262238559E+18"/>
    <n v="0"/>
  </r>
  <r>
    <n v="924"/>
    <n v="182377"/>
    <x v="3"/>
    <x v="2"/>
    <n v="992"/>
    <n v="1.35556325484467E+18"/>
    <n v="0"/>
  </r>
  <r>
    <n v="925"/>
    <n v="1797213"/>
    <x v="3"/>
    <x v="4"/>
    <n v="1013"/>
    <n v="1.3555638873247601E+18"/>
    <n v="0"/>
  </r>
  <r>
    <n v="926"/>
    <n v="87612"/>
    <x v="6"/>
    <x v="3"/>
    <n v="950"/>
    <n v="1.3555645199055201E+18"/>
    <n v="0"/>
  </r>
  <r>
    <n v="927"/>
    <n v="972871"/>
    <x v="4"/>
    <x v="2"/>
    <n v="965"/>
    <n v="1.35556540398929E+18"/>
    <n v="0"/>
  </r>
  <r>
    <n v="928"/>
    <n v="471308"/>
    <x v="1"/>
    <x v="0"/>
    <n v="813"/>
    <n v="1.3555660364525701E+18"/>
    <n v="0"/>
  </r>
  <r>
    <n v="929"/>
    <n v="1626381"/>
    <x v="6"/>
    <x v="4"/>
    <n v="1430"/>
    <n v="1.3555674234878799E+18"/>
    <n v="0"/>
  </r>
  <r>
    <n v="930"/>
    <n v="2088008"/>
    <x v="2"/>
    <x v="4"/>
    <n v="957"/>
    <n v="1.35556881096369E+18"/>
    <n v="0"/>
  </r>
  <r>
    <n v="931"/>
    <n v="41454"/>
    <x v="6"/>
    <x v="4"/>
    <n v="554"/>
    <n v="1.35556994644989E+18"/>
    <n v="0"/>
  </r>
  <r>
    <n v="932"/>
    <n v="883216"/>
    <x v="0"/>
    <x v="0"/>
    <n v="766"/>
    <n v="1.3555713342863401E+18"/>
    <n v="0"/>
  </r>
  <r>
    <n v="933"/>
    <n v="1364760"/>
    <x v="2"/>
    <x v="0"/>
    <n v="722"/>
    <n v="1.3555727217621E+18"/>
    <n v="0"/>
  </r>
  <r>
    <n v="934"/>
    <n v="805265"/>
    <x v="4"/>
    <x v="0"/>
    <n v="769"/>
    <n v="1.3555733539192399E+18"/>
    <n v="0"/>
  </r>
  <r>
    <n v="935"/>
    <n v="738612"/>
    <x v="3"/>
    <x v="4"/>
    <n v="1291"/>
    <n v="1.3555744896990001E+18"/>
    <n v="0"/>
  </r>
  <r>
    <n v="936"/>
    <n v="1240812"/>
    <x v="6"/>
    <x v="3"/>
    <n v="931"/>
    <n v="1.3555758766924001E+18"/>
    <n v="0"/>
  </r>
  <r>
    <n v="937"/>
    <n v="1878434"/>
    <x v="1"/>
    <x v="2"/>
    <n v="610"/>
    <n v="1.35557650930669E+18"/>
    <n v="0"/>
  </r>
  <r>
    <n v="938"/>
    <n v="2010614"/>
    <x v="1"/>
    <x v="1"/>
    <n v="890"/>
    <n v="1.3555773933904901E+18"/>
    <n v="0"/>
  </r>
  <r>
    <n v="939"/>
    <n v="1457465"/>
    <x v="2"/>
    <x v="4"/>
    <n v="1318"/>
    <n v="1.3555787809501499E+18"/>
    <n v="0"/>
  </r>
  <r>
    <n v="940"/>
    <n v="2036497"/>
    <x v="2"/>
    <x v="3"/>
    <n v="691"/>
    <n v="1.35557941350992E+18"/>
    <n v="0"/>
  </r>
  <r>
    <n v="941"/>
    <n v="381075"/>
    <x v="2"/>
    <x v="2"/>
    <n v="972"/>
    <n v="1.35558004602771E+18"/>
    <n v="0"/>
  </r>
  <r>
    <n v="942"/>
    <n v="629541"/>
    <x v="1"/>
    <x v="3"/>
    <n v="917"/>
    <n v="1.3555806787804401E+18"/>
    <n v="0"/>
  </r>
  <r>
    <n v="943"/>
    <n v="734567"/>
    <x v="1"/>
    <x v="0"/>
    <n v="631"/>
    <n v="1.3555813113485901E+18"/>
    <n v="0"/>
  </r>
  <r>
    <n v="944"/>
    <n v="1661098"/>
    <x v="4"/>
    <x v="1"/>
    <n v="1392"/>
    <n v="1.3555826986313999E+18"/>
    <n v="0"/>
  </r>
  <r>
    <n v="945"/>
    <n v="475973"/>
    <x v="6"/>
    <x v="4"/>
    <n v="940"/>
    <n v="1.3555835827068101E+18"/>
    <n v="0"/>
  </r>
  <r>
    <n v="946"/>
    <n v="411177"/>
    <x v="4"/>
    <x v="3"/>
    <n v="993"/>
    <n v="1.3555849702329001E+18"/>
    <n v="0"/>
  </r>
  <r>
    <n v="947"/>
    <n v="1104506"/>
    <x v="5"/>
    <x v="0"/>
    <n v="1294"/>
    <n v="1.3555863577798999E+18"/>
    <n v="0"/>
  </r>
  <r>
    <n v="948"/>
    <n v="60859"/>
    <x v="3"/>
    <x v="2"/>
    <n v="1390"/>
    <n v="1.3555872415869199E+18"/>
    <n v="0"/>
  </r>
  <r>
    <n v="949"/>
    <n v="667398"/>
    <x v="5"/>
    <x v="4"/>
    <n v="897"/>
    <n v="1.35558812562878E+18"/>
    <n v="0"/>
  </r>
  <r>
    <n v="950"/>
    <n v="1833070"/>
    <x v="4"/>
    <x v="1"/>
    <n v="1473"/>
    <n v="1.3555895128109299E+18"/>
    <n v="0"/>
  </r>
  <r>
    <n v="951"/>
    <n v="900726"/>
    <x v="5"/>
    <x v="0"/>
    <n v="938"/>
    <n v="1.35559090024894E+18"/>
    <n v="0"/>
  </r>
  <r>
    <n v="952"/>
    <n v="177347"/>
    <x v="5"/>
    <x v="0"/>
    <n v="1175"/>
    <n v="1.35559178405171E+18"/>
    <n v="0"/>
  </r>
  <r>
    <n v="953"/>
    <n v="1184641"/>
    <x v="2"/>
    <x v="0"/>
    <n v="954"/>
    <n v="1.3555931714855199E+18"/>
    <n v="0"/>
  </r>
  <r>
    <n v="954"/>
    <n v="965906"/>
    <x v="3"/>
    <x v="4"/>
    <n v="1294"/>
    <n v="1.3555940558042099E+18"/>
    <n v="0"/>
  </r>
  <r>
    <n v="955"/>
    <n v="297542"/>
    <x v="4"/>
    <x v="4"/>
    <n v="1022"/>
    <n v="1.35559468845198E+18"/>
    <n v="0"/>
  </r>
  <r>
    <n v="956"/>
    <n v="1136885"/>
    <x v="0"/>
    <x v="1"/>
    <n v="1079"/>
    <n v="1.3555958248945101E+18"/>
    <n v="0"/>
  </r>
  <r>
    <n v="957"/>
    <n v="1022576"/>
    <x v="6"/>
    <x v="0"/>
    <n v="879"/>
    <n v="1.35559645732419E+18"/>
    <n v="0"/>
  </r>
  <r>
    <n v="958"/>
    <n v="582301"/>
    <x v="5"/>
    <x v="3"/>
    <n v="472"/>
    <n v="1.3555975928188201E+18"/>
    <n v="0"/>
  </r>
  <r>
    <n v="959"/>
    <n v="226784"/>
    <x v="1"/>
    <x v="4"/>
    <n v="460"/>
    <n v="1.3555989807475599E+18"/>
    <n v="0"/>
  </r>
  <r>
    <n v="960"/>
    <n v="1778443"/>
    <x v="0"/>
    <x v="3"/>
    <n v="501"/>
    <n v="1.3555998653388401E+18"/>
    <n v="0"/>
  </r>
  <r>
    <n v="961"/>
    <n v="1110396"/>
    <x v="4"/>
    <x v="4"/>
    <n v="662"/>
    <n v="1.35560024579998E+18"/>
    <n v="0"/>
  </r>
  <r>
    <n v="962"/>
    <n v="485590"/>
    <x v="0"/>
    <x v="3"/>
    <n v="687"/>
    <n v="1.3556016333176901E+18"/>
    <n v="0"/>
  </r>
  <r>
    <n v="963"/>
    <n v="1218890"/>
    <x v="4"/>
    <x v="2"/>
    <n v="513"/>
    <n v="1.3556030205124201E+18"/>
    <n v="0"/>
  </r>
  <r>
    <n v="964"/>
    <n v="1928639"/>
    <x v="4"/>
    <x v="3"/>
    <n v="1351"/>
    <n v="1.3556036530176599E+18"/>
    <n v="0"/>
  </r>
  <r>
    <n v="965"/>
    <n v="891552"/>
    <x v="3"/>
    <x v="4"/>
    <n v="1275"/>
    <n v="1.35560428574511E+18"/>
    <n v="0"/>
  </r>
  <r>
    <n v="966"/>
    <n v="760086"/>
    <x v="1"/>
    <x v="4"/>
    <n v="432"/>
    <n v="1.3556051699673999E+18"/>
    <n v="0"/>
  </r>
  <r>
    <n v="967"/>
    <n v="1741383"/>
    <x v="6"/>
    <x v="3"/>
    <n v="528"/>
    <n v="1.3556063056045901E+18"/>
    <n v="0"/>
  </r>
  <r>
    <n v="968"/>
    <n v="675571"/>
    <x v="3"/>
    <x v="2"/>
    <n v="903"/>
    <n v="1.3556076927573601E+18"/>
    <n v="0"/>
  </r>
  <r>
    <n v="969"/>
    <n v="1162592"/>
    <x v="6"/>
    <x v="2"/>
    <n v="743"/>
    <n v="1.35560832529617E+18"/>
    <n v="0"/>
  </r>
  <r>
    <n v="970"/>
    <n v="1097143"/>
    <x v="4"/>
    <x v="3"/>
    <n v="833"/>
    <n v="1.3556094609501E+18"/>
    <n v="0"/>
  </r>
  <r>
    <n v="971"/>
    <n v="974637"/>
    <x v="0"/>
    <x v="2"/>
    <n v="1367"/>
    <n v="1.35561084866494E+18"/>
    <n v="0"/>
  </r>
  <r>
    <n v="972"/>
    <n v="718040"/>
    <x v="2"/>
    <x v="3"/>
    <n v="576"/>
    <n v="1.3556117328242401E+18"/>
    <n v="0"/>
  </r>
  <r>
    <n v="973"/>
    <n v="673617"/>
    <x v="5"/>
    <x v="2"/>
    <n v="1472"/>
    <n v="1.3556126168031601E+18"/>
    <n v="0"/>
  </r>
  <r>
    <n v="974"/>
    <n v="1852127"/>
    <x v="4"/>
    <x v="4"/>
    <n v="1150"/>
    <n v="1.3556132495515699E+18"/>
    <n v="0"/>
  </r>
  <r>
    <n v="975"/>
    <n v="1832755"/>
    <x v="5"/>
    <x v="3"/>
    <n v="568"/>
    <n v="1.3556143854320901E+18"/>
    <n v="0"/>
  </r>
  <r>
    <n v="976"/>
    <n v="1381827"/>
    <x v="3"/>
    <x v="3"/>
    <n v="1420"/>
    <n v="1.3556150180212201E+18"/>
    <n v="0"/>
  </r>
  <r>
    <n v="977"/>
    <n v="703733"/>
    <x v="6"/>
    <x v="2"/>
    <n v="904"/>
    <n v="1.35561590228958E+18"/>
    <n v="0"/>
  </r>
  <r>
    <n v="978"/>
    <n v="622298"/>
    <x v="1"/>
    <x v="2"/>
    <n v="1139"/>
    <n v="1.35561653464802E+18"/>
    <n v="0"/>
  </r>
  <r>
    <n v="979"/>
    <n v="1688240"/>
    <x v="0"/>
    <x v="0"/>
    <n v="1046"/>
    <n v="1.35561716719937E+18"/>
    <n v="0"/>
  </r>
  <r>
    <n v="980"/>
    <n v="251659"/>
    <x v="2"/>
    <x v="1"/>
    <n v="962"/>
    <n v="1.3556180514885801E+18"/>
    <n v="0"/>
  </r>
  <r>
    <n v="981"/>
    <n v="1729188"/>
    <x v="2"/>
    <x v="0"/>
    <n v="742"/>
    <n v="1.35561918766274E+18"/>
    <n v="0"/>
  </r>
  <r>
    <n v="982"/>
    <n v="1843324"/>
    <x v="1"/>
    <x v="3"/>
    <n v="1445"/>
    <n v="1.3556205750755699E+18"/>
    <n v="0"/>
  </r>
  <r>
    <n v="983"/>
    <n v="1184433"/>
    <x v="4"/>
    <x v="3"/>
    <n v="799"/>
    <n v="1.3556212076773E+18"/>
    <n v="0"/>
  </r>
  <r>
    <n v="984"/>
    <n v="1710766"/>
    <x v="3"/>
    <x v="1"/>
    <n v="1000"/>
    <n v="1.35562209196658E+18"/>
    <n v="0"/>
  </r>
  <r>
    <n v="985"/>
    <n v="1013974"/>
    <x v="4"/>
    <x v="2"/>
    <n v="950"/>
    <n v="1.35562297584064E+18"/>
    <n v="0"/>
  </r>
  <r>
    <n v="986"/>
    <n v="1580698"/>
    <x v="5"/>
    <x v="0"/>
    <n v="1480"/>
    <n v="1.35562360831234E+18"/>
    <n v="0"/>
  </r>
  <r>
    <n v="987"/>
    <n v="1743091"/>
    <x v="0"/>
    <x v="4"/>
    <n v="1085"/>
    <n v="1.35562424088048E+18"/>
    <n v="0"/>
  </r>
  <r>
    <n v="988"/>
    <n v="1565188"/>
    <x v="3"/>
    <x v="0"/>
    <n v="1288"/>
    <n v="1.35562512485935E+18"/>
    <n v="0"/>
  </r>
  <r>
    <n v="989"/>
    <n v="906365"/>
    <x v="6"/>
    <x v="4"/>
    <n v="1077"/>
    <n v="1.35562651286787E+18"/>
    <n v="0"/>
  </r>
  <r>
    <n v="990"/>
    <n v="691625"/>
    <x v="4"/>
    <x v="3"/>
    <n v="506"/>
    <n v="1.3556271452514701E+18"/>
    <n v="0"/>
  </r>
  <r>
    <n v="991"/>
    <n v="1759351"/>
    <x v="4"/>
    <x v="3"/>
    <n v="612"/>
    <n v="1.3556277775931E+18"/>
    <n v="0"/>
  </r>
  <r>
    <n v="992"/>
    <n v="1932100"/>
    <x v="3"/>
    <x v="3"/>
    <n v="995"/>
    <n v="1.35562866186559E+18"/>
    <n v="0"/>
  </r>
  <r>
    <n v="993"/>
    <n v="1221935"/>
    <x v="2"/>
    <x v="2"/>
    <n v="480"/>
    <n v="1.35562954616752E+18"/>
    <n v="0"/>
  </r>
  <r>
    <n v="994"/>
    <n v="945155"/>
    <x v="3"/>
    <x v="1"/>
    <n v="1135"/>
    <n v="1.3556301785469599E+18"/>
    <n v="0"/>
  </r>
  <r>
    <n v="995"/>
    <n v="239122"/>
    <x v="5"/>
    <x v="4"/>
    <n v="956"/>
    <n v="1.35563106247134E+18"/>
    <n v="0"/>
  </r>
  <r>
    <n v="996"/>
    <n v="858504"/>
    <x v="1"/>
    <x v="0"/>
    <n v="1243"/>
    <n v="1.35563219824273E+18"/>
    <n v="0"/>
  </r>
  <r>
    <n v="997"/>
    <n v="1028814"/>
    <x v="6"/>
    <x v="0"/>
    <n v="784"/>
    <n v="1.3556330825739699E+18"/>
    <n v="0"/>
  </r>
  <r>
    <n v="998"/>
    <n v="349799"/>
    <x v="0"/>
    <x v="3"/>
    <n v="806"/>
    <n v="1.3556342182698501E+18"/>
    <n v="0"/>
  </r>
  <r>
    <n v="999"/>
    <n v="540486"/>
    <x v="2"/>
    <x v="4"/>
    <n v="861"/>
    <n v="1.35563560587566E+18"/>
    <n v="0"/>
  </r>
  <r>
    <n v="1000"/>
    <n v="304486"/>
    <x v="4"/>
    <x v="1"/>
    <n v="891"/>
    <n v="1.35563674162607E+18"/>
    <n v="0"/>
  </r>
  <r>
    <n v="1001"/>
    <n v="1191104"/>
    <x v="1"/>
    <x v="0"/>
    <n v="1477"/>
    <n v="1.3556373741648599E+18"/>
    <n v="0"/>
  </r>
  <r>
    <n v="1002"/>
    <n v="1329833"/>
    <x v="0"/>
    <x v="3"/>
    <n v="809"/>
    <n v="1.35563825814797E+18"/>
    <n v="0"/>
  </r>
  <r>
    <n v="1003"/>
    <n v="1718860"/>
    <x v="2"/>
    <x v="3"/>
    <n v="1188"/>
    <n v="1.35563914222338E+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CDE0B-0D36-4A90-8E2B-A2D38021C3EC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iudades/rooms">
  <location ref="A1:E9" firstHeaderRow="0" firstDataRow="1" firstDataCol="1"/>
  <pivotFields count="7">
    <pivotField showAll="0"/>
    <pivotField showAll="0"/>
    <pivotField axis="axisRow" showAll="0">
      <items count="8">
        <item sd="0" x="6"/>
        <item sd="0" x="4"/>
        <item sd="0" x="1"/>
        <item sd="0" x="2"/>
        <item sd="0" x="0"/>
        <item sd="0" x="5"/>
        <item sd="0" x="3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" fld="4" subtotal="count" baseField="2" baseItem="0"/>
    <dataField name="total €" fld="4" baseField="0" baseItem="0" numFmtId="4"/>
    <dataField name="media coste" fld="4" subtotal="average" baseField="2" baseItem="0" numFmtId="4"/>
    <dataField name="% coste" fld="4" showDataAs="percentOfTotal" baseField="2" baseItem="0" numFmtId="10"/>
  </dataFields>
  <formats count="2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21-01-31T18:21:08.21" personId="{AD54FACC-7458-4989-A587-01F08EDB6038}" id="{A56A1FA7-6F11-4469-9AAC-DB82210D0907}">
    <text>Conexión twitter, transformaciones, Conexión con dockers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5" dT="2021-02-02T21:14:22.01" personId="{AD54FACC-7458-4989-A587-01F08EDB6038}" id="{FE900C4F-437B-4E88-8FD1-75245F26A399}">
    <text>OJO**** REVISAR LA IMPUTACIÓN DEL VOLUMEN SI DIARIO O MENSUAL...
MENSUAL EL BENEFICIO SE DISPARA MUCHO.</text>
  </threadedComment>
  <threadedComment ref="Z13" dT="2021-02-02T21:14:22.01" personId="{AD54FACC-7458-4989-A587-01F08EDB6038}" id="{A0623ECB-62D2-4606-9F90-85BE1A1DA739}">
    <text>OJO**** REVISAR LA IMPUTACIÓN DEL VOLUMEN SI DIARIO O MENSUAL...
MENSUAL EL BENEFICIO SE DISPARA MUCHO.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8" dT="2021-01-19T18:39:17.13" personId="{AD54FACC-7458-4989-A587-01F08EDB6038}" id="{E64E6622-5784-4610-8117-031CDA8CB466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eveloper.twitter.com/en/pricing/search-30da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sys.es/hosting" TargetMode="External"/><Relationship Id="rId1" Type="http://schemas.openxmlformats.org/officeDocument/2006/relationships/hyperlink" Target="https://cloud.google.com/products/calculator" TargetMode="External"/><Relationship Id="rId6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emprendis.com/centro-de-negocios/las-artes" TargetMode="External"/><Relationship Id="rId4" Type="http://schemas.openxmlformats.org/officeDocument/2006/relationships/hyperlink" Target="https://consumer.huawei.com/es/laptops/matebook-x-pro-2020/buy/?gclid=CjwKCAiA6aSABhApEiwA6Cbm_8-L_0oeJg19CiYdTP8n1Ex5EjxqOE7gYv_q1JBbj8M0v06PCV2mRRoCRqcQAv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products/calculator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cloud.google.com/products/calculator" TargetMode="External"/><Relationship Id="rId7" Type="http://schemas.openxmlformats.org/officeDocument/2006/relationships/hyperlink" Target="https://emprendis.com/centro-de-negocios/las-artes" TargetMode="External"/><Relationship Id="rId12" Type="http://schemas.openxmlformats.org/officeDocument/2006/relationships/hyperlink" Target="https://cloud.google.com/products/calculator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developer.twitter.com/en/pricing/search-30day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arsys.es/hosting" TargetMode="External"/><Relationship Id="rId6" Type="http://schemas.openxmlformats.org/officeDocument/2006/relationships/hyperlink" Target="https://developer.twitter.com/en/pricing/search-30day" TargetMode="External"/><Relationship Id="rId11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www.arsys.es/hosting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cloud.google.com/products/calculator" TargetMode="External"/><Relationship Id="rId4" Type="http://schemas.openxmlformats.org/officeDocument/2006/relationships/hyperlink" Target="https://emprendis.com/centro-de-negocios/las-artes" TargetMode="External"/><Relationship Id="rId9" Type="http://schemas.openxmlformats.org/officeDocument/2006/relationships/hyperlink" Target="https://developer.twitter.com/en/pricing/search-30day" TargetMode="Externa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/GFT-Technologies-Data-Engineer-Valencia-Sueldos-EJI_IE935116.0,16_KO17,30_IL.31,39_IC2639089.htm" TargetMode="External"/><Relationship Id="rId13" Type="http://schemas.openxmlformats.org/officeDocument/2006/relationships/hyperlink" Target="https://www.glassdoor.es/Sueldos/valencia-it-helpdesk-support-sueldo-SRCH_IL.0,8_IC2639089_KO9,28.htm?clickSource=searchBtn" TargetMode="External"/><Relationship Id="rId18" Type="http://schemas.openxmlformats.org/officeDocument/2006/relationships/comments" Target="../comments3.xm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ata-engineer-sueldo-SRCH_IL.0,8_IC2639089_KO9,22.htm?clickSource=searchBtn" TargetMode="External"/><Relationship Id="rId12" Type="http://schemas.openxmlformats.org/officeDocument/2006/relationships/hyperlink" Target="https://www.glassdoor.es/Sueldos/valencia-devops-sueldo-SRCH_IL.0,8_IC2639089_KO9,15.htm?clickSource=searchBtn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full-stack-web-developer-sueldo-SRCH_IL.0,8_IC2639089_KO9,3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hyperlink" Target="https://www.glassdoor.es/Sueldos/valencia-user-experience-designer-sueldo-SRCH_IL.0,8_IC2639089_KO9,33.htm?clickSource=searchBtn" TargetMode="External"/><Relationship Id="rId10" Type="http://schemas.openxmlformats.org/officeDocument/2006/relationships/hyperlink" Target="https://www.glassdoor.es/Sueldos/valencia-project-manager-sueldo-SRCH_IL.0,8_IC2639089_KO9,24.htm?clickSource=searchBtn" TargetMode="External"/><Relationship Id="rId19" Type="http://schemas.microsoft.com/office/2017/10/relationships/threadedComment" Target="../threadedComments/threadedComment3.xm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valencia-scrum-master-manager-sueldo-SRCH_IL.0,8_IC2639089_KO9,29.htm?clickSource=searchBtn" TargetMode="External"/><Relationship Id="rId14" Type="http://schemas.openxmlformats.org/officeDocument/2006/relationships/hyperlink" Target="https://www.glassdoor.es/Sueldos/madrid-cloud-architect-sueldo-SRCH_IL.0,6_IM1030_KO7,22.htm?clickSource=searchBt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B991-3ED8-4762-8FCF-AAB641D361CA}">
  <dimension ref="A1:M41"/>
  <sheetViews>
    <sheetView zoomScale="85" zoomScaleNormal="85" workbookViewId="0">
      <selection activeCell="M26" sqref="B1:M26"/>
    </sheetView>
  </sheetViews>
  <sheetFormatPr baseColWidth="10" defaultRowHeight="14.4"/>
  <cols>
    <col min="1" max="1" width="1.21875" style="5" customWidth="1"/>
    <col min="2" max="2" width="22.44140625" bestFit="1" customWidth="1"/>
    <col min="3" max="3" width="8" bestFit="1" customWidth="1"/>
    <col min="4" max="4" width="11.33203125" bestFit="1" customWidth="1"/>
    <col min="5" max="5" width="39.21875" customWidth="1"/>
    <col min="6" max="6" width="51.88671875" customWidth="1"/>
    <col min="7" max="7" width="29" customWidth="1"/>
    <col min="8" max="8" width="14.21875" customWidth="1"/>
    <col min="9" max="9" width="8.5546875" bestFit="1" customWidth="1"/>
    <col min="10" max="10" width="12.6640625" customWidth="1"/>
  </cols>
  <sheetData>
    <row r="1" spans="1:13">
      <c r="C1" s="4" t="s">
        <v>18</v>
      </c>
      <c r="D1" s="4" t="s">
        <v>11</v>
      </c>
    </row>
    <row r="2" spans="1:13">
      <c r="A2" s="5" t="s">
        <v>0</v>
      </c>
      <c r="C2" s="1">
        <f>+C5+C16+C23</f>
        <v>2129.4859999999999</v>
      </c>
      <c r="D2" s="1">
        <f>+D5+D16+D23</f>
        <v>32753.311999999994</v>
      </c>
    </row>
    <row r="4" spans="1:13">
      <c r="G4" s="16" t="s">
        <v>27</v>
      </c>
      <c r="H4" s="10"/>
      <c r="I4" s="10"/>
      <c r="J4" s="10"/>
      <c r="K4" s="10"/>
      <c r="L4" s="10"/>
      <c r="M4" s="10"/>
    </row>
    <row r="5" spans="1:13">
      <c r="A5" s="6" t="s">
        <v>19</v>
      </c>
      <c r="B5" s="2"/>
      <c r="C5" s="32">
        <f>+SUM(C6:C11)</f>
        <v>1774.5716666666665</v>
      </c>
      <c r="D5" s="32">
        <f>+SUM(D6:D11)</f>
        <v>21518.226666666662</v>
      </c>
      <c r="E5" s="2"/>
      <c r="G5" s="18" t="s">
        <v>28</v>
      </c>
      <c r="H5" s="25" t="s">
        <v>29</v>
      </c>
      <c r="I5" s="25" t="s">
        <v>52</v>
      </c>
      <c r="J5" s="25" t="s">
        <v>30</v>
      </c>
      <c r="K5" s="25" t="s">
        <v>31</v>
      </c>
      <c r="L5" s="25" t="s">
        <v>32</v>
      </c>
      <c r="M5" s="25" t="s">
        <v>33</v>
      </c>
    </row>
    <row r="6" spans="1:13" ht="43.2">
      <c r="A6" s="8"/>
      <c r="B6" s="26" t="s">
        <v>72</v>
      </c>
      <c r="C6" s="27">
        <f>+'horas roles costes'!G4</f>
        <v>1694.7916666666665</v>
      </c>
      <c r="D6" s="27">
        <f>+'horas roles costes'!G14</f>
        <v>8676.0666666666657</v>
      </c>
      <c r="E6" s="34" t="s">
        <v>63</v>
      </c>
      <c r="G6" s="95" t="s">
        <v>42</v>
      </c>
      <c r="H6" s="20" t="s">
        <v>38</v>
      </c>
      <c r="I6" s="19">
        <v>1</v>
      </c>
      <c r="J6" s="20" t="s">
        <v>35</v>
      </c>
      <c r="K6" s="19" t="s">
        <v>53</v>
      </c>
      <c r="L6" s="21">
        <v>39.89</v>
      </c>
      <c r="M6" s="21">
        <f>+L6*2</f>
        <v>79.78</v>
      </c>
    </row>
    <row r="7" spans="1:13">
      <c r="A7" s="8" t="s">
        <v>51</v>
      </c>
      <c r="B7" s="28" t="s">
        <v>20</v>
      </c>
      <c r="C7" s="27">
        <v>0</v>
      </c>
      <c r="D7" s="35">
        <v>0</v>
      </c>
      <c r="E7" s="26" t="s">
        <v>164</v>
      </c>
      <c r="G7" s="96"/>
      <c r="H7" s="22" t="s">
        <v>40</v>
      </c>
      <c r="I7" s="23">
        <v>1</v>
      </c>
      <c r="J7" s="22" t="s">
        <v>35</v>
      </c>
      <c r="K7" s="22" t="s">
        <v>39</v>
      </c>
      <c r="L7" s="24">
        <v>99.42</v>
      </c>
      <c r="M7" s="24">
        <f>+L7*12</f>
        <v>1193.04</v>
      </c>
    </row>
    <row r="8" spans="1:13">
      <c r="A8" s="8"/>
      <c r="B8" s="26" t="s">
        <v>21</v>
      </c>
      <c r="C8" s="27"/>
      <c r="D8" s="27"/>
      <c r="E8" s="26"/>
      <c r="G8" s="22" t="s">
        <v>44</v>
      </c>
      <c r="H8" s="22" t="s">
        <v>36</v>
      </c>
      <c r="I8" s="23">
        <v>1</v>
      </c>
      <c r="J8" s="22" t="s">
        <v>35</v>
      </c>
      <c r="K8" s="23"/>
      <c r="L8" s="24">
        <v>5</v>
      </c>
      <c r="M8" s="24">
        <f>+L8*12</f>
        <v>60</v>
      </c>
    </row>
    <row r="9" spans="1:13" ht="26.4">
      <c r="A9" s="8" t="s">
        <v>51</v>
      </c>
      <c r="B9" s="28" t="s">
        <v>34</v>
      </c>
      <c r="C9" s="36">
        <f>+M6</f>
        <v>79.78</v>
      </c>
      <c r="D9" s="27"/>
      <c r="E9" s="26" t="s">
        <v>41</v>
      </c>
      <c r="G9" s="22" t="s">
        <v>45</v>
      </c>
      <c r="H9" s="22" t="s">
        <v>46</v>
      </c>
      <c r="I9" s="23">
        <v>1</v>
      </c>
      <c r="J9" s="22" t="s">
        <v>48</v>
      </c>
      <c r="K9" s="23">
        <v>1299</v>
      </c>
      <c r="L9" s="24">
        <f>+K9*H14</f>
        <v>1065.1799999999998</v>
      </c>
      <c r="M9" s="24">
        <f>+L9*12</f>
        <v>12782.159999999998</v>
      </c>
    </row>
    <row r="10" spans="1:13" ht="52.8">
      <c r="A10" s="8" t="s">
        <v>51</v>
      </c>
      <c r="B10" s="28" t="s">
        <v>43</v>
      </c>
      <c r="C10" s="27">
        <v>0</v>
      </c>
      <c r="D10" s="27">
        <f>+M8</f>
        <v>60</v>
      </c>
      <c r="E10" s="26"/>
      <c r="G10" s="22" t="s">
        <v>50</v>
      </c>
      <c r="H10" s="22" t="s">
        <v>49</v>
      </c>
      <c r="I10" s="22">
        <v>7</v>
      </c>
      <c r="J10" s="22"/>
      <c r="K10" s="22"/>
      <c r="L10" s="24">
        <v>1099</v>
      </c>
      <c r="M10" s="24">
        <f>+L10*I10</f>
        <v>7693</v>
      </c>
    </row>
    <row r="11" spans="1:13">
      <c r="A11" s="8" t="s">
        <v>51</v>
      </c>
      <c r="B11" s="28" t="s">
        <v>47</v>
      </c>
      <c r="C11" s="27">
        <v>0</v>
      </c>
      <c r="D11" s="27">
        <f>+M9</f>
        <v>12782.159999999998</v>
      </c>
      <c r="E11" s="26"/>
      <c r="G11" s="31" t="s">
        <v>61</v>
      </c>
      <c r="H11" s="10" t="s">
        <v>62</v>
      </c>
      <c r="I11" s="10">
        <v>4</v>
      </c>
      <c r="J11" s="10" t="s">
        <v>35</v>
      </c>
      <c r="K11" s="10"/>
      <c r="L11" s="13">
        <v>158.33000000000001</v>
      </c>
      <c r="M11" s="13">
        <f>+L11*12</f>
        <v>1899.96</v>
      </c>
    </row>
    <row r="12" spans="1:13">
      <c r="A12" s="8"/>
      <c r="B12" s="28" t="s">
        <v>60</v>
      </c>
      <c r="C12" s="27">
        <v>0</v>
      </c>
      <c r="D12" s="27">
        <f>+M11</f>
        <v>1899.96</v>
      </c>
      <c r="E12" s="26"/>
      <c r="G12" s="14"/>
      <c r="H12" s="14"/>
      <c r="I12" s="10"/>
      <c r="J12" s="10"/>
      <c r="K12" s="10"/>
      <c r="L12" s="13"/>
      <c r="M12" s="12"/>
    </row>
    <row r="13" spans="1:13">
      <c r="A13" s="8"/>
      <c r="B13" s="26" t="s">
        <v>71</v>
      </c>
      <c r="C13" s="27"/>
      <c r="D13" s="27"/>
      <c r="E13" s="26"/>
      <c r="G13" s="9"/>
      <c r="H13" s="10"/>
      <c r="I13" s="10"/>
      <c r="J13" s="10"/>
      <c r="K13" s="10"/>
      <c r="L13" s="10"/>
      <c r="M13" s="10"/>
    </row>
    <row r="14" spans="1:13">
      <c r="B14" s="26"/>
      <c r="C14" s="27"/>
      <c r="D14" s="27"/>
      <c r="E14" s="26"/>
      <c r="G14" s="10" t="s">
        <v>37</v>
      </c>
      <c r="H14" s="11">
        <v>0.82</v>
      </c>
      <c r="I14" s="10"/>
      <c r="J14" s="10"/>
      <c r="K14" s="10"/>
      <c r="L14" s="10"/>
      <c r="M14" s="10"/>
    </row>
    <row r="15" spans="1:13">
      <c r="C15" s="33"/>
      <c r="D15" s="33"/>
      <c r="G15" s="10"/>
      <c r="H15" s="11"/>
      <c r="I15" s="11"/>
      <c r="J15" s="11"/>
      <c r="K15" s="11"/>
      <c r="L15" s="15"/>
      <c r="M15" s="10"/>
    </row>
    <row r="16" spans="1:13">
      <c r="A16" s="6" t="s">
        <v>22</v>
      </c>
      <c r="B16" s="2"/>
      <c r="C16" s="32">
        <v>0</v>
      </c>
      <c r="D16" s="32">
        <f>+SUM(D17:D20)</f>
        <v>5776.2</v>
      </c>
      <c r="E16" s="2"/>
      <c r="G16" s="30" t="s">
        <v>57</v>
      </c>
      <c r="H16" s="18"/>
      <c r="I16" s="18"/>
      <c r="J16" s="18"/>
      <c r="K16" s="18"/>
      <c r="L16" s="18"/>
      <c r="M16" s="18"/>
    </row>
    <row r="17" spans="1:13">
      <c r="C17" s="1"/>
      <c r="D17" s="1"/>
      <c r="I17" s="17"/>
      <c r="J17" s="17"/>
      <c r="K17" s="17"/>
      <c r="L17" s="17"/>
      <c r="M17" s="17"/>
    </row>
    <row r="18" spans="1:13">
      <c r="B18" t="s">
        <v>23</v>
      </c>
      <c r="C18" s="1">
        <v>0</v>
      </c>
      <c r="D18" s="1">
        <f>33.05*7*12</f>
        <v>2776.2</v>
      </c>
      <c r="G18" t="s">
        <v>59</v>
      </c>
      <c r="H18" s="29" t="s">
        <v>55</v>
      </c>
    </row>
    <row r="19" spans="1:13">
      <c r="B19" t="s">
        <v>24</v>
      </c>
      <c r="C19" s="1"/>
      <c r="D19" s="1"/>
      <c r="G19" t="s">
        <v>58</v>
      </c>
      <c r="H19" s="29" t="s">
        <v>56</v>
      </c>
    </row>
    <row r="20" spans="1:13">
      <c r="B20" s="7" t="s">
        <v>54</v>
      </c>
      <c r="C20" s="1">
        <v>0</v>
      </c>
      <c r="D20" s="1">
        <f>250*12</f>
        <v>3000</v>
      </c>
    </row>
    <row r="21" spans="1:13">
      <c r="C21" s="1"/>
      <c r="D21" s="1"/>
    </row>
    <row r="22" spans="1:13">
      <c r="C22" s="1"/>
      <c r="D22" s="1"/>
    </row>
    <row r="23" spans="1:13">
      <c r="A23" s="6" t="s">
        <v>25</v>
      </c>
      <c r="B23" s="2"/>
      <c r="C23" s="32">
        <f>+C24</f>
        <v>354.91433333333333</v>
      </c>
      <c r="D23" s="32">
        <f>+D24</f>
        <v>5458.8853333333327</v>
      </c>
      <c r="E23" s="2"/>
    </row>
    <row r="24" spans="1:13">
      <c r="B24" s="3" t="s">
        <v>26</v>
      </c>
      <c r="C24" s="1">
        <f>+C5*20%</f>
        <v>354.91433333333333</v>
      </c>
      <c r="D24" s="1">
        <f>+(D5+D16)*20%</f>
        <v>5458.8853333333327</v>
      </c>
    </row>
    <row r="25" spans="1:13">
      <c r="C25" s="1"/>
      <c r="D25" s="1"/>
    </row>
    <row r="26" spans="1:13">
      <c r="C26" s="1"/>
      <c r="D26" s="1"/>
    </row>
    <row r="27" spans="1:13">
      <c r="F27" t="s">
        <v>70</v>
      </c>
    </row>
    <row r="30" spans="1:13">
      <c r="F30" s="3" t="s">
        <v>68</v>
      </c>
      <c r="G30" t="s">
        <v>76</v>
      </c>
    </row>
    <row r="31" spans="1:13">
      <c r="F31" t="s">
        <v>64</v>
      </c>
    </row>
    <row r="32" spans="1:13">
      <c r="F32" t="s">
        <v>65</v>
      </c>
    </row>
    <row r="35" spans="6:6">
      <c r="F35" t="s">
        <v>67</v>
      </c>
    </row>
    <row r="36" spans="6:6">
      <c r="F36" t="s">
        <v>66</v>
      </c>
    </row>
    <row r="37" spans="6:6">
      <c r="F37" t="s">
        <v>69</v>
      </c>
    </row>
    <row r="39" spans="6:6">
      <c r="F39" t="s">
        <v>73</v>
      </c>
    </row>
    <row r="40" spans="6:6">
      <c r="F40" t="s">
        <v>74</v>
      </c>
    </row>
    <row r="41" spans="6:6">
      <c r="F41" t="s">
        <v>75</v>
      </c>
    </row>
  </sheetData>
  <mergeCells count="1">
    <mergeCell ref="G6:G7"/>
  </mergeCells>
  <hyperlinks>
    <hyperlink ref="B9" r:id="rId1" location="id=85d2f3d8-540c-44d7-9115-ffb3e7b0f6f7" display="Instancia Cloud" xr:uid="{F202B379-ECFE-4E0C-A4DF-D64B3BF4290A}"/>
    <hyperlink ref="B10" r:id="rId2" display="Alojamiento web" xr:uid="{AA73321C-A8FA-4380-8C88-606FD2E493F6}"/>
    <hyperlink ref="B11" r:id="rId3" xr:uid="{1FCC3170-D559-4B02-9F13-F4B11D14ED4A}"/>
    <hyperlink ref="B7" r:id="rId4" display="Equipos PC" xr:uid="{37E0DF18-5719-4315-A858-26295808B288}"/>
    <hyperlink ref="B20" r:id="rId5" display="local" xr:uid="{08DFCBDD-792A-47D7-A64E-BC78878A3279}"/>
    <hyperlink ref="B12" r:id="rId6" location="id=e06018ff-51dc-4531-b361-1c7029c277ab" xr:uid="{7D920A24-78D3-48D3-B0A7-DC34EF06B1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D5B8-37C3-41F7-B27F-6152AA0E1502}">
  <dimension ref="A3:Q34"/>
  <sheetViews>
    <sheetView workbookViewId="0">
      <selection activeCell="T6" sqref="T6:U10"/>
    </sheetView>
  </sheetViews>
  <sheetFormatPr baseColWidth="10" defaultRowHeight="14.4"/>
  <cols>
    <col min="1" max="2" width="3.5546875" bestFit="1" customWidth="1"/>
    <col min="3" max="3" width="3.5546875" customWidth="1"/>
    <col min="4" max="4" width="5.77734375" bestFit="1" customWidth="1"/>
    <col min="5" max="5" width="3.5546875" bestFit="1" customWidth="1"/>
    <col min="6" max="8" width="3.5546875" customWidth="1"/>
    <col min="9" max="9" width="8.109375" bestFit="1" customWidth="1"/>
    <col min="11" max="11" width="10.44140625" customWidth="1"/>
    <col min="12" max="12" width="24.88671875" customWidth="1"/>
    <col min="13" max="13" width="18.5546875" bestFit="1" customWidth="1"/>
    <col min="14" max="14" width="8.88671875" customWidth="1"/>
    <col min="16" max="16" width="11.5546875" style="1"/>
  </cols>
  <sheetData>
    <row r="3" spans="1:16" s="5" customFormat="1">
      <c r="A3" s="6" t="s">
        <v>151</v>
      </c>
      <c r="B3" s="6" t="s">
        <v>152</v>
      </c>
      <c r="C3" s="6" t="s">
        <v>153</v>
      </c>
      <c r="D3" s="6" t="s">
        <v>131</v>
      </c>
      <c r="E3" s="88" t="s">
        <v>109</v>
      </c>
      <c r="F3" s="89"/>
      <c r="G3" s="88" t="s">
        <v>0</v>
      </c>
      <c r="H3" s="89"/>
      <c r="I3" s="6" t="s">
        <v>119</v>
      </c>
      <c r="J3" s="6" t="s">
        <v>110</v>
      </c>
      <c r="K3" s="6" t="s">
        <v>112</v>
      </c>
      <c r="L3" s="6" t="s">
        <v>122</v>
      </c>
      <c r="M3" s="6" t="s">
        <v>108</v>
      </c>
      <c r="N3" s="6" t="s">
        <v>109</v>
      </c>
      <c r="O3" s="6" t="s">
        <v>115</v>
      </c>
      <c r="P3" s="81" t="s">
        <v>118</v>
      </c>
    </row>
    <row r="4" spans="1:16" ht="14.4" customHeight="1">
      <c r="A4" s="97" t="s">
        <v>11</v>
      </c>
      <c r="B4" s="97">
        <f>+SUM(N4:N29)</f>
        <v>598</v>
      </c>
      <c r="C4" s="103">
        <f>+SUM(P4:P29)</f>
        <v>10370.858333333335</v>
      </c>
      <c r="D4" s="97" t="s">
        <v>18</v>
      </c>
      <c r="E4" s="100">
        <f>+SUM(N4:N13)</f>
        <v>106</v>
      </c>
      <c r="F4" s="104">
        <f>+E4/B4</f>
        <v>0.17725752508361203</v>
      </c>
      <c r="G4" s="117">
        <f>+SUM(P4:P13)</f>
        <v>1694.7916666666665</v>
      </c>
      <c r="H4" s="104">
        <f>+G4/C4</f>
        <v>0.16341864985460056</v>
      </c>
      <c r="I4" s="82">
        <v>1</v>
      </c>
      <c r="J4" s="82" t="s">
        <v>107</v>
      </c>
      <c r="K4" s="82" t="s">
        <v>120</v>
      </c>
      <c r="L4" s="82"/>
      <c r="M4" s="82" t="s">
        <v>14</v>
      </c>
      <c r="N4" s="82">
        <v>16</v>
      </c>
      <c r="O4" s="83">
        <f>+'costes personal'!O8</f>
        <v>22.395833333333336</v>
      </c>
      <c r="P4" s="83">
        <f>+N4*O4</f>
        <v>358.33333333333337</v>
      </c>
    </row>
    <row r="5" spans="1:16">
      <c r="A5" s="98"/>
      <c r="B5" s="98"/>
      <c r="C5" s="98"/>
      <c r="D5" s="98"/>
      <c r="E5" s="101"/>
      <c r="F5" s="105"/>
      <c r="G5" s="101"/>
      <c r="H5" s="105"/>
      <c r="I5" s="84"/>
      <c r="J5" s="84"/>
      <c r="K5" s="84"/>
      <c r="L5" s="84" t="s">
        <v>121</v>
      </c>
      <c r="M5" s="84" t="s">
        <v>93</v>
      </c>
      <c r="N5" s="84">
        <v>16</v>
      </c>
      <c r="O5" s="85">
        <f>+'costes personal'!O7</f>
        <v>20.833333333333336</v>
      </c>
      <c r="P5" s="85">
        <f t="shared" ref="P5:P29" si="0">+N5*O5</f>
        <v>333.33333333333337</v>
      </c>
    </row>
    <row r="6" spans="1:16">
      <c r="A6" s="98"/>
      <c r="B6" s="98"/>
      <c r="C6" s="98"/>
      <c r="D6" s="98"/>
      <c r="E6" s="101"/>
      <c r="F6" s="105"/>
      <c r="G6" s="101"/>
      <c r="H6" s="105"/>
      <c r="I6" s="84"/>
      <c r="J6" s="84"/>
      <c r="K6" s="84"/>
      <c r="L6" s="84"/>
      <c r="M6" s="84"/>
      <c r="N6" s="84"/>
      <c r="O6" s="84"/>
      <c r="P6" s="85"/>
    </row>
    <row r="7" spans="1:16">
      <c r="A7" s="98"/>
      <c r="B7" s="98"/>
      <c r="C7" s="98"/>
      <c r="D7" s="98"/>
      <c r="E7" s="101"/>
      <c r="F7" s="105"/>
      <c r="G7" s="101"/>
      <c r="H7" s="105"/>
      <c r="I7" s="84">
        <v>2</v>
      </c>
      <c r="J7" s="84" t="s">
        <v>111</v>
      </c>
      <c r="K7" s="84" t="s">
        <v>113</v>
      </c>
      <c r="L7" s="84" t="s">
        <v>130</v>
      </c>
      <c r="M7" s="84" t="s">
        <v>92</v>
      </c>
      <c r="N7" s="84">
        <v>3</v>
      </c>
      <c r="O7" s="85">
        <f>+'costes personal'!O6</f>
        <v>16.666666666666664</v>
      </c>
      <c r="P7" s="85">
        <f t="shared" si="0"/>
        <v>49.999999999999993</v>
      </c>
    </row>
    <row r="8" spans="1:16">
      <c r="A8" s="98"/>
      <c r="B8" s="98"/>
      <c r="C8" s="98"/>
      <c r="D8" s="98"/>
      <c r="E8" s="101"/>
      <c r="F8" s="105"/>
      <c r="G8" s="101"/>
      <c r="H8" s="105"/>
      <c r="I8" s="84"/>
      <c r="J8" s="84"/>
      <c r="K8" s="84" t="s">
        <v>114</v>
      </c>
      <c r="L8" s="84" t="s">
        <v>123</v>
      </c>
      <c r="M8" s="84" t="s">
        <v>92</v>
      </c>
      <c r="N8" s="84">
        <v>5</v>
      </c>
      <c r="O8" s="85">
        <f>+'costes personal'!O6</f>
        <v>16.666666666666664</v>
      </c>
      <c r="P8" s="85">
        <f t="shared" si="0"/>
        <v>83.333333333333314</v>
      </c>
    </row>
    <row r="9" spans="1:16">
      <c r="A9" s="98"/>
      <c r="B9" s="98"/>
      <c r="C9" s="98"/>
      <c r="D9" s="98"/>
      <c r="E9" s="101"/>
      <c r="F9" s="105"/>
      <c r="G9" s="101"/>
      <c r="H9" s="105"/>
      <c r="I9" s="84"/>
      <c r="J9" s="84"/>
      <c r="K9" s="84"/>
      <c r="L9" s="84" t="s">
        <v>116</v>
      </c>
      <c r="M9" s="84" t="s">
        <v>91</v>
      </c>
      <c r="N9" s="84">
        <v>2</v>
      </c>
      <c r="O9" s="85">
        <f>+'costes personal'!O5</f>
        <v>9.8958333333333321</v>
      </c>
      <c r="P9" s="85">
        <f t="shared" si="0"/>
        <v>19.791666666666664</v>
      </c>
    </row>
    <row r="10" spans="1:16">
      <c r="A10" s="98"/>
      <c r="B10" s="98"/>
      <c r="C10" s="98"/>
      <c r="D10" s="98"/>
      <c r="E10" s="101"/>
      <c r="F10" s="105"/>
      <c r="G10" s="101"/>
      <c r="H10" s="105"/>
      <c r="I10" s="84">
        <v>3</v>
      </c>
      <c r="J10" s="84" t="s">
        <v>117</v>
      </c>
      <c r="K10" s="84" t="s">
        <v>117</v>
      </c>
      <c r="L10" s="84" t="s">
        <v>126</v>
      </c>
      <c r="M10" s="84" t="s">
        <v>91</v>
      </c>
      <c r="N10" s="84">
        <f>8*2</f>
        <v>16</v>
      </c>
      <c r="O10" s="85">
        <f>+'costes personal'!O5</f>
        <v>9.8958333333333321</v>
      </c>
      <c r="P10" s="85">
        <f>+N10*O10</f>
        <v>158.33333333333331</v>
      </c>
    </row>
    <row r="11" spans="1:16">
      <c r="A11" s="98"/>
      <c r="B11" s="98"/>
      <c r="C11" s="98"/>
      <c r="D11" s="98"/>
      <c r="E11" s="101"/>
      <c r="F11" s="105"/>
      <c r="G11" s="101"/>
      <c r="H11" s="105"/>
      <c r="I11" s="84"/>
      <c r="J11" s="84"/>
      <c r="K11" s="84"/>
      <c r="L11" s="84" t="s">
        <v>127</v>
      </c>
      <c r="M11" s="84" t="s">
        <v>92</v>
      </c>
      <c r="N11" s="84">
        <f>8*2</f>
        <v>16</v>
      </c>
      <c r="O11" s="85">
        <f>+'costes personal'!O6</f>
        <v>16.666666666666664</v>
      </c>
      <c r="P11" s="85">
        <f>+N11*O11</f>
        <v>266.66666666666663</v>
      </c>
    </row>
    <row r="12" spans="1:16">
      <c r="A12" s="98"/>
      <c r="B12" s="98"/>
      <c r="C12" s="98"/>
      <c r="D12" s="98"/>
      <c r="E12" s="101"/>
      <c r="F12" s="105"/>
      <c r="G12" s="101"/>
      <c r="H12" s="105"/>
      <c r="I12" s="84">
        <v>4</v>
      </c>
      <c r="J12" s="84" t="s">
        <v>124</v>
      </c>
      <c r="K12" s="84" t="s">
        <v>125</v>
      </c>
      <c r="L12" s="84" t="s">
        <v>128</v>
      </c>
      <c r="M12" s="84" t="s">
        <v>91</v>
      </c>
      <c r="N12" s="84">
        <f>8*2</f>
        <v>16</v>
      </c>
      <c r="O12" s="85">
        <f>+'costes personal'!O5</f>
        <v>9.8958333333333321</v>
      </c>
      <c r="P12" s="85">
        <f>+N12*O12</f>
        <v>158.33333333333331</v>
      </c>
    </row>
    <row r="13" spans="1:16">
      <c r="A13" s="98"/>
      <c r="B13" s="98"/>
      <c r="C13" s="98"/>
      <c r="D13" s="99"/>
      <c r="E13" s="102"/>
      <c r="F13" s="106"/>
      <c r="G13" s="102"/>
      <c r="H13" s="106"/>
      <c r="I13" s="2"/>
      <c r="J13" s="2"/>
      <c r="K13" s="2"/>
      <c r="L13" s="2" t="s">
        <v>129</v>
      </c>
      <c r="M13" s="2" t="s">
        <v>92</v>
      </c>
      <c r="N13" s="2">
        <f>8*2</f>
        <v>16</v>
      </c>
      <c r="O13" s="86">
        <f>+'costes personal'!O6</f>
        <v>16.666666666666664</v>
      </c>
      <c r="P13" s="86">
        <f>+N13*O13</f>
        <v>266.66666666666663</v>
      </c>
    </row>
    <row r="14" spans="1:16" ht="14.4" customHeight="1">
      <c r="A14" s="98"/>
      <c r="B14" s="98"/>
      <c r="C14" s="98"/>
      <c r="D14" s="97" t="s">
        <v>11</v>
      </c>
      <c r="E14" s="100">
        <f>+SUM(N14:N29)</f>
        <v>492</v>
      </c>
      <c r="F14" s="104">
        <f>+E14/B4</f>
        <v>0.82274247491638797</v>
      </c>
      <c r="G14" s="117">
        <f>+SUM(P14:P29)</f>
        <v>8676.0666666666657</v>
      </c>
      <c r="H14" s="104">
        <f>+G14/C4</f>
        <v>0.83658135014539914</v>
      </c>
      <c r="I14" s="84" t="s">
        <v>150</v>
      </c>
      <c r="J14" s="84" t="s">
        <v>149</v>
      </c>
      <c r="K14" s="84"/>
      <c r="L14" s="84"/>
      <c r="M14" s="82" t="s">
        <v>14</v>
      </c>
      <c r="N14" s="79">
        <f>140-16</f>
        <v>124</v>
      </c>
      <c r="O14" s="85">
        <f>+'costes personal'!O8</f>
        <v>22.395833333333336</v>
      </c>
      <c r="P14" s="85">
        <f>+N14*O14</f>
        <v>2777.0833333333335</v>
      </c>
    </row>
    <row r="15" spans="1:16">
      <c r="A15" s="98"/>
      <c r="B15" s="98"/>
      <c r="C15" s="98"/>
      <c r="D15" s="98"/>
      <c r="E15" s="101"/>
      <c r="F15" s="105"/>
      <c r="G15" s="118"/>
      <c r="H15" s="105"/>
      <c r="I15" s="84"/>
      <c r="J15" s="84"/>
      <c r="K15" s="84"/>
      <c r="L15" s="84"/>
      <c r="M15" s="84" t="s">
        <v>93</v>
      </c>
      <c r="N15" s="84">
        <v>124</v>
      </c>
      <c r="O15" s="85">
        <f>+'costes personal'!O7</f>
        <v>20.833333333333336</v>
      </c>
      <c r="P15" s="85">
        <f t="shared" ref="P15:P16" si="1">+N15*O15</f>
        <v>2583.3333333333335</v>
      </c>
    </row>
    <row r="16" spans="1:16">
      <c r="A16" s="98"/>
      <c r="B16" s="98"/>
      <c r="C16" s="98"/>
      <c r="D16" s="98"/>
      <c r="E16" s="101"/>
      <c r="F16" s="105"/>
      <c r="G16" s="118"/>
      <c r="H16" s="105"/>
      <c r="I16" s="84"/>
      <c r="J16" s="84"/>
      <c r="K16" s="84"/>
      <c r="L16" s="84"/>
      <c r="M16" s="79" t="s">
        <v>141</v>
      </c>
      <c r="N16" s="84">
        <v>54</v>
      </c>
      <c r="O16" s="85">
        <f>+'costes personal'!O12</f>
        <v>18.229166666666664</v>
      </c>
      <c r="P16" s="85">
        <f t="shared" si="1"/>
        <v>984.37499999999989</v>
      </c>
    </row>
    <row r="17" spans="1:17" ht="14.4" customHeight="1">
      <c r="A17" s="98"/>
      <c r="B17" s="98"/>
      <c r="C17" s="98"/>
      <c r="D17" s="98"/>
      <c r="E17" s="101"/>
      <c r="F17" s="105"/>
      <c r="G17" s="118"/>
      <c r="H17" s="105"/>
      <c r="I17" s="84">
        <v>5</v>
      </c>
      <c r="J17" s="84" t="s">
        <v>132</v>
      </c>
      <c r="K17" s="84"/>
      <c r="L17" s="84" t="s">
        <v>137</v>
      </c>
      <c r="M17" s="84" t="s">
        <v>91</v>
      </c>
      <c r="N17" s="84">
        <v>6</v>
      </c>
      <c r="O17" s="84">
        <v>9.9</v>
      </c>
      <c r="P17" s="85">
        <f t="shared" si="0"/>
        <v>59.400000000000006</v>
      </c>
    </row>
    <row r="18" spans="1:17">
      <c r="A18" s="98"/>
      <c r="B18" s="98"/>
      <c r="C18" s="98"/>
      <c r="D18" s="98"/>
      <c r="E18" s="101"/>
      <c r="F18" s="105"/>
      <c r="G18" s="118"/>
      <c r="H18" s="105"/>
      <c r="I18" s="84">
        <v>6</v>
      </c>
      <c r="J18" s="84" t="s">
        <v>134</v>
      </c>
      <c r="K18" s="84"/>
      <c r="L18" s="84" t="s">
        <v>142</v>
      </c>
      <c r="M18" s="84" t="str">
        <f>+'costes personal'!I9</f>
        <v>Cloud Developer</v>
      </c>
      <c r="N18" s="84">
        <v>8</v>
      </c>
      <c r="O18" s="85">
        <f>+'costes personal'!O9</f>
        <v>20.833333333333336</v>
      </c>
      <c r="P18" s="85">
        <f t="shared" ref="P18:P23" si="2">+N18*O18</f>
        <v>166.66666666666669</v>
      </c>
    </row>
    <row r="19" spans="1:17">
      <c r="A19" s="98"/>
      <c r="B19" s="98"/>
      <c r="C19" s="98"/>
      <c r="D19" s="98"/>
      <c r="E19" s="101"/>
      <c r="F19" s="105"/>
      <c r="G19" s="118"/>
      <c r="H19" s="105"/>
      <c r="I19" s="84"/>
      <c r="J19" s="84"/>
      <c r="K19" s="84"/>
      <c r="L19" s="84" t="s">
        <v>143</v>
      </c>
      <c r="M19" s="84" t="s">
        <v>141</v>
      </c>
      <c r="N19" s="84">
        <v>8</v>
      </c>
      <c r="O19" s="85">
        <f>+'costes personal'!O12</f>
        <v>18.229166666666664</v>
      </c>
      <c r="P19" s="85">
        <f t="shared" si="2"/>
        <v>145.83333333333331</v>
      </c>
    </row>
    <row r="20" spans="1:17">
      <c r="A20" s="98"/>
      <c r="B20" s="98"/>
      <c r="C20" s="98"/>
      <c r="D20" s="98"/>
      <c r="E20" s="101"/>
      <c r="F20" s="105"/>
      <c r="G20" s="118"/>
      <c r="H20" s="105"/>
      <c r="K20" s="84"/>
      <c r="L20" s="84"/>
      <c r="M20" s="84"/>
      <c r="N20" s="84"/>
      <c r="O20" s="84"/>
      <c r="P20" s="85">
        <f t="shared" si="2"/>
        <v>0</v>
      </c>
    </row>
    <row r="21" spans="1:17">
      <c r="A21" s="98"/>
      <c r="B21" s="98"/>
      <c r="C21" s="98"/>
      <c r="D21" s="98"/>
      <c r="E21" s="101"/>
      <c r="F21" s="105"/>
      <c r="G21" s="118"/>
      <c r="H21" s="105"/>
      <c r="I21" s="84">
        <v>7</v>
      </c>
      <c r="J21" s="84" t="s">
        <v>133</v>
      </c>
      <c r="K21" s="84" t="s">
        <v>135</v>
      </c>
      <c r="L21" s="84" t="s">
        <v>138</v>
      </c>
      <c r="M21" s="84" t="str">
        <f>+'costes personal'!I10</f>
        <v>FullStack Web Developer</v>
      </c>
      <c r="N21" s="84">
        <f>40+4</f>
        <v>44</v>
      </c>
      <c r="O21" s="85">
        <f>+'costes personal'!O10</f>
        <v>8.8541666666666679</v>
      </c>
      <c r="P21" s="85">
        <f t="shared" si="2"/>
        <v>389.58333333333337</v>
      </c>
    </row>
    <row r="22" spans="1:17">
      <c r="A22" s="98"/>
      <c r="B22" s="98"/>
      <c r="C22" s="98"/>
      <c r="D22" s="98"/>
      <c r="E22" s="101"/>
      <c r="F22" s="105"/>
      <c r="G22" s="118"/>
      <c r="H22" s="105"/>
      <c r="I22" s="84"/>
      <c r="J22" s="84"/>
      <c r="K22" t="s">
        <v>139</v>
      </c>
      <c r="L22" s="84" t="s">
        <v>139</v>
      </c>
      <c r="M22" s="84" t="str">
        <f>+'costes personal'!I11</f>
        <v>UX (User Experience)</v>
      </c>
      <c r="N22" s="84">
        <f>24+4</f>
        <v>28</v>
      </c>
      <c r="O22" s="85">
        <f>+'costes personal'!O11</f>
        <v>10.416666666666668</v>
      </c>
      <c r="P22" s="85">
        <f t="shared" si="2"/>
        <v>291.66666666666669</v>
      </c>
    </row>
    <row r="23" spans="1:17">
      <c r="A23" s="98"/>
      <c r="B23" s="98"/>
      <c r="C23" s="98"/>
      <c r="D23" s="98"/>
      <c r="E23" s="101"/>
      <c r="F23" s="105"/>
      <c r="G23" s="118"/>
      <c r="H23" s="105"/>
      <c r="I23" s="84"/>
      <c r="J23" s="84"/>
      <c r="K23" s="84" t="s">
        <v>136</v>
      </c>
      <c r="L23" s="84" t="s">
        <v>140</v>
      </c>
      <c r="M23" s="84" t="s">
        <v>141</v>
      </c>
      <c r="N23" s="84">
        <v>2</v>
      </c>
      <c r="O23" s="85">
        <f>+'costes personal'!O12</f>
        <v>18.229166666666664</v>
      </c>
      <c r="P23" s="85">
        <f t="shared" si="2"/>
        <v>36.458333333333329</v>
      </c>
    </row>
    <row r="24" spans="1:17">
      <c r="A24" s="98"/>
      <c r="B24" s="98"/>
      <c r="C24" s="98"/>
      <c r="D24" s="98"/>
      <c r="E24" s="101"/>
      <c r="F24" s="105"/>
      <c r="G24" s="118"/>
      <c r="H24" s="105"/>
      <c r="I24" s="84">
        <v>8</v>
      </c>
      <c r="J24" s="84" t="s">
        <v>144</v>
      </c>
      <c r="K24" s="84" t="s">
        <v>145</v>
      </c>
      <c r="L24" s="84"/>
      <c r="M24" s="84" t="s">
        <v>92</v>
      </c>
      <c r="N24" s="84">
        <v>6</v>
      </c>
      <c r="O24" s="85">
        <f>+'costes personal'!O6</f>
        <v>16.666666666666664</v>
      </c>
      <c r="P24" s="85">
        <f t="shared" si="0"/>
        <v>99.999999999999986</v>
      </c>
    </row>
    <row r="25" spans="1:17">
      <c r="A25" s="98"/>
      <c r="B25" s="98"/>
      <c r="C25" s="98"/>
      <c r="D25" s="98"/>
      <c r="E25" s="101"/>
      <c r="F25" s="105"/>
      <c r="G25" s="118"/>
      <c r="H25" s="105"/>
      <c r="I25" s="84"/>
      <c r="J25" s="84"/>
      <c r="K25" s="84" t="s">
        <v>146</v>
      </c>
      <c r="L25" s="84"/>
      <c r="M25" s="84" t="s">
        <v>91</v>
      </c>
      <c r="N25" s="84">
        <f>8*2</f>
        <v>16</v>
      </c>
      <c r="O25" s="85">
        <f>+'costes personal'!O5</f>
        <v>9.8958333333333321</v>
      </c>
      <c r="P25" s="85">
        <f t="shared" si="0"/>
        <v>158.33333333333331</v>
      </c>
    </row>
    <row r="26" spans="1:17">
      <c r="A26" s="98"/>
      <c r="B26" s="98"/>
      <c r="C26" s="98"/>
      <c r="D26" s="98"/>
      <c r="E26" s="101"/>
      <c r="F26" s="105"/>
      <c r="G26" s="118"/>
      <c r="H26" s="105"/>
      <c r="I26" s="84"/>
      <c r="J26" s="84"/>
      <c r="K26" s="84" t="s">
        <v>146</v>
      </c>
      <c r="L26" s="84"/>
      <c r="M26" s="84" t="s">
        <v>92</v>
      </c>
      <c r="N26" s="84">
        <f>8*2</f>
        <v>16</v>
      </c>
      <c r="O26" s="85">
        <f>+'costes personal'!O6</f>
        <v>16.666666666666664</v>
      </c>
      <c r="P26" s="85">
        <f t="shared" si="0"/>
        <v>266.66666666666663</v>
      </c>
    </row>
    <row r="27" spans="1:17">
      <c r="A27" s="98"/>
      <c r="B27" s="98"/>
      <c r="C27" s="98"/>
      <c r="D27" s="98"/>
      <c r="E27" s="101"/>
      <c r="F27" s="105"/>
      <c r="G27" s="118"/>
      <c r="H27" s="105"/>
      <c r="I27" s="84"/>
      <c r="J27" s="84"/>
      <c r="K27" s="84" t="s">
        <v>147</v>
      </c>
      <c r="L27" s="84"/>
      <c r="M27" s="84" t="s">
        <v>91</v>
      </c>
      <c r="N27" s="84">
        <v>16</v>
      </c>
      <c r="O27" s="85">
        <f>+'costes personal'!O5</f>
        <v>9.8958333333333321</v>
      </c>
      <c r="P27" s="85">
        <f t="shared" si="0"/>
        <v>158.33333333333331</v>
      </c>
    </row>
    <row r="28" spans="1:17">
      <c r="A28" s="98"/>
      <c r="B28" s="98"/>
      <c r="C28" s="98"/>
      <c r="D28" s="98"/>
      <c r="E28" s="101"/>
      <c r="F28" s="105"/>
      <c r="G28" s="118"/>
      <c r="H28" s="105"/>
      <c r="I28" s="84"/>
      <c r="J28" s="84"/>
      <c r="K28" s="84" t="s">
        <v>147</v>
      </c>
      <c r="L28" s="84"/>
      <c r="M28" s="84" t="s">
        <v>92</v>
      </c>
      <c r="N28" s="84">
        <v>24</v>
      </c>
      <c r="O28" s="85">
        <f>+'costes personal'!O6</f>
        <v>16.666666666666664</v>
      </c>
      <c r="P28" s="85">
        <f t="shared" si="0"/>
        <v>399.99999999999994</v>
      </c>
    </row>
    <row r="29" spans="1:17">
      <c r="A29" s="99"/>
      <c r="B29" s="99"/>
      <c r="C29" s="99"/>
      <c r="D29" s="99"/>
      <c r="E29" s="102"/>
      <c r="F29" s="106"/>
      <c r="G29" s="119"/>
      <c r="H29" s="106"/>
      <c r="I29" s="2">
        <v>9</v>
      </c>
      <c r="J29" s="2" t="s">
        <v>148</v>
      </c>
      <c r="K29" s="2"/>
      <c r="L29" s="2"/>
      <c r="M29" s="2" t="s">
        <v>91</v>
      </c>
      <c r="N29" s="2">
        <v>16</v>
      </c>
      <c r="O29" s="86">
        <f>+'costes personal'!O5</f>
        <v>9.8958333333333321</v>
      </c>
      <c r="P29" s="86">
        <f t="shared" si="0"/>
        <v>158.33333333333331</v>
      </c>
    </row>
    <row r="30" spans="1:17">
      <c r="A30" s="110" t="s">
        <v>87</v>
      </c>
      <c r="B30" s="97" t="s">
        <v>161</v>
      </c>
      <c r="C30" s="114"/>
      <c r="D30" s="110" t="s">
        <v>87</v>
      </c>
      <c r="E30" s="100" t="s">
        <v>161</v>
      </c>
      <c r="F30" s="107"/>
      <c r="G30" s="117">
        <f>+SUM(P30:P34)</f>
        <v>9958.3333333333321</v>
      </c>
      <c r="H30" s="107"/>
      <c r="I30">
        <v>10</v>
      </c>
      <c r="J30" t="s">
        <v>124</v>
      </c>
      <c r="M30" s="84" t="s">
        <v>92</v>
      </c>
      <c r="N30" s="79">
        <v>8</v>
      </c>
      <c r="O30" s="1">
        <f>+'costes personal'!O6</f>
        <v>16.666666666666664</v>
      </c>
      <c r="P30" s="1">
        <f>+'costes personal'!T6</f>
        <v>2666.6666666666665</v>
      </c>
      <c r="Q30" t="s">
        <v>160</v>
      </c>
    </row>
    <row r="31" spans="1:17">
      <c r="A31" s="111"/>
      <c r="B31" s="113"/>
      <c r="C31" s="115"/>
      <c r="D31" s="111"/>
      <c r="E31" s="101"/>
      <c r="F31" s="108"/>
      <c r="G31" s="101"/>
      <c r="H31" s="108"/>
      <c r="I31">
        <v>11</v>
      </c>
      <c r="J31" t="s">
        <v>156</v>
      </c>
      <c r="M31" s="84" t="s">
        <v>141</v>
      </c>
      <c r="N31" s="79">
        <v>8</v>
      </c>
      <c r="O31" s="1">
        <f>+'costes personal'!O12</f>
        <v>18.229166666666664</v>
      </c>
      <c r="P31" s="1">
        <f>+'costes personal'!T12</f>
        <v>2916.6666666666665</v>
      </c>
      <c r="Q31" t="s">
        <v>160</v>
      </c>
    </row>
    <row r="32" spans="1:17">
      <c r="A32" s="111"/>
      <c r="B32" s="113"/>
      <c r="C32" s="115"/>
      <c r="D32" s="111"/>
      <c r="E32" s="101"/>
      <c r="F32" s="108"/>
      <c r="G32" s="101"/>
      <c r="H32" s="108"/>
      <c r="I32">
        <v>12</v>
      </c>
      <c r="J32" t="s">
        <v>157</v>
      </c>
      <c r="M32" s="84" t="s">
        <v>106</v>
      </c>
      <c r="N32" s="79">
        <v>8</v>
      </c>
      <c r="O32" s="1">
        <f>+'costes personal'!O10</f>
        <v>8.8541666666666679</v>
      </c>
      <c r="P32" s="1">
        <f>+'costes personal'!T10</f>
        <v>1416.6666666666667</v>
      </c>
      <c r="Q32" t="s">
        <v>160</v>
      </c>
    </row>
    <row r="33" spans="1:17">
      <c r="A33" s="111"/>
      <c r="B33" s="113"/>
      <c r="C33" s="115"/>
      <c r="D33" s="111"/>
      <c r="E33" s="101"/>
      <c r="F33" s="108"/>
      <c r="G33" s="101"/>
      <c r="H33" s="108"/>
      <c r="I33" s="84">
        <v>13</v>
      </c>
      <c r="J33" s="84" t="s">
        <v>158</v>
      </c>
      <c r="K33" s="84"/>
      <c r="L33" s="84"/>
      <c r="M33" s="84" t="s">
        <v>14</v>
      </c>
      <c r="N33" s="79">
        <v>4</v>
      </c>
      <c r="O33" s="85">
        <f>+'costes personal'!O8</f>
        <v>22.395833333333336</v>
      </c>
      <c r="P33" s="1">
        <f>+'costes personal'!T8</f>
        <v>1791.6666666666667</v>
      </c>
      <c r="Q33" t="s">
        <v>160</v>
      </c>
    </row>
    <row r="34" spans="1:17">
      <c r="A34" s="112"/>
      <c r="B34" s="99"/>
      <c r="C34" s="116"/>
      <c r="D34" s="112"/>
      <c r="E34" s="102"/>
      <c r="F34" s="109"/>
      <c r="G34" s="102"/>
      <c r="H34" s="109"/>
      <c r="I34" s="2">
        <v>14</v>
      </c>
      <c r="J34" s="2" t="s">
        <v>159</v>
      </c>
      <c r="K34" s="2"/>
      <c r="L34" s="2"/>
      <c r="M34" s="80" t="s">
        <v>97</v>
      </c>
      <c r="N34" s="80">
        <v>8</v>
      </c>
      <c r="O34" s="86">
        <f>+'costes personal'!O13</f>
        <v>7.291666666666667</v>
      </c>
      <c r="P34" s="86">
        <f>+'costes personal'!T13</f>
        <v>1166.6666666666667</v>
      </c>
      <c r="Q34" t="s">
        <v>160</v>
      </c>
    </row>
  </sheetData>
  <mergeCells count="21">
    <mergeCell ref="H4:H13"/>
    <mergeCell ref="H14:H29"/>
    <mergeCell ref="H30:H34"/>
    <mergeCell ref="A30:A34"/>
    <mergeCell ref="B30:B34"/>
    <mergeCell ref="C30:C34"/>
    <mergeCell ref="D30:D34"/>
    <mergeCell ref="E30:E34"/>
    <mergeCell ref="G30:G34"/>
    <mergeCell ref="F30:F34"/>
    <mergeCell ref="G4:G13"/>
    <mergeCell ref="D14:D29"/>
    <mergeCell ref="G14:G29"/>
    <mergeCell ref="E14:E29"/>
    <mergeCell ref="F4:F13"/>
    <mergeCell ref="F14:F29"/>
    <mergeCell ref="D4:D13"/>
    <mergeCell ref="E4:E13"/>
    <mergeCell ref="A4:A29"/>
    <mergeCell ref="B4:B29"/>
    <mergeCell ref="C4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F6FD-E79B-44AD-880A-C8E040D1AC59}">
  <dimension ref="A2:AT52"/>
  <sheetViews>
    <sheetView tabSelected="1" zoomScale="85" zoomScaleNormal="85" workbookViewId="0">
      <pane xSplit="7" ySplit="5" topLeftCell="Y6" activePane="bottomRight" state="frozen"/>
      <selection pane="topRight" activeCell="G1" sqref="G1"/>
      <selection pane="bottomLeft" activeCell="A6" sqref="A6"/>
      <selection pane="bottomRight" activeCell="Z27" sqref="Z27"/>
    </sheetView>
  </sheetViews>
  <sheetFormatPr baseColWidth="10" defaultRowHeight="14.4"/>
  <cols>
    <col min="1" max="1" width="4.109375" customWidth="1"/>
    <col min="2" max="2" width="10.33203125" customWidth="1"/>
    <col min="3" max="4" width="9.6640625" customWidth="1"/>
    <col min="5" max="5" width="11.109375" customWidth="1"/>
    <col min="6" max="6" width="7.109375" customWidth="1"/>
    <col min="7" max="7" width="1.21875" customWidth="1"/>
    <col min="8" max="8" width="13.109375" customWidth="1"/>
    <col min="10" max="10" width="4.88671875" customWidth="1"/>
    <col min="11" max="11" width="14.6640625" customWidth="1"/>
    <col min="16" max="16" width="0.88671875" customWidth="1"/>
    <col min="18" max="18" width="4.33203125" customWidth="1"/>
    <col min="20" max="20" width="3.88671875" customWidth="1"/>
    <col min="21" max="21" width="0.88671875" customWidth="1"/>
    <col min="22" max="22" width="14" bestFit="1" customWidth="1"/>
    <col min="23" max="23" width="11.5546875" style="5"/>
    <col min="24" max="24" width="15.88671875" style="5" customWidth="1"/>
    <col min="25" max="25" width="1.33203125" customWidth="1"/>
    <col min="26" max="26" width="12" customWidth="1"/>
    <col min="31" max="31" width="12" customWidth="1"/>
    <col min="32" max="32" width="5.88671875" customWidth="1"/>
    <col min="39" max="39" width="1.21875" customWidth="1"/>
    <col min="40" max="40" width="11" customWidth="1"/>
    <col min="41" max="41" width="11.109375" bestFit="1" customWidth="1"/>
    <col min="42" max="44" width="14.88671875" customWidth="1"/>
  </cols>
  <sheetData>
    <row r="2" spans="1:46">
      <c r="B2" t="s">
        <v>191</v>
      </c>
      <c r="H2" s="6" t="s">
        <v>202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6"/>
      <c r="X2" s="6"/>
      <c r="Z2" s="6" t="s">
        <v>192</v>
      </c>
      <c r="AA2" s="2"/>
      <c r="AB2" s="2"/>
      <c r="AC2" s="2"/>
      <c r="AD2" s="2"/>
      <c r="AE2" s="2"/>
      <c r="AG2" s="140" t="s">
        <v>216</v>
      </c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</row>
    <row r="3" spans="1:46"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</row>
    <row r="4" spans="1:46">
      <c r="A4" t="s">
        <v>172</v>
      </c>
      <c r="B4" s="6" t="s">
        <v>154</v>
      </c>
      <c r="C4" s="6" t="s">
        <v>82</v>
      </c>
      <c r="D4" s="6"/>
      <c r="E4" s="6" t="s">
        <v>85</v>
      </c>
      <c r="F4" s="2"/>
      <c r="H4" s="6" t="s">
        <v>84</v>
      </c>
      <c r="I4" s="2"/>
      <c r="J4" s="2"/>
      <c r="K4" s="2"/>
      <c r="L4" s="2"/>
      <c r="M4" s="2"/>
      <c r="N4" s="2"/>
      <c r="O4" s="2"/>
      <c r="P4" s="2"/>
      <c r="Q4" s="2" t="s">
        <v>89</v>
      </c>
      <c r="R4" s="2"/>
      <c r="S4" s="2"/>
      <c r="T4" s="2"/>
      <c r="V4" s="2" t="s">
        <v>86</v>
      </c>
      <c r="W4" s="6" t="s">
        <v>0</v>
      </c>
      <c r="X4" s="135" t="s">
        <v>223</v>
      </c>
      <c r="Z4" s="6" t="s">
        <v>189</v>
      </c>
      <c r="AA4" s="2"/>
      <c r="AB4" s="2"/>
      <c r="AD4" s="2"/>
      <c r="AE4" s="2"/>
      <c r="AG4" s="140" t="s">
        <v>203</v>
      </c>
      <c r="AH4" s="141"/>
      <c r="AI4" s="141"/>
      <c r="AJ4" s="141"/>
      <c r="AK4" s="141"/>
      <c r="AL4" s="141"/>
      <c r="AM4" s="142"/>
      <c r="AN4" s="140"/>
      <c r="AO4" s="141"/>
      <c r="AP4" s="141"/>
      <c r="AQ4" s="141"/>
      <c r="AR4" s="141"/>
      <c r="AS4" s="141"/>
      <c r="AT4" s="141"/>
    </row>
    <row r="5" spans="1:46" ht="39.6" customHeight="1">
      <c r="B5" s="2" t="s">
        <v>80</v>
      </c>
      <c r="C5" s="129" t="s">
        <v>162</v>
      </c>
      <c r="D5" s="38" t="s">
        <v>173</v>
      </c>
      <c r="E5" s="38" t="s">
        <v>88</v>
      </c>
      <c r="F5" s="44" t="s">
        <v>26</v>
      </c>
      <c r="G5" s="39"/>
      <c r="H5" s="2" t="s">
        <v>167</v>
      </c>
      <c r="I5" s="38" t="s">
        <v>163</v>
      </c>
      <c r="J5" s="41" t="s">
        <v>169</v>
      </c>
      <c r="K5" s="91" t="s">
        <v>171</v>
      </c>
      <c r="L5" s="132" t="s">
        <v>165</v>
      </c>
      <c r="M5" s="41" t="s">
        <v>43</v>
      </c>
      <c r="N5" s="41" t="s">
        <v>47</v>
      </c>
      <c r="O5" s="40" t="s">
        <v>71</v>
      </c>
      <c r="P5" s="40"/>
      <c r="Q5" s="42" t="s">
        <v>23</v>
      </c>
      <c r="R5" s="42" t="s">
        <v>24</v>
      </c>
      <c r="S5" s="131" t="s">
        <v>197</v>
      </c>
      <c r="T5" s="42"/>
      <c r="V5" s="94" t="s">
        <v>26</v>
      </c>
      <c r="W5" s="6" t="s">
        <v>90</v>
      </c>
      <c r="X5" s="136" t="s">
        <v>222</v>
      </c>
      <c r="Z5" s="130" t="s">
        <v>204</v>
      </c>
      <c r="AA5" s="130" t="s">
        <v>205</v>
      </c>
      <c r="AB5" s="130" t="s">
        <v>206</v>
      </c>
      <c r="AC5" s="130" t="s">
        <v>207</v>
      </c>
      <c r="AD5" s="130" t="s">
        <v>207</v>
      </c>
      <c r="AE5" s="130" t="s">
        <v>208</v>
      </c>
      <c r="AG5" s="143" t="s">
        <v>209</v>
      </c>
      <c r="AH5" s="143" t="s">
        <v>210</v>
      </c>
      <c r="AI5" s="143" t="s">
        <v>211</v>
      </c>
      <c r="AJ5" s="143" t="s">
        <v>212</v>
      </c>
      <c r="AK5" s="143" t="s">
        <v>213</v>
      </c>
      <c r="AL5" s="143" t="s">
        <v>214</v>
      </c>
      <c r="AM5" s="142"/>
      <c r="AN5" s="143"/>
      <c r="AO5" s="144"/>
      <c r="AP5" s="144"/>
      <c r="AQ5" s="144"/>
      <c r="AR5" s="144"/>
      <c r="AS5" s="145"/>
      <c r="AT5" s="145"/>
    </row>
    <row r="6" spans="1:46">
      <c r="A6">
        <v>1</v>
      </c>
      <c r="B6" s="3" t="s">
        <v>77</v>
      </c>
      <c r="C6" s="5">
        <f>+C8*4</f>
        <v>1440</v>
      </c>
      <c r="D6">
        <f t="shared" ref="D6:D8" si="0">+C6*30</f>
        <v>43200</v>
      </c>
      <c r="E6" s="90">
        <v>1</v>
      </c>
      <c r="F6">
        <f>+E6*20%</f>
        <v>0.2</v>
      </c>
      <c r="H6" s="1">
        <f>+'horas roles costes'!$B$4</f>
        <v>598</v>
      </c>
      <c r="I6" s="1">
        <f>+'horas roles costes'!$C$4</f>
        <v>10370.858333333335</v>
      </c>
      <c r="K6">
        <v>118.02</v>
      </c>
      <c r="L6">
        <v>5285.14</v>
      </c>
      <c r="M6">
        <v>5</v>
      </c>
      <c r="N6">
        <v>2499</v>
      </c>
      <c r="S6">
        <v>250</v>
      </c>
      <c r="V6" s="1">
        <f>+SUM(I6,J6:M6,K6:O6,N6,Q6:T6)*20%</f>
        <v>5287.0356666666676</v>
      </c>
      <c r="W6" s="33">
        <f>+SUM(I6,J6:T6,V6)</f>
        <v>23815.054000000004</v>
      </c>
      <c r="X6" s="137">
        <f>+W6*20%+W6</f>
        <v>28578.064800000004</v>
      </c>
      <c r="Z6" s="1">
        <f>+(C6*10%)*'Estimación medias viviendas'!$F$9</f>
        <v>68682.705956661201</v>
      </c>
      <c r="AA6" s="1">
        <f>+(C6*20%)*'Estimación medias viviendas'!$F$9</f>
        <v>137365.4119133224</v>
      </c>
      <c r="AB6" s="1">
        <f>+(C6*30%)*'Estimación medias viviendas'!$F$9</f>
        <v>206048.11786998357</v>
      </c>
      <c r="AC6" s="1">
        <f>+(C6*40%)*'Estimación medias viviendas'!$F$9</f>
        <v>274730.8238266448</v>
      </c>
      <c r="AD6" s="1">
        <f>+(C6*50%)*'Estimación medias viviendas'!$F$9</f>
        <v>343413.52978330594</v>
      </c>
      <c r="AE6" s="1">
        <f>+(C6*60%)*'Estimación medias viviendas'!$F$9</f>
        <v>412096.23573996715</v>
      </c>
      <c r="AG6" s="146">
        <f>+Z6*5%</f>
        <v>3434.1352978330601</v>
      </c>
      <c r="AH6" s="146">
        <f>+AA6*5%</f>
        <v>6868.2705956661202</v>
      </c>
      <c r="AI6" s="146">
        <f>+AB6*5%</f>
        <v>10302.405893499179</v>
      </c>
      <c r="AJ6" s="146">
        <f>+AC6*5%</f>
        <v>13736.54119133224</v>
      </c>
      <c r="AK6" s="146">
        <f>+AD6*5%</f>
        <v>17170.676489165297</v>
      </c>
      <c r="AL6" s="146">
        <f>+AE6*5%</f>
        <v>20604.811786998358</v>
      </c>
      <c r="AM6" s="142"/>
      <c r="AN6" s="142"/>
      <c r="AO6" s="142"/>
      <c r="AP6" s="142"/>
      <c r="AQ6" s="142"/>
      <c r="AR6" s="142"/>
      <c r="AS6" s="142"/>
      <c r="AT6" s="142"/>
    </row>
    <row r="7" spans="1:46">
      <c r="A7">
        <v>2</v>
      </c>
      <c r="B7" t="s">
        <v>78</v>
      </c>
      <c r="C7" s="5">
        <f>+C8*2</f>
        <v>720</v>
      </c>
      <c r="D7">
        <f t="shared" si="0"/>
        <v>21600</v>
      </c>
      <c r="E7" s="90">
        <v>1</v>
      </c>
      <c r="F7">
        <f t="shared" ref="F7:F9" si="1">+E7*20%</f>
        <v>0.2</v>
      </c>
      <c r="H7" s="1">
        <f>+'horas roles costes'!$B$4</f>
        <v>598</v>
      </c>
      <c r="I7" s="1">
        <f>+'horas roles costes'!$C$4</f>
        <v>10370.858333333335</v>
      </c>
      <c r="K7">
        <v>118.02</v>
      </c>
      <c r="L7">
        <v>5285.14</v>
      </c>
      <c r="M7">
        <v>5</v>
      </c>
      <c r="N7">
        <v>2499</v>
      </c>
      <c r="S7">
        <v>250</v>
      </c>
      <c r="V7" s="1">
        <f>+SUM(I7,J7:M7,K7:O7,N7,Q7:T7)*20%</f>
        <v>5287.0356666666676</v>
      </c>
      <c r="W7" s="33">
        <f>+SUM(I7,J7:T7,V7)</f>
        <v>23815.054000000004</v>
      </c>
      <c r="X7" s="137">
        <f t="shared" ref="X7:X17" si="2">+W7*20%+W7</f>
        <v>28578.064800000004</v>
      </c>
      <c r="Z7" s="1">
        <f>+(C7*10%)*'Estimación medias viviendas'!$F$9</f>
        <v>34341.3529783306</v>
      </c>
      <c r="AA7" s="1">
        <f>+(C7*20%)*'Estimación medias viviendas'!$F$9</f>
        <v>68682.705956661201</v>
      </c>
      <c r="AB7" s="1">
        <f>+(C7*30%)*'Estimación medias viviendas'!$F$9</f>
        <v>103024.05893499179</v>
      </c>
      <c r="AC7" s="1">
        <f>+(C7*40%)*'Estimación medias viviendas'!$F$9</f>
        <v>137365.4119133224</v>
      </c>
      <c r="AD7" s="1">
        <f>+(C7*50%)*'Estimación medias viviendas'!$F$9</f>
        <v>171706.76489165297</v>
      </c>
      <c r="AE7" s="1">
        <f>+(C7*60%)*'Estimación medias viviendas'!$F$9</f>
        <v>206048.11786998357</v>
      </c>
      <c r="AG7" s="146">
        <f>+Z7*5%</f>
        <v>1717.0676489165301</v>
      </c>
      <c r="AH7" s="146">
        <f>+AA7*5%</f>
        <v>3434.1352978330601</v>
      </c>
      <c r="AI7" s="146">
        <f>+AB7*5%</f>
        <v>5151.2029467495895</v>
      </c>
      <c r="AJ7" s="146">
        <f>+AC7*5%</f>
        <v>6868.2705956661202</v>
      </c>
      <c r="AK7" s="146">
        <f>+AD7*5%</f>
        <v>8585.3382445826483</v>
      </c>
      <c r="AL7" s="146">
        <f>+AE7*5%</f>
        <v>10302.405893499179</v>
      </c>
      <c r="AM7" s="142"/>
      <c r="AN7" s="142"/>
      <c r="AO7" s="142"/>
      <c r="AP7" s="142"/>
      <c r="AQ7" s="142"/>
      <c r="AR7" s="142"/>
      <c r="AS7" s="142"/>
      <c r="AT7" s="142"/>
    </row>
    <row r="8" spans="1:46">
      <c r="A8">
        <v>3</v>
      </c>
      <c r="B8" s="37">
        <v>0</v>
      </c>
      <c r="C8" s="5">
        <v>360</v>
      </c>
      <c r="D8">
        <f t="shared" si="0"/>
        <v>10800</v>
      </c>
      <c r="E8" s="90">
        <v>1</v>
      </c>
      <c r="F8">
        <f t="shared" si="1"/>
        <v>0.2</v>
      </c>
      <c r="H8" s="1">
        <f>+'horas roles costes'!$B$4</f>
        <v>598</v>
      </c>
      <c r="I8" s="1">
        <f>+'horas roles costes'!$C$4</f>
        <v>10370.858333333335</v>
      </c>
      <c r="K8">
        <v>118.02</v>
      </c>
      <c r="L8">
        <v>5285.14</v>
      </c>
      <c r="M8">
        <v>5</v>
      </c>
      <c r="N8">
        <v>2499</v>
      </c>
      <c r="S8">
        <v>250</v>
      </c>
      <c r="V8" s="1">
        <f>+SUM(I8,J8:M8,K8:O8,N8,Q8:T8)*20%</f>
        <v>5287.0356666666676</v>
      </c>
      <c r="W8" s="33">
        <f>+SUM(I8,J8:T8,V8)</f>
        <v>23815.054000000004</v>
      </c>
      <c r="X8" s="137">
        <f t="shared" si="2"/>
        <v>28578.064800000004</v>
      </c>
      <c r="Z8" s="1">
        <f>+(C8*10%)*'Estimación medias viviendas'!$F$9</f>
        <v>17170.6764891653</v>
      </c>
      <c r="AA8" s="1">
        <f>+(C8*20%)*'Estimación medias viviendas'!$F$9</f>
        <v>34341.3529783306</v>
      </c>
      <c r="AB8" s="1">
        <f>+(C8*30%)*'Estimación medias viviendas'!$F$9</f>
        <v>51512.029467495893</v>
      </c>
      <c r="AC8" s="1">
        <f>+(C8*40%)*'Estimación medias viviendas'!$F$9</f>
        <v>68682.705956661201</v>
      </c>
      <c r="AD8" s="1">
        <f>+(C8*50%)*'Estimación medias viviendas'!$F$9</f>
        <v>85853.382445826486</v>
      </c>
      <c r="AE8" s="1">
        <f>+(C8*60%)*'Estimación medias viviendas'!$F$9</f>
        <v>103024.05893499179</v>
      </c>
      <c r="AG8" s="146">
        <f>+Z8*5%</f>
        <v>858.53382445826503</v>
      </c>
      <c r="AH8" s="146">
        <f>+AA8*5%</f>
        <v>1717.0676489165301</v>
      </c>
      <c r="AI8" s="146">
        <f>+AB8*5%</f>
        <v>2575.6014733747948</v>
      </c>
      <c r="AJ8" s="146">
        <f>+AC8*5%</f>
        <v>3434.1352978330601</v>
      </c>
      <c r="AK8" s="146">
        <f>+AD8*5%</f>
        <v>4292.6691222913241</v>
      </c>
      <c r="AL8" s="146">
        <f>+AE8*5%</f>
        <v>5151.2029467495895</v>
      </c>
      <c r="AM8" s="142"/>
      <c r="AN8" s="142"/>
      <c r="AO8" s="142"/>
      <c r="AP8" s="142"/>
      <c r="AQ8" s="142"/>
      <c r="AR8" s="142"/>
      <c r="AS8" s="142"/>
      <c r="AT8" s="142"/>
    </row>
    <row r="9" spans="1:46">
      <c r="A9">
        <v>4</v>
      </c>
      <c r="B9" t="s">
        <v>79</v>
      </c>
      <c r="C9" s="5">
        <f>+C8/2</f>
        <v>180</v>
      </c>
      <c r="D9">
        <f>+C9*30</f>
        <v>5400</v>
      </c>
      <c r="E9" s="90">
        <v>1</v>
      </c>
      <c r="F9">
        <f t="shared" si="1"/>
        <v>0.2</v>
      </c>
      <c r="H9" s="1">
        <f>+'horas roles costes'!$B$4</f>
        <v>598</v>
      </c>
      <c r="I9" s="1">
        <f>+'horas roles costes'!$C$4</f>
        <v>10370.858333333335</v>
      </c>
      <c r="K9">
        <v>118.02</v>
      </c>
      <c r="L9">
        <v>5285.14</v>
      </c>
      <c r="M9">
        <v>5</v>
      </c>
      <c r="N9">
        <v>1299</v>
      </c>
      <c r="S9">
        <v>250</v>
      </c>
      <c r="V9" s="1">
        <f>+SUM(I9,J9:M9,K9:O9,N9,Q9:T9)*20%</f>
        <v>4807.0356666666676</v>
      </c>
      <c r="W9" s="33">
        <f>+SUM(I9,J9:T9,V9)</f>
        <v>22135.054000000004</v>
      </c>
      <c r="X9" s="137">
        <f t="shared" si="2"/>
        <v>26562.064800000004</v>
      </c>
      <c r="Z9" s="1">
        <f>+(C9*10%)*'Estimación medias viviendas'!$F$9</f>
        <v>8585.3382445826501</v>
      </c>
      <c r="AA9" s="1">
        <f>+(C9*20%)*'Estimación medias viviendas'!$F$9</f>
        <v>17170.6764891653</v>
      </c>
      <c r="AB9" s="1">
        <f>+(C9*30%)*'Estimación medias viviendas'!$F$9</f>
        <v>25756.014733747947</v>
      </c>
      <c r="AC9" s="139">
        <f>+(C9*40%)*'Estimación medias viviendas'!$F$9</f>
        <v>34341.3529783306</v>
      </c>
      <c r="AD9" s="1">
        <f>+(C9*50%)*'Estimación medias viviendas'!$F$9</f>
        <v>42926.691222913243</v>
      </c>
      <c r="AE9" s="1">
        <f>+(C9*60%)*'Estimación medias viviendas'!$F$9</f>
        <v>51512.029467495893</v>
      </c>
      <c r="AG9" s="146">
        <f>+Z9*5%</f>
        <v>429.26691222913252</v>
      </c>
      <c r="AH9" s="146">
        <f>+AA9*5%</f>
        <v>858.53382445826503</v>
      </c>
      <c r="AI9" s="146">
        <f>+AB9*5%</f>
        <v>1287.8007366873974</v>
      </c>
      <c r="AJ9" s="146">
        <f>+AC9*5%</f>
        <v>1717.0676489165301</v>
      </c>
      <c r="AK9" s="146">
        <f>+AD9*5%</f>
        <v>2146.3345611456621</v>
      </c>
      <c r="AL9" s="146">
        <f>+AE9*5%</f>
        <v>2575.6014733747948</v>
      </c>
      <c r="AM9" s="142"/>
      <c r="AN9" s="142"/>
      <c r="AO9" s="142"/>
      <c r="AP9" s="142"/>
      <c r="AQ9" s="142"/>
      <c r="AR9" s="142"/>
      <c r="AS9" s="142"/>
      <c r="AT9" s="142"/>
    </row>
    <row r="10" spans="1:46">
      <c r="C10" s="5"/>
      <c r="E10" s="90"/>
      <c r="X10" s="33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</row>
    <row r="11" spans="1:46">
      <c r="C11" s="5"/>
      <c r="X11" s="33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</row>
    <row r="12" spans="1:46">
      <c r="B12" s="6" t="s">
        <v>87</v>
      </c>
      <c r="C12" s="6" t="s">
        <v>82</v>
      </c>
      <c r="D12" s="6"/>
      <c r="E12" s="6" t="s">
        <v>85</v>
      </c>
      <c r="F12" s="2"/>
      <c r="H12" s="6" t="s">
        <v>199</v>
      </c>
      <c r="I12" s="2"/>
      <c r="J12" s="2"/>
      <c r="K12" s="2"/>
      <c r="L12" s="2"/>
      <c r="M12" s="2"/>
      <c r="N12" s="2"/>
      <c r="O12" s="2"/>
      <c r="P12" s="2"/>
      <c r="Q12" s="2" t="s">
        <v>200</v>
      </c>
      <c r="R12" s="2"/>
      <c r="S12" s="2"/>
      <c r="T12" s="2"/>
      <c r="V12" s="2" t="s">
        <v>86</v>
      </c>
      <c r="W12" s="6" t="s">
        <v>198</v>
      </c>
      <c r="X12" s="32" t="s">
        <v>223</v>
      </c>
      <c r="Z12" s="6" t="s">
        <v>190</v>
      </c>
      <c r="AA12" s="2"/>
      <c r="AB12" s="2"/>
      <c r="AC12" s="2"/>
      <c r="AD12" s="2"/>
      <c r="AE12" s="2"/>
      <c r="AG12" s="140" t="s">
        <v>215</v>
      </c>
      <c r="AH12" s="141"/>
      <c r="AI12" s="141"/>
      <c r="AJ12" s="141"/>
      <c r="AK12" s="141"/>
      <c r="AL12" s="141"/>
      <c r="AM12" s="142"/>
    </row>
    <row r="13" spans="1:46" ht="57" customHeight="1">
      <c r="B13" s="2" t="s">
        <v>80</v>
      </c>
      <c r="C13" s="129" t="s">
        <v>162</v>
      </c>
      <c r="D13" s="38" t="s">
        <v>173</v>
      </c>
      <c r="E13" s="38" t="s">
        <v>88</v>
      </c>
      <c r="F13" s="44"/>
      <c r="G13" s="39"/>
      <c r="H13" s="2"/>
      <c r="I13" s="38" t="s">
        <v>163</v>
      </c>
      <c r="J13" s="41" t="s">
        <v>169</v>
      </c>
      <c r="K13" s="41" t="s">
        <v>60</v>
      </c>
      <c r="L13" s="133" t="s">
        <v>165</v>
      </c>
      <c r="M13" s="41" t="s">
        <v>43</v>
      </c>
      <c r="N13" s="41" t="s">
        <v>47</v>
      </c>
      <c r="O13" s="40" t="s">
        <v>71</v>
      </c>
      <c r="P13" s="40"/>
      <c r="Q13" s="42" t="s">
        <v>170</v>
      </c>
      <c r="R13" s="42" t="s">
        <v>24</v>
      </c>
      <c r="S13" s="43" t="s">
        <v>54</v>
      </c>
      <c r="T13" s="42"/>
      <c r="V13" s="94" t="s">
        <v>201</v>
      </c>
      <c r="W13" s="129" t="s">
        <v>188</v>
      </c>
      <c r="X13" s="138" t="s">
        <v>222</v>
      </c>
      <c r="Z13" s="130" t="s">
        <v>224</v>
      </c>
      <c r="AA13" s="130" t="s">
        <v>193</v>
      </c>
      <c r="AB13" s="130" t="s">
        <v>194</v>
      </c>
      <c r="AC13" s="130" t="s">
        <v>195</v>
      </c>
      <c r="AD13" s="130" t="s">
        <v>195</v>
      </c>
      <c r="AE13" s="130" t="s">
        <v>196</v>
      </c>
      <c r="AG13" s="147" t="s">
        <v>209</v>
      </c>
      <c r="AH13" s="147" t="s">
        <v>210</v>
      </c>
      <c r="AI13" s="147" t="s">
        <v>211</v>
      </c>
      <c r="AJ13" s="147" t="s">
        <v>212</v>
      </c>
      <c r="AK13" s="147" t="s">
        <v>213</v>
      </c>
      <c r="AL13" s="147" t="s">
        <v>214</v>
      </c>
      <c r="AM13" s="142"/>
    </row>
    <row r="14" spans="1:46">
      <c r="A14">
        <v>1</v>
      </c>
      <c r="B14" s="3" t="s">
        <v>77</v>
      </c>
      <c r="C14" s="5">
        <f>+C16*4</f>
        <v>1440</v>
      </c>
      <c r="D14">
        <f t="shared" ref="D14:D16" si="3">+C14*30</f>
        <v>43200</v>
      </c>
      <c r="E14">
        <v>12</v>
      </c>
      <c r="I14" s="1">
        <f>+'horas roles costes'!$G$30</f>
        <v>9958.3333333333321</v>
      </c>
      <c r="K14">
        <v>118.02</v>
      </c>
      <c r="L14">
        <v>5285.14</v>
      </c>
      <c r="M14">
        <v>5</v>
      </c>
      <c r="N14">
        <v>2499</v>
      </c>
      <c r="Q14">
        <f>33.7*9</f>
        <v>303.3</v>
      </c>
      <c r="S14">
        <v>250</v>
      </c>
      <c r="V14" s="1">
        <f>+SUM(I14,J14:M14,K14:O14,N14,Q14:T14)*35%</f>
        <v>9214.0836666666655</v>
      </c>
      <c r="W14" s="33">
        <f>+SUM(I14,J14:T14,V14)*E14</f>
        <v>331594.52399999998</v>
      </c>
      <c r="X14" s="137">
        <f t="shared" si="2"/>
        <v>397913.42879999999</v>
      </c>
      <c r="Z14" s="1">
        <f>+((C14*10%)*'Estimación medias viviendas'!$F$9)*E14</f>
        <v>824192.47147993441</v>
      </c>
      <c r="AA14" s="1">
        <f>+((C14*20%)*'Estimación medias viviendas'!$F$9)*E14</f>
        <v>1648384.9429598688</v>
      </c>
      <c r="AB14" s="1">
        <f>+((C14*30%)*'Estimación medias viviendas'!$F$9)*12</f>
        <v>2472577.414439803</v>
      </c>
      <c r="AC14" s="1">
        <f>+((C14*40%)*'Estimación medias viviendas'!$F$9)*E14</f>
        <v>3296769.8859197376</v>
      </c>
      <c r="AD14" s="1">
        <f>+((C14*50%)*'Estimación medias viviendas'!$F$9)*E14</f>
        <v>4120962.3573996713</v>
      </c>
      <c r="AE14" s="1">
        <f>+((C14*60%)*'Estimación medias viviendas'!$F$9)*E14</f>
        <v>4945154.828879606</v>
      </c>
      <c r="AG14" s="146">
        <f>+Z14*5%</f>
        <v>41209.623573996723</v>
      </c>
      <c r="AH14" s="146">
        <f>+AA14*5%</f>
        <v>82419.247147993447</v>
      </c>
      <c r="AI14" s="146">
        <f>+AB14*5%</f>
        <v>123628.87072199016</v>
      </c>
      <c r="AJ14" s="146">
        <f>+AC14*5%</f>
        <v>164838.49429598689</v>
      </c>
      <c r="AK14" s="146">
        <f>+AD14*5%</f>
        <v>206048.11786998357</v>
      </c>
      <c r="AL14" s="146">
        <f>+AE14*5%</f>
        <v>247257.74144398031</v>
      </c>
      <c r="AM14" s="142"/>
      <c r="AN14" s="142"/>
      <c r="AO14" s="142"/>
      <c r="AP14" s="142"/>
      <c r="AQ14" s="142"/>
      <c r="AR14" s="142"/>
      <c r="AS14" s="142"/>
      <c r="AT14" s="142"/>
    </row>
    <row r="15" spans="1:46">
      <c r="A15">
        <v>2</v>
      </c>
      <c r="B15" t="s">
        <v>78</v>
      </c>
      <c r="C15" s="5">
        <f>+C16*2</f>
        <v>720</v>
      </c>
      <c r="D15">
        <f t="shared" si="3"/>
        <v>21600</v>
      </c>
      <c r="E15">
        <v>12</v>
      </c>
      <c r="I15" s="1">
        <f>+'horas roles costes'!$G$30</f>
        <v>9958.3333333333321</v>
      </c>
      <c r="K15">
        <v>118.02</v>
      </c>
      <c r="L15">
        <v>5285.14</v>
      </c>
      <c r="M15">
        <v>5</v>
      </c>
      <c r="N15">
        <v>2499</v>
      </c>
      <c r="Q15">
        <f t="shared" ref="Q15:Q17" si="4">33.7*9</f>
        <v>303.3</v>
      </c>
      <c r="S15">
        <v>250</v>
      </c>
      <c r="V15" s="1">
        <f t="shared" ref="V15:V17" si="5">+SUM(I15,J15:M15,K15:O15,N15,Q15:T15)*35%</f>
        <v>9214.0836666666655</v>
      </c>
      <c r="W15" s="33">
        <f>+SUM(I15,J15:T15,V15)*E15</f>
        <v>331594.52399999998</v>
      </c>
      <c r="X15" s="137">
        <f t="shared" si="2"/>
        <v>397913.42879999999</v>
      </c>
      <c r="Z15" s="1">
        <f>+((C15*10%)*'Estimación medias viviendas'!$F$9)*E15</f>
        <v>412096.2357399672</v>
      </c>
      <c r="AA15" s="1">
        <f>+((C15*20%)*'Estimación medias viviendas'!$F$9)*E15</f>
        <v>824192.47147993441</v>
      </c>
      <c r="AB15" s="1">
        <f>+((C15*30%)*'Estimación medias viviendas'!$F$9)*12</f>
        <v>1236288.7072199015</v>
      </c>
      <c r="AC15" s="1">
        <f>+((C15*40%)*'Estimación medias viviendas'!$F$9)*E15</f>
        <v>1648384.9429598688</v>
      </c>
      <c r="AD15" s="1">
        <f>+((C15*50%)*'Estimación medias viviendas'!$F$9)*E15</f>
        <v>2060481.1786998357</v>
      </c>
      <c r="AE15" s="1">
        <f>+((C15*60%)*'Estimación medias viviendas'!$F$9)*E15</f>
        <v>2472577.414439803</v>
      </c>
      <c r="AG15" s="146">
        <f>+Z15*5%</f>
        <v>20604.811786998362</v>
      </c>
      <c r="AH15" s="146">
        <f>+AA15*5%</f>
        <v>41209.623573996723</v>
      </c>
      <c r="AI15" s="146">
        <f>+AB15*5%</f>
        <v>61814.435360995078</v>
      </c>
      <c r="AJ15" s="146">
        <f>+AC15*5%</f>
        <v>82419.247147993447</v>
      </c>
      <c r="AK15" s="146">
        <f>+AD15*5%</f>
        <v>103024.05893499179</v>
      </c>
      <c r="AL15" s="146">
        <f>+AE15*5%</f>
        <v>123628.87072199016</v>
      </c>
      <c r="AM15" s="142"/>
      <c r="AN15" s="142"/>
      <c r="AO15" s="142"/>
      <c r="AP15" s="142"/>
      <c r="AQ15" s="142"/>
      <c r="AR15" s="142"/>
      <c r="AS15" s="142"/>
      <c r="AT15" s="142"/>
    </row>
    <row r="16" spans="1:46">
      <c r="A16">
        <v>3</v>
      </c>
      <c r="B16" s="37">
        <v>0</v>
      </c>
      <c r="C16" s="5">
        <v>360</v>
      </c>
      <c r="D16">
        <f t="shared" si="3"/>
        <v>10800</v>
      </c>
      <c r="E16">
        <v>12</v>
      </c>
      <c r="I16" s="1">
        <f>+'horas roles costes'!$G$30</f>
        <v>9958.3333333333321</v>
      </c>
      <c r="K16">
        <v>118.02</v>
      </c>
      <c r="L16">
        <v>5285.14</v>
      </c>
      <c r="M16">
        <v>5</v>
      </c>
      <c r="N16">
        <v>2499</v>
      </c>
      <c r="Q16">
        <f t="shared" si="4"/>
        <v>303.3</v>
      </c>
      <c r="S16">
        <v>250</v>
      </c>
      <c r="V16" s="1">
        <f t="shared" si="5"/>
        <v>9214.0836666666655</v>
      </c>
      <c r="W16" s="33">
        <f>+SUM(I16,J16:T16,V16)*E16</f>
        <v>331594.52399999998</v>
      </c>
      <c r="X16" s="137">
        <f t="shared" si="2"/>
        <v>397913.42879999999</v>
      </c>
      <c r="Z16" s="1">
        <f>+((C16*10%)*'Estimación medias viviendas'!$F$9)*E16</f>
        <v>206048.1178699836</v>
      </c>
      <c r="AA16" s="1">
        <f>+((C16*20%)*'Estimación medias viviendas'!$F$9)*E16</f>
        <v>412096.2357399672</v>
      </c>
      <c r="AB16" s="1">
        <f>+((C16*30%)*'Estimación medias viviendas'!$F$9)*12</f>
        <v>618144.35360995075</v>
      </c>
      <c r="AC16" s="1">
        <f>+((C16*40%)*'Estimación medias viviendas'!$F$9)*E16</f>
        <v>824192.47147993441</v>
      </c>
      <c r="AD16" s="1">
        <f>+((C16*50%)*'Estimación medias viviendas'!$F$9)*E16</f>
        <v>1030240.5893499178</v>
      </c>
      <c r="AE16" s="1">
        <f>+((C16*60%)*'Estimación medias viviendas'!$F$9)*E16</f>
        <v>1236288.7072199015</v>
      </c>
      <c r="AG16" s="146">
        <f>+Z16*5%</f>
        <v>10302.405893499181</v>
      </c>
      <c r="AH16" s="146">
        <f>+AA16*5%</f>
        <v>20604.811786998362</v>
      </c>
      <c r="AI16" s="146">
        <f>+AB16*5%</f>
        <v>30907.217680497539</v>
      </c>
      <c r="AJ16" s="146">
        <f>+AC16*5%</f>
        <v>41209.623573996723</v>
      </c>
      <c r="AK16" s="146">
        <f>+AD16*5%</f>
        <v>51512.029467495893</v>
      </c>
      <c r="AL16" s="146">
        <f>+AE16*5%</f>
        <v>61814.435360995078</v>
      </c>
      <c r="AM16" s="142"/>
      <c r="AN16" s="142"/>
      <c r="AO16" s="142"/>
      <c r="AP16" s="142"/>
      <c r="AQ16" s="142"/>
      <c r="AR16" s="142"/>
      <c r="AS16" s="142"/>
      <c r="AT16" s="142"/>
    </row>
    <row r="17" spans="1:46">
      <c r="A17">
        <v>4</v>
      </c>
      <c r="B17" t="s">
        <v>79</v>
      </c>
      <c r="C17" s="5">
        <f>+C16/2</f>
        <v>180</v>
      </c>
      <c r="D17">
        <f>+C17*30</f>
        <v>5400</v>
      </c>
      <c r="E17" s="90">
        <v>12</v>
      </c>
      <c r="I17" s="1">
        <f>+'horas roles costes'!$G$30</f>
        <v>9958.3333333333321</v>
      </c>
      <c r="K17">
        <v>118.02</v>
      </c>
      <c r="L17">
        <v>5285.14</v>
      </c>
      <c r="M17">
        <v>5</v>
      </c>
      <c r="N17">
        <v>1299</v>
      </c>
      <c r="Q17">
        <f t="shared" si="4"/>
        <v>303.3</v>
      </c>
      <c r="S17">
        <v>250</v>
      </c>
      <c r="V17" s="1">
        <f t="shared" si="5"/>
        <v>8374.0836666666655</v>
      </c>
      <c r="W17" s="33">
        <f>+SUM(I17,J17:T17,V17)*E17</f>
        <v>307114.52399999998</v>
      </c>
      <c r="X17" s="137">
        <f t="shared" si="2"/>
        <v>368537.42879999999</v>
      </c>
      <c r="Z17" s="1">
        <f>+((C17*10%)*'Estimación medias viviendas'!$F$9)*E17</f>
        <v>103024.0589349918</v>
      </c>
      <c r="AA17" s="1">
        <f>+((C17*20%)*'Estimación medias viviendas'!$F$9)*E17</f>
        <v>206048.1178699836</v>
      </c>
      <c r="AB17" s="1">
        <f>+((C17*30%)*'Estimación medias viviendas'!$F$9)*12</f>
        <v>309072.17680497537</v>
      </c>
      <c r="AC17" s="139">
        <f>+((C17*40%)*'Estimación medias viviendas'!$F$9)*E17</f>
        <v>412096.2357399672</v>
      </c>
      <c r="AD17" s="1">
        <f>+((C17*50%)*'Estimación medias viviendas'!$F$9)*E17</f>
        <v>515120.29467495892</v>
      </c>
      <c r="AE17" s="1">
        <f>+((C17*60%)*'Estimación medias viviendas'!$F$9)*E17</f>
        <v>618144.35360995075</v>
      </c>
      <c r="AG17" s="146">
        <f>+Z17*5%</f>
        <v>5151.2029467495904</v>
      </c>
      <c r="AH17" s="146">
        <f>+AA17*5%</f>
        <v>10302.405893499181</v>
      </c>
      <c r="AI17" s="146">
        <f>+AB17*5%</f>
        <v>15453.608840248769</v>
      </c>
      <c r="AJ17" s="146">
        <f>+AC17*5%</f>
        <v>20604.811786998362</v>
      </c>
      <c r="AK17" s="146">
        <f>+AD17*5%</f>
        <v>25756.014733747947</v>
      </c>
      <c r="AL17" s="146">
        <f>+AE17*5%</f>
        <v>30907.217680497539</v>
      </c>
      <c r="AM17" s="142"/>
      <c r="AN17" s="142"/>
      <c r="AO17" s="142"/>
      <c r="AP17" s="142"/>
      <c r="AQ17" s="142"/>
      <c r="AR17" s="142"/>
      <c r="AS17" s="142"/>
      <c r="AT17" s="142"/>
    </row>
    <row r="18" spans="1:46">
      <c r="C18" s="5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</row>
    <row r="19" spans="1:46">
      <c r="C19" s="5"/>
    </row>
    <row r="20" spans="1:46">
      <c r="B20" s="2"/>
      <c r="C20" s="6" t="s">
        <v>82</v>
      </c>
      <c r="D20" s="2"/>
      <c r="E20" s="2" t="s">
        <v>85</v>
      </c>
      <c r="F20" s="2"/>
      <c r="H20" s="6" t="s">
        <v>84</v>
      </c>
      <c r="I20" s="2"/>
      <c r="J20" s="2"/>
      <c r="K20" s="2"/>
      <c r="L20" s="2"/>
      <c r="M20" s="2"/>
      <c r="N20" s="2"/>
      <c r="O20" s="2"/>
      <c r="P20" s="2"/>
      <c r="Q20" s="2" t="s">
        <v>89</v>
      </c>
      <c r="R20" s="2"/>
      <c r="S20" s="2"/>
      <c r="T20" s="2"/>
      <c r="V20" s="2" t="s">
        <v>86</v>
      </c>
      <c r="W20" s="6" t="s">
        <v>0</v>
      </c>
      <c r="X20" s="134"/>
    </row>
    <row r="21" spans="1:46" ht="28.8">
      <c r="B21" s="6" t="s">
        <v>18</v>
      </c>
      <c r="C21" s="129" t="s">
        <v>83</v>
      </c>
      <c r="D21" s="38"/>
      <c r="E21" s="38" t="s">
        <v>88</v>
      </c>
      <c r="F21" s="44" t="s">
        <v>26</v>
      </c>
      <c r="G21" s="39"/>
      <c r="H21" s="2" t="s">
        <v>166</v>
      </c>
      <c r="I21" s="2" t="s">
        <v>81</v>
      </c>
      <c r="J21" s="41"/>
      <c r="K21" s="40"/>
      <c r="L21" s="41" t="s">
        <v>34</v>
      </c>
      <c r="M21" s="93" t="s">
        <v>43</v>
      </c>
      <c r="N21" s="41" t="s">
        <v>47</v>
      </c>
      <c r="O21" s="40" t="s">
        <v>71</v>
      </c>
      <c r="P21" s="40"/>
      <c r="Q21" s="42" t="s">
        <v>23</v>
      </c>
      <c r="R21" s="42" t="s">
        <v>24</v>
      </c>
      <c r="S21" s="92"/>
      <c r="T21" s="42"/>
      <c r="V21" s="45">
        <v>0.2</v>
      </c>
      <c r="W21" s="6" t="s">
        <v>90</v>
      </c>
      <c r="X21" s="134"/>
    </row>
    <row r="22" spans="1:46">
      <c r="B22">
        <v>0</v>
      </c>
      <c r="C22" s="5">
        <v>360</v>
      </c>
      <c r="E22">
        <v>0.5</v>
      </c>
      <c r="F22">
        <f>+E22*20%</f>
        <v>0.1</v>
      </c>
      <c r="H22">
        <f>+SUM('horas roles costes'!N4:N13)</f>
        <v>106</v>
      </c>
      <c r="I22" s="1">
        <f>+SUM('horas roles costes'!P4:P13)</f>
        <v>1694.7916666666665</v>
      </c>
      <c r="L22">
        <v>79.78</v>
      </c>
      <c r="M22">
        <v>0</v>
      </c>
      <c r="N22">
        <v>0</v>
      </c>
      <c r="Q22">
        <v>0</v>
      </c>
      <c r="R22">
        <v>0</v>
      </c>
      <c r="V22" s="1">
        <f>+SUM(I22,J22:M22,K22:O22,N22,Q22:T22)*20%</f>
        <v>370.87033333333329</v>
      </c>
      <c r="W22" s="33">
        <f>+SUM(I22,J22:T22,V22)*E22</f>
        <v>1072.721</v>
      </c>
      <c r="X22" s="33"/>
    </row>
    <row r="25" spans="1:46">
      <c r="Z25" s="145" t="s">
        <v>225</v>
      </c>
    </row>
    <row r="26" spans="1:46">
      <c r="Z26" s="140" t="s">
        <v>226</v>
      </c>
      <c r="AA26" s="141"/>
      <c r="AB26" s="141"/>
      <c r="AC26" s="141"/>
      <c r="AD26" s="141"/>
      <c r="AE26" s="141"/>
      <c r="AF26" s="141"/>
    </row>
    <row r="27" spans="1:46" ht="72">
      <c r="L27" s="28"/>
      <c r="M27" s="36"/>
      <c r="N27" s="27"/>
      <c r="Z27" s="147" t="s">
        <v>217</v>
      </c>
      <c r="AA27" s="148" t="s">
        <v>218</v>
      </c>
      <c r="AB27" s="148" t="s">
        <v>219</v>
      </c>
      <c r="AC27" s="148" t="s">
        <v>220</v>
      </c>
      <c r="AD27" s="148" t="s">
        <v>221</v>
      </c>
      <c r="AE27" s="149"/>
      <c r="AF27" s="149"/>
    </row>
    <row r="37" spans="8:14">
      <c r="H37" s="16" t="s">
        <v>27</v>
      </c>
      <c r="I37" s="10"/>
      <c r="J37" s="10"/>
      <c r="K37" s="10"/>
      <c r="L37" s="10"/>
      <c r="M37" s="10"/>
      <c r="N37" s="10"/>
    </row>
    <row r="38" spans="8:14">
      <c r="H38" s="18" t="s">
        <v>28</v>
      </c>
      <c r="I38" s="25" t="s">
        <v>29</v>
      </c>
      <c r="J38" s="25"/>
      <c r="K38" s="25" t="s">
        <v>30</v>
      </c>
      <c r="L38" s="25" t="s">
        <v>31</v>
      </c>
      <c r="M38" s="25" t="s">
        <v>32</v>
      </c>
      <c r="N38" s="25" t="s">
        <v>33</v>
      </c>
    </row>
    <row r="39" spans="8:14" ht="39.6">
      <c r="H39" s="95" t="s">
        <v>42</v>
      </c>
      <c r="I39" s="20" t="s">
        <v>38</v>
      </c>
      <c r="J39" s="19">
        <v>1</v>
      </c>
      <c r="K39" s="20" t="s">
        <v>35</v>
      </c>
      <c r="L39" s="19" t="s">
        <v>53</v>
      </c>
      <c r="M39" s="21">
        <v>79.78</v>
      </c>
      <c r="N39" s="21">
        <v>79.78</v>
      </c>
    </row>
    <row r="40" spans="8:14" ht="39.6">
      <c r="H40" s="96"/>
      <c r="I40" s="20" t="s">
        <v>168</v>
      </c>
      <c r="J40" s="23">
        <v>2</v>
      </c>
      <c r="K40" s="22" t="s">
        <v>35</v>
      </c>
      <c r="L40" s="22"/>
      <c r="M40" s="24">
        <v>5285.14</v>
      </c>
      <c r="N40" s="24">
        <f>+M40*12</f>
        <v>63421.680000000008</v>
      </c>
    </row>
    <row r="41" spans="8:14" ht="26.4">
      <c r="H41" s="22" t="s">
        <v>44</v>
      </c>
      <c r="I41" s="22" t="s">
        <v>36</v>
      </c>
      <c r="J41" s="23">
        <v>1</v>
      </c>
      <c r="K41" s="22" t="s">
        <v>35</v>
      </c>
      <c r="L41" s="23"/>
      <c r="M41" s="24">
        <v>5</v>
      </c>
      <c r="N41" s="24">
        <f>+M41*12</f>
        <v>60</v>
      </c>
    </row>
    <row r="42" spans="8:14" ht="26.4">
      <c r="H42" s="22" t="s">
        <v>45</v>
      </c>
      <c r="I42" s="22" t="s">
        <v>46</v>
      </c>
      <c r="J42" s="23">
        <v>1</v>
      </c>
      <c r="K42" s="22" t="s">
        <v>48</v>
      </c>
      <c r="L42" s="23">
        <v>699</v>
      </c>
      <c r="M42" s="24">
        <f>+L42*I47</f>
        <v>573.17999999999995</v>
      </c>
      <c r="N42" s="24">
        <f>+M42*12</f>
        <v>6878.16</v>
      </c>
    </row>
    <row r="43" spans="8:14" ht="52.8">
      <c r="H43" s="22" t="s">
        <v>50</v>
      </c>
      <c r="I43" s="22" t="s">
        <v>49</v>
      </c>
      <c r="J43" s="22">
        <v>7</v>
      </c>
      <c r="K43" s="22"/>
      <c r="L43" s="22"/>
      <c r="M43" s="24">
        <v>1099</v>
      </c>
      <c r="N43" s="24">
        <f>+M43*J43</f>
        <v>7693</v>
      </c>
    </row>
    <row r="44" spans="8:14" ht="27">
      <c r="H44" s="31" t="s">
        <v>61</v>
      </c>
      <c r="I44" s="10" t="s">
        <v>62</v>
      </c>
      <c r="J44" s="10">
        <v>4</v>
      </c>
      <c r="K44" s="10" t="s">
        <v>35</v>
      </c>
      <c r="L44" s="10"/>
      <c r="M44" s="13">
        <v>118.02</v>
      </c>
      <c r="N44" s="13">
        <f>+M44*12</f>
        <v>1416.24</v>
      </c>
    </row>
    <row r="45" spans="8:14">
      <c r="H45" s="14"/>
      <c r="I45" s="14"/>
      <c r="J45" s="10"/>
      <c r="K45" s="10"/>
      <c r="L45" s="10"/>
      <c r="M45" s="13"/>
      <c r="N45" s="12"/>
    </row>
    <row r="46" spans="8:14">
      <c r="H46" s="9"/>
      <c r="I46" s="10"/>
      <c r="J46" s="10"/>
      <c r="K46" s="10"/>
      <c r="L46" s="10"/>
      <c r="M46" s="10"/>
      <c r="N46" s="10"/>
    </row>
    <row r="47" spans="8:14" ht="27">
      <c r="H47" s="10" t="s">
        <v>37</v>
      </c>
      <c r="I47" s="11">
        <v>0.82</v>
      </c>
      <c r="J47" s="10"/>
      <c r="K47" s="10"/>
      <c r="L47" s="10"/>
      <c r="M47" s="10"/>
      <c r="N47" s="10"/>
    </row>
    <row r="48" spans="8:14">
      <c r="H48" s="10"/>
      <c r="I48" s="11"/>
      <c r="J48" s="11"/>
      <c r="K48" s="11"/>
      <c r="L48" s="11"/>
      <c r="M48" s="15"/>
      <c r="N48" s="10"/>
    </row>
    <row r="49" spans="8:14" ht="27">
      <c r="H49" s="30" t="s">
        <v>57</v>
      </c>
      <c r="I49" s="18"/>
      <c r="J49" s="18"/>
      <c r="K49" s="18"/>
      <c r="L49" s="18"/>
      <c r="M49" s="18"/>
      <c r="N49" s="18"/>
    </row>
    <row r="50" spans="8:14">
      <c r="J50" s="17"/>
      <c r="K50" s="17"/>
      <c r="L50" s="17"/>
      <c r="M50" s="17"/>
      <c r="N50" s="17"/>
    </row>
    <row r="51" spans="8:14">
      <c r="H51" t="s">
        <v>59</v>
      </c>
      <c r="I51" s="29" t="s">
        <v>55</v>
      </c>
    </row>
    <row r="52" spans="8:14">
      <c r="H52" t="s">
        <v>58</v>
      </c>
      <c r="I52" s="29" t="s">
        <v>56</v>
      </c>
    </row>
  </sheetData>
  <mergeCells count="1">
    <mergeCell ref="H39:H40"/>
  </mergeCells>
  <hyperlinks>
    <hyperlink ref="M5" r:id="rId1" display="Alojamiento web" xr:uid="{7E8C7F76-04F8-44A6-8B84-D531E4416EDC}"/>
    <hyperlink ref="N5" r:id="rId2" xr:uid="{6368095E-0CC9-47E3-847B-256552228F07}"/>
    <hyperlink ref="K5" r:id="rId3" location="id=9dcfeb0c-cb2c-4885-ac96-fb122f74f234" display="id=9dcfeb0c-cb2c-4885-ac96-fb122f74f234" xr:uid="{249F7151-7AD0-4A39-93A0-A7DED26C9BAE}"/>
    <hyperlink ref="S5" r:id="rId4" display="local" xr:uid="{040FEB01-149B-4C45-8E99-742E90878E11}"/>
    <hyperlink ref="M13" r:id="rId5" display="Alojamiento web" xr:uid="{3C35A8EE-248B-41D7-A335-CF506F4A18D3}"/>
    <hyperlink ref="N13" r:id="rId6" xr:uid="{27FC66EC-03AC-46D8-AB17-7AEA030C1C0D}"/>
    <hyperlink ref="S13" r:id="rId7" display="local" xr:uid="{F403EA20-D19D-4424-98CE-EDD8346CD679}"/>
    <hyperlink ref="L21" r:id="rId8" location="id=85d2f3d8-540c-44d7-9115-ffb3e7b0f6f7" display="Instancia Cloud" xr:uid="{B913A44E-BD44-4F40-AC98-06E9D95CF4C2}"/>
    <hyperlink ref="N21" r:id="rId9" xr:uid="{0C4A50AD-BFF7-4B96-A67F-A1DD7C8A500B}"/>
    <hyperlink ref="K13" r:id="rId10" location="id=e06018ff-51dc-4531-b361-1c7029c277ab" xr:uid="{588F3624-8346-4642-86FB-E9E737EDED41}"/>
    <hyperlink ref="L5" r:id="rId11" location="id=1427d728-03c7-4002-a3f5-36f3ed39cc53" display="id=1427d728-03c7-4002-a3f5-36f3ed39cc53" xr:uid="{4D61F079-174C-407F-9341-8DEEDD0627C3}"/>
    <hyperlink ref="L13" r:id="rId12" location="id=1427d728-03c7-4002-a3f5-36f3ed39cc53" display="id=1427d728-03c7-4002-a3f5-36f3ed39cc53" xr:uid="{D9963691-8B26-428E-8CFE-2695650C167A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B852-495A-49D9-8AA0-9606C485E3DA}">
  <dimension ref="A1:T23"/>
  <sheetViews>
    <sheetView topLeftCell="G1" workbookViewId="0">
      <selection activeCell="S5" sqref="R5:S13"/>
    </sheetView>
  </sheetViews>
  <sheetFormatPr baseColWidth="10" defaultRowHeight="12"/>
  <cols>
    <col min="1" max="1" width="28.6640625" style="48" hidden="1" customWidth="1"/>
    <col min="2" max="2" width="15.88671875" style="48" hidden="1" customWidth="1"/>
    <col min="3" max="3" width="9.5546875" style="48" hidden="1" customWidth="1"/>
    <col min="4" max="4" width="8.5546875" style="48" hidden="1" customWidth="1"/>
    <col min="5" max="5" width="6.21875" style="48" hidden="1" customWidth="1"/>
    <col min="6" max="6" width="3.21875" style="48" hidden="1" customWidth="1"/>
    <col min="7" max="7" width="3.21875" style="48" customWidth="1"/>
    <col min="8" max="8" width="4.21875" style="48" customWidth="1"/>
    <col min="9" max="9" width="18.5546875" style="64" bestFit="1" customWidth="1"/>
    <col min="10" max="10" width="5.6640625" style="48" customWidth="1"/>
    <col min="11" max="11" width="4.33203125" style="48" customWidth="1"/>
    <col min="12" max="12" width="5.21875" style="48" customWidth="1"/>
    <col min="13" max="13" width="10" style="48" customWidth="1"/>
    <col min="14" max="14" width="9.88671875" style="48" customWidth="1"/>
    <col min="15" max="15" width="6.77734375" style="48" customWidth="1"/>
    <col min="16" max="16" width="1.21875" style="48" customWidth="1"/>
    <col min="17" max="19" width="9.5546875" style="48" customWidth="1"/>
    <col min="20" max="16384" width="11.5546875" style="48"/>
  </cols>
  <sheetData>
    <row r="1" spans="1:20" ht="13.2">
      <c r="B1" s="47"/>
      <c r="D1" s="47"/>
      <c r="E1" s="47"/>
      <c r="I1" s="46" t="s">
        <v>1</v>
      </c>
      <c r="J1" s="62"/>
      <c r="L1" s="62"/>
      <c r="M1" s="62"/>
      <c r="N1" s="62"/>
      <c r="O1" s="62"/>
      <c r="P1" s="62"/>
      <c r="Q1" s="62"/>
      <c r="R1" s="62"/>
      <c r="S1" s="62"/>
    </row>
    <row r="2" spans="1:20" ht="13.2">
      <c r="B2" s="47"/>
      <c r="D2" s="47"/>
      <c r="E2" s="49"/>
      <c r="I2" s="65" t="s">
        <v>101</v>
      </c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3.2">
      <c r="A3" s="50" t="s">
        <v>2</v>
      </c>
      <c r="B3" s="51"/>
      <c r="C3" s="120" t="s">
        <v>3</v>
      </c>
      <c r="D3" s="121"/>
      <c r="E3" s="121"/>
      <c r="I3" s="63"/>
      <c r="J3" s="67" t="s">
        <v>98</v>
      </c>
      <c r="K3" s="68"/>
      <c r="L3" s="68"/>
      <c r="M3" s="122" t="s">
        <v>100</v>
      </c>
      <c r="N3" s="123"/>
      <c r="O3" s="123"/>
      <c r="P3" s="76"/>
      <c r="Q3" s="76"/>
      <c r="R3" s="76"/>
      <c r="S3" s="76"/>
    </row>
    <row r="4" spans="1:20" ht="13.2">
      <c r="B4" s="52" t="s">
        <v>4</v>
      </c>
      <c r="C4" s="53" t="s">
        <v>5</v>
      </c>
      <c r="D4" s="52" t="s">
        <v>6</v>
      </c>
      <c r="E4" s="52" t="s">
        <v>7</v>
      </c>
      <c r="H4" s="48" t="s">
        <v>105</v>
      </c>
      <c r="I4" s="63"/>
      <c r="J4" s="69" t="s">
        <v>18</v>
      </c>
      <c r="K4" s="70" t="s">
        <v>11</v>
      </c>
      <c r="L4" s="70" t="s">
        <v>99</v>
      </c>
      <c r="M4" s="71" t="s">
        <v>5</v>
      </c>
      <c r="N4" s="68" t="s">
        <v>6</v>
      </c>
      <c r="O4" s="68" t="s">
        <v>7</v>
      </c>
      <c r="P4" s="76"/>
      <c r="Q4" s="69" t="s">
        <v>18</v>
      </c>
      <c r="R4" s="70" t="s">
        <v>11</v>
      </c>
      <c r="S4" s="70" t="s">
        <v>99</v>
      </c>
    </row>
    <row r="5" spans="1:20" ht="14.4">
      <c r="A5" s="46" t="s">
        <v>8</v>
      </c>
      <c r="B5" s="51" t="s">
        <v>9</v>
      </c>
      <c r="C5" s="54">
        <v>24082</v>
      </c>
      <c r="D5" s="55">
        <f>+C5/12</f>
        <v>2006.8333333333333</v>
      </c>
      <c r="E5" s="55">
        <f>+D5/160</f>
        <v>12.542708333333334</v>
      </c>
      <c r="H5" s="48">
        <v>29</v>
      </c>
      <c r="I5" s="78" t="s">
        <v>91</v>
      </c>
      <c r="J5" s="72">
        <v>1</v>
      </c>
      <c r="K5" s="72">
        <v>1</v>
      </c>
      <c r="L5" s="72">
        <v>0</v>
      </c>
      <c r="M5" s="74">
        <v>19000</v>
      </c>
      <c r="N5" s="74">
        <f>+M5/12</f>
        <v>1583.3333333333333</v>
      </c>
      <c r="O5" s="74">
        <f>+N5/160</f>
        <v>9.8958333333333321</v>
      </c>
      <c r="P5" s="74"/>
      <c r="Q5" s="77">
        <f>+J5*O5</f>
        <v>9.8958333333333321</v>
      </c>
      <c r="R5" s="77">
        <f>+K5*O5</f>
        <v>9.8958333333333321</v>
      </c>
      <c r="S5" s="74">
        <f>+L5*O5</f>
        <v>0</v>
      </c>
      <c r="T5" s="75"/>
    </row>
    <row r="6" spans="1:20" ht="14.4">
      <c r="A6" s="46" t="s">
        <v>10</v>
      </c>
      <c r="B6" s="51" t="s">
        <v>11</v>
      </c>
      <c r="C6" s="54">
        <v>24795</v>
      </c>
      <c r="D6" s="55">
        <f t="shared" ref="D6:D11" si="0">+C6/12</f>
        <v>2066.25</v>
      </c>
      <c r="E6" s="55">
        <f t="shared" ref="E6:E11" si="1">+D6/160</f>
        <v>12.9140625</v>
      </c>
      <c r="H6" s="48">
        <v>50</v>
      </c>
      <c r="I6" s="78" t="s">
        <v>92</v>
      </c>
      <c r="J6" s="72">
        <v>1</v>
      </c>
      <c r="K6" s="73">
        <v>1</v>
      </c>
      <c r="L6" s="73">
        <v>1</v>
      </c>
      <c r="M6" s="74">
        <v>32000</v>
      </c>
      <c r="N6" s="74">
        <f t="shared" ref="N6:N13" si="2">+M6/12</f>
        <v>2666.6666666666665</v>
      </c>
      <c r="O6" s="74">
        <f t="shared" ref="O6:O13" si="3">+N6/160</f>
        <v>16.666666666666664</v>
      </c>
      <c r="P6" s="74"/>
      <c r="Q6" s="77">
        <f t="shared" ref="Q6:Q13" si="4">+J6*O6</f>
        <v>16.666666666666664</v>
      </c>
      <c r="R6" s="77">
        <f t="shared" ref="R6:R13" si="5">+K6*O6</f>
        <v>16.666666666666664</v>
      </c>
      <c r="S6" s="77">
        <f t="shared" ref="S6:S13" si="6">+L6*O6</f>
        <v>16.666666666666664</v>
      </c>
      <c r="T6" s="75">
        <f>+N6</f>
        <v>2666.6666666666665</v>
      </c>
    </row>
    <row r="7" spans="1:20" ht="14.4">
      <c r="A7" s="46" t="s">
        <v>12</v>
      </c>
      <c r="B7" s="51" t="s">
        <v>11</v>
      </c>
      <c r="C7" s="54">
        <v>20105</v>
      </c>
      <c r="D7" s="55">
        <f t="shared" si="0"/>
        <v>1675.4166666666667</v>
      </c>
      <c r="E7" s="55">
        <f t="shared" si="1"/>
        <v>10.471354166666668</v>
      </c>
      <c r="H7" s="48">
        <v>40</v>
      </c>
      <c r="I7" s="78" t="s">
        <v>93</v>
      </c>
      <c r="J7" s="72">
        <v>1</v>
      </c>
      <c r="K7" s="72">
        <v>1</v>
      </c>
      <c r="L7" s="72">
        <v>0</v>
      </c>
      <c r="M7" s="74">
        <v>40000</v>
      </c>
      <c r="N7" s="74">
        <f t="shared" si="2"/>
        <v>3333.3333333333335</v>
      </c>
      <c r="O7" s="74">
        <f t="shared" si="3"/>
        <v>20.833333333333336</v>
      </c>
      <c r="P7" s="74"/>
      <c r="Q7" s="77">
        <f t="shared" si="4"/>
        <v>20.833333333333336</v>
      </c>
      <c r="R7" s="77">
        <f t="shared" si="5"/>
        <v>20.833333333333336</v>
      </c>
      <c r="S7" s="74">
        <f t="shared" si="6"/>
        <v>0</v>
      </c>
      <c r="T7" s="75"/>
    </row>
    <row r="8" spans="1:20" ht="14.4">
      <c r="A8" s="46" t="s">
        <v>13</v>
      </c>
      <c r="B8" s="51" t="s">
        <v>11</v>
      </c>
      <c r="C8" s="56">
        <v>42000</v>
      </c>
      <c r="D8" s="55">
        <f t="shared" si="0"/>
        <v>3500</v>
      </c>
      <c r="E8" s="55">
        <f t="shared" si="1"/>
        <v>21.875</v>
      </c>
      <c r="H8" s="48">
        <v>43</v>
      </c>
      <c r="I8" s="78" t="s">
        <v>14</v>
      </c>
      <c r="J8" s="72">
        <v>1</v>
      </c>
      <c r="K8" s="72">
        <v>1</v>
      </c>
      <c r="L8" s="87">
        <v>0.5</v>
      </c>
      <c r="M8" s="74">
        <v>43000</v>
      </c>
      <c r="N8" s="74">
        <f t="shared" si="2"/>
        <v>3583.3333333333335</v>
      </c>
      <c r="O8" s="74">
        <f t="shared" si="3"/>
        <v>22.395833333333336</v>
      </c>
      <c r="P8" s="74"/>
      <c r="Q8" s="77">
        <f t="shared" si="4"/>
        <v>22.395833333333336</v>
      </c>
      <c r="R8" s="77">
        <f t="shared" si="5"/>
        <v>22.395833333333336</v>
      </c>
      <c r="S8" s="77">
        <f t="shared" si="6"/>
        <v>11.197916666666668</v>
      </c>
      <c r="T8" s="75">
        <f>+N8/2</f>
        <v>1791.6666666666667</v>
      </c>
    </row>
    <row r="9" spans="1:20" ht="14.4">
      <c r="A9" s="46" t="s">
        <v>14</v>
      </c>
      <c r="B9" s="51" t="s">
        <v>9</v>
      </c>
      <c r="C9" s="54">
        <v>42824</v>
      </c>
      <c r="D9" s="55">
        <f t="shared" si="0"/>
        <v>3568.6666666666665</v>
      </c>
      <c r="E9" s="55">
        <f t="shared" si="1"/>
        <v>22.304166666666667</v>
      </c>
      <c r="H9" s="48">
        <v>40</v>
      </c>
      <c r="I9" s="78" t="s">
        <v>94</v>
      </c>
      <c r="J9" s="72">
        <v>0</v>
      </c>
      <c r="K9" s="72">
        <v>1</v>
      </c>
      <c r="L9" s="72">
        <v>0</v>
      </c>
      <c r="M9" s="74">
        <v>40000</v>
      </c>
      <c r="N9" s="74">
        <f t="shared" si="2"/>
        <v>3333.3333333333335</v>
      </c>
      <c r="O9" s="74">
        <f t="shared" si="3"/>
        <v>20.833333333333336</v>
      </c>
      <c r="P9" s="74"/>
      <c r="Q9" s="74">
        <f t="shared" si="4"/>
        <v>0</v>
      </c>
      <c r="R9" s="77">
        <f t="shared" si="5"/>
        <v>20.833333333333336</v>
      </c>
      <c r="S9" s="74">
        <f t="shared" si="6"/>
        <v>0</v>
      </c>
      <c r="T9" s="75"/>
    </row>
    <row r="10" spans="1:20" ht="14.4">
      <c r="A10" s="46" t="s">
        <v>15</v>
      </c>
      <c r="B10" s="51" t="s">
        <v>11</v>
      </c>
      <c r="C10" s="54">
        <v>21576</v>
      </c>
      <c r="D10" s="55">
        <f t="shared" si="0"/>
        <v>1798</v>
      </c>
      <c r="E10" s="55">
        <f t="shared" si="1"/>
        <v>11.237500000000001</v>
      </c>
      <c r="H10" s="48">
        <v>30</v>
      </c>
      <c r="I10" s="78" t="s">
        <v>106</v>
      </c>
      <c r="J10" s="72">
        <v>0</v>
      </c>
      <c r="K10" s="72">
        <v>1</v>
      </c>
      <c r="L10" s="72">
        <v>1</v>
      </c>
      <c r="M10" s="74">
        <v>17000</v>
      </c>
      <c r="N10" s="74">
        <f t="shared" si="2"/>
        <v>1416.6666666666667</v>
      </c>
      <c r="O10" s="74">
        <f t="shared" si="3"/>
        <v>8.8541666666666679</v>
      </c>
      <c r="P10" s="74"/>
      <c r="Q10" s="74">
        <f t="shared" si="4"/>
        <v>0</v>
      </c>
      <c r="R10" s="77">
        <f t="shared" si="5"/>
        <v>8.8541666666666679</v>
      </c>
      <c r="S10" s="77">
        <f t="shared" si="6"/>
        <v>8.8541666666666679</v>
      </c>
      <c r="T10" s="75">
        <f t="shared" ref="T10:T13" si="7">+N10</f>
        <v>1416.6666666666667</v>
      </c>
    </row>
    <row r="11" spans="1:20" ht="14.4">
      <c r="A11" s="46" t="s">
        <v>16</v>
      </c>
      <c r="B11" s="51" t="s">
        <v>11</v>
      </c>
      <c r="C11" s="54">
        <v>35000</v>
      </c>
      <c r="D11" s="55">
        <f t="shared" si="0"/>
        <v>2916.6666666666665</v>
      </c>
      <c r="E11" s="55">
        <f t="shared" si="1"/>
        <v>18.229166666666664</v>
      </c>
      <c r="H11" s="48">
        <v>28</v>
      </c>
      <c r="I11" s="78" t="s">
        <v>95</v>
      </c>
      <c r="J11" s="72">
        <v>0</v>
      </c>
      <c r="K11" s="72">
        <v>1</v>
      </c>
      <c r="L11" s="72">
        <v>0</v>
      </c>
      <c r="M11" s="74">
        <v>20000</v>
      </c>
      <c r="N11" s="74">
        <f t="shared" si="2"/>
        <v>1666.6666666666667</v>
      </c>
      <c r="O11" s="74">
        <f t="shared" si="3"/>
        <v>10.416666666666668</v>
      </c>
      <c r="P11" s="74"/>
      <c r="Q11" s="74">
        <f t="shared" si="4"/>
        <v>0</v>
      </c>
      <c r="R11" s="77">
        <f t="shared" si="5"/>
        <v>10.416666666666668</v>
      </c>
      <c r="S11" s="74">
        <f t="shared" si="6"/>
        <v>0</v>
      </c>
      <c r="T11" s="75"/>
    </row>
    <row r="12" spans="1:20" ht="14.4">
      <c r="B12" s="51"/>
      <c r="C12" s="57"/>
      <c r="D12" s="51"/>
      <c r="E12" s="51"/>
      <c r="H12" s="48">
        <v>37</v>
      </c>
      <c r="I12" s="78" t="s">
        <v>96</v>
      </c>
      <c r="J12" s="72">
        <v>0</v>
      </c>
      <c r="K12" s="72">
        <v>1</v>
      </c>
      <c r="L12" s="72">
        <v>1</v>
      </c>
      <c r="M12" s="74">
        <v>35000</v>
      </c>
      <c r="N12" s="74">
        <f t="shared" si="2"/>
        <v>2916.6666666666665</v>
      </c>
      <c r="O12" s="74">
        <f t="shared" si="3"/>
        <v>18.229166666666664</v>
      </c>
      <c r="P12" s="74"/>
      <c r="Q12" s="74">
        <f t="shared" si="4"/>
        <v>0</v>
      </c>
      <c r="R12" s="77">
        <f t="shared" si="5"/>
        <v>18.229166666666664</v>
      </c>
      <c r="S12" s="77">
        <f t="shared" si="6"/>
        <v>18.229166666666664</v>
      </c>
      <c r="T12" s="75">
        <f t="shared" si="7"/>
        <v>2916.6666666666665</v>
      </c>
    </row>
    <row r="13" spans="1:20" ht="14.4">
      <c r="A13" s="47"/>
      <c r="B13" s="58" t="s">
        <v>17</v>
      </c>
      <c r="C13" s="59">
        <f>+SUM(C5:C11)</f>
        <v>210382</v>
      </c>
      <c r="D13" s="59">
        <f>+SUM(D5:D11)</f>
        <v>17531.833333333332</v>
      </c>
      <c r="E13" s="59">
        <f>+SUM(E5:E11)</f>
        <v>109.57395833333334</v>
      </c>
      <c r="I13" s="78" t="s">
        <v>97</v>
      </c>
      <c r="J13" s="72">
        <v>0</v>
      </c>
      <c r="K13" s="72">
        <v>0</v>
      </c>
      <c r="L13" s="72">
        <v>1</v>
      </c>
      <c r="M13" s="74">
        <v>14000</v>
      </c>
      <c r="N13" s="74">
        <f t="shared" si="2"/>
        <v>1166.6666666666667</v>
      </c>
      <c r="O13" s="74">
        <f t="shared" si="3"/>
        <v>7.291666666666667</v>
      </c>
      <c r="P13" s="74"/>
      <c r="Q13" s="74">
        <f t="shared" si="4"/>
        <v>0</v>
      </c>
      <c r="R13" s="74">
        <f t="shared" si="5"/>
        <v>0</v>
      </c>
      <c r="S13" s="77">
        <f t="shared" si="6"/>
        <v>7.291666666666667</v>
      </c>
      <c r="T13" s="75">
        <f t="shared" si="7"/>
        <v>1166.6666666666667</v>
      </c>
    </row>
    <row r="14" spans="1:20" ht="13.2">
      <c r="A14" s="47"/>
      <c r="B14" s="58" t="s">
        <v>18</v>
      </c>
      <c r="C14" s="59">
        <f>+C5+C9</f>
        <v>66906</v>
      </c>
      <c r="D14" s="59">
        <f t="shared" ref="D14:E14" si="8">+D5+D9</f>
        <v>5575.5</v>
      </c>
      <c r="E14" s="59">
        <f t="shared" si="8"/>
        <v>34.846874999999997</v>
      </c>
      <c r="I14" s="63"/>
      <c r="J14" s="72"/>
      <c r="K14" s="72"/>
      <c r="L14" s="72"/>
      <c r="M14" s="74"/>
      <c r="N14" s="74"/>
      <c r="O14" s="74"/>
      <c r="P14" s="74"/>
      <c r="Q14" s="74"/>
      <c r="R14" s="74"/>
      <c r="S14" s="74"/>
    </row>
    <row r="15" spans="1:20">
      <c r="B15" s="51"/>
      <c r="C15" s="57"/>
      <c r="D15" s="51"/>
      <c r="E15" s="51"/>
      <c r="I15" s="66" t="s">
        <v>103</v>
      </c>
      <c r="J15" s="72">
        <f>+SUM(J5:J13)</f>
        <v>4</v>
      </c>
      <c r="K15" s="72">
        <f t="shared" ref="K15:T15" si="9">+SUM(K5:K13)</f>
        <v>8</v>
      </c>
      <c r="L15" s="72">
        <f t="shared" si="9"/>
        <v>4.5</v>
      </c>
      <c r="M15" s="74">
        <f t="shared" si="9"/>
        <v>260000</v>
      </c>
      <c r="N15" s="74">
        <f t="shared" si="9"/>
        <v>21666.666666666672</v>
      </c>
      <c r="O15" s="74">
        <f t="shared" si="9"/>
        <v>135.41666666666666</v>
      </c>
      <c r="P15" s="74">
        <f t="shared" si="9"/>
        <v>0</v>
      </c>
      <c r="Q15" s="74">
        <f t="shared" si="9"/>
        <v>69.791666666666657</v>
      </c>
      <c r="R15" s="74">
        <f t="shared" si="9"/>
        <v>128.125</v>
      </c>
      <c r="S15" s="74">
        <f t="shared" si="9"/>
        <v>62.239583333333329</v>
      </c>
      <c r="T15" s="74">
        <f t="shared" si="9"/>
        <v>9958.3333333333321</v>
      </c>
    </row>
    <row r="16" spans="1:20">
      <c r="B16" s="51"/>
      <c r="C16" s="57"/>
      <c r="D16" s="51"/>
      <c r="E16" s="51"/>
      <c r="M16" s="75"/>
      <c r="N16" s="75"/>
      <c r="O16" s="75"/>
      <c r="P16" s="75"/>
      <c r="Q16" s="75"/>
      <c r="R16" s="75"/>
      <c r="S16" s="75"/>
    </row>
    <row r="17" spans="2:11">
      <c r="B17" s="47"/>
      <c r="D17" s="47"/>
      <c r="E17" s="47"/>
    </row>
    <row r="18" spans="2:11">
      <c r="B18" s="61"/>
      <c r="D18" s="47"/>
      <c r="E18" s="47"/>
      <c r="I18" s="60" t="s">
        <v>155</v>
      </c>
    </row>
    <row r="20" spans="2:11">
      <c r="K20" s="48" t="s">
        <v>102</v>
      </c>
    </row>
    <row r="22" spans="2:11">
      <c r="I22" s="48" t="s">
        <v>104</v>
      </c>
    </row>
    <row r="23" spans="2:11">
      <c r="I23" s="48">
        <f>40*4</f>
        <v>160</v>
      </c>
    </row>
  </sheetData>
  <mergeCells count="2">
    <mergeCell ref="C3:E3"/>
    <mergeCell ref="M3:O3"/>
  </mergeCells>
  <conditionalFormatting sqref="J5:L1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0.5</formula>
    </cfRule>
  </conditionalFormatting>
  <hyperlinks>
    <hyperlink ref="C5" r:id="rId1" display="https://www.glassdoor.es/Sueldos/valencia-programador-sueldo-SRCH_IL.0,8_IC2639089_KO9,20.htm?clickSource=searchBtn" xr:uid="{6B24AF6A-1A7F-42E7-BB51-29ACBB71C0F9}"/>
    <hyperlink ref="C6" r:id="rId2" display="https://www.glassdoor.es/Sueldos/valencia-java-developer-sueldo-SRCH_IL.0,8_IC2639089_KO9,23.htm?clickSource=searchBtn" xr:uid="{14C836A3-C0E9-4A85-B6BA-D519C90E2495}"/>
    <hyperlink ref="C7" r:id="rId3" display="https://www.glassdoor.es/Sueldos/valencia-desarrollador-web-sueldo-SRCH_IL.0,8_IC2639089_KO9,26.htm?clickSource=searchBtn" xr:uid="{C047E612-3174-4172-9FD8-D715B4074A76}"/>
    <hyperlink ref="C9" r:id="rId4" display="https://www.glassdoor.es/Sueldos/valencia-project-manager-sueldo-SRCH_IL.0,8_IC2639089_KO9,24.htm?clickSource=sear" xr:uid="{8305B061-1E26-40BD-99CC-BCE1B6EB4A0F}"/>
    <hyperlink ref="C10" r:id="rId5" display="https://www.glassdoor.es/Sueldos/valencia-data-analyst-sueldo-SRCH_IL.0,8_IC2639089_KO9,21.htm?clickSource=searchBtn" xr:uid="{0595924C-31F2-4129-8C95-BA7609A09A19}"/>
    <hyperlink ref="C11" r:id="rId6" display="https://www.glassdoor.es/Sueldos/valencia-devops-sueldo-SRCH_IL.0,8_IC2639089_KO9,15.htm?clickSource=searchBtn" xr:uid="{D0C12D39-5272-495C-A864-5CF406C7AB10}"/>
    <hyperlink ref="I5" r:id="rId7" xr:uid="{8C401830-A17C-4449-A761-5D11FC019F2A}"/>
    <hyperlink ref="I6" r:id="rId8" xr:uid="{DF16364F-6586-4254-A028-2C117496BCAF}"/>
    <hyperlink ref="I7" r:id="rId9" xr:uid="{09085C64-81EE-445F-9E26-8748C8AE49A2}"/>
    <hyperlink ref="I8" r:id="rId10" xr:uid="{D2687175-FDC7-43D4-9FA3-24883C05D3E3}"/>
    <hyperlink ref="I10" r:id="rId11" xr:uid="{DF1900D4-1B30-4351-86D9-57E7981A2AA0}"/>
    <hyperlink ref="I12" r:id="rId12" xr:uid="{7D902D6E-E37C-41CF-9808-E918C9F60522}"/>
    <hyperlink ref="I13" r:id="rId13" xr:uid="{F545D96C-D181-4170-AE18-3B09FA852EFB}"/>
    <hyperlink ref="I9" r:id="rId14" xr:uid="{CE2CBF46-A853-43F2-9D55-2C54EBFF6F9D}"/>
    <hyperlink ref="I11" r:id="rId15" xr:uid="{33820689-4EF1-4A77-81D5-59A318EDA868}"/>
  </hyperlinks>
  <pageMargins left="0.7" right="0.7" top="0.75" bottom="0.75" header="0.3" footer="0.3"/>
  <pageSetup paperSize="9" orientation="portrait" r:id="rId16"/>
  <legacy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E3CC-2335-4742-895F-B53BE11D7172}">
  <dimension ref="A1:F10"/>
  <sheetViews>
    <sheetView workbookViewId="0">
      <selection activeCell="F9" sqref="F9"/>
    </sheetView>
  </sheetViews>
  <sheetFormatPr baseColWidth="10" defaultRowHeight="14.4"/>
  <cols>
    <col min="2" max="2" width="5" bestFit="1" customWidth="1"/>
    <col min="6" max="6" width="12.21875" customWidth="1"/>
  </cols>
  <sheetData>
    <row r="1" spans="1:6" ht="43.2">
      <c r="A1" s="125" t="s">
        <v>174</v>
      </c>
      <c r="B1" s="125" t="s">
        <v>175</v>
      </c>
      <c r="C1" s="126" t="s">
        <v>176</v>
      </c>
      <c r="D1" s="126" t="s">
        <v>177</v>
      </c>
      <c r="E1" s="125" t="s">
        <v>178</v>
      </c>
      <c r="F1" s="128" t="s">
        <v>187</v>
      </c>
    </row>
    <row r="2" spans="1:6">
      <c r="A2" s="37" t="s">
        <v>179</v>
      </c>
      <c r="B2">
        <v>155</v>
      </c>
      <c r="C2" s="1">
        <v>150355</v>
      </c>
      <c r="D2" s="1">
        <v>970.0322580645161</v>
      </c>
      <c r="E2" s="124">
        <v>0.15771922610530908</v>
      </c>
      <c r="F2" s="1">
        <f>+GETPIVOTDATA("media coste",$A$3,"city_name","Barcelona")*50%</f>
        <v>485.01612903225805</v>
      </c>
    </row>
    <row r="3" spans="1:6">
      <c r="A3" s="37" t="s">
        <v>180</v>
      </c>
      <c r="B3">
        <v>165</v>
      </c>
      <c r="C3" s="1">
        <v>152592</v>
      </c>
      <c r="D3" s="1">
        <v>924.8</v>
      </c>
      <c r="E3" s="124">
        <v>0.16006579195810797</v>
      </c>
      <c r="F3" s="1">
        <f>+GETPIVOTDATA("media coste",$A$3,"city_name","Bilbao")*50%</f>
        <v>462.4</v>
      </c>
    </row>
    <row r="4" spans="1:6">
      <c r="A4" s="37" t="s">
        <v>181</v>
      </c>
      <c r="B4">
        <v>140</v>
      </c>
      <c r="C4" s="1">
        <v>135004</v>
      </c>
      <c r="D4" s="1">
        <v>964.31428571428569</v>
      </c>
      <c r="E4" s="124">
        <v>0.14161635064428285</v>
      </c>
      <c r="F4" s="1">
        <f>+GETPIVOTDATA("media coste",$A$3,"city_name","Ibiza")*50%</f>
        <v>482.15714285714284</v>
      </c>
    </row>
    <row r="5" spans="1:6">
      <c r="A5" s="37" t="s">
        <v>182</v>
      </c>
      <c r="B5">
        <v>141</v>
      </c>
      <c r="C5" s="1">
        <v>132586</v>
      </c>
      <c r="D5" s="1">
        <v>940.32624113475174</v>
      </c>
      <c r="E5" s="124">
        <v>0.13907991960625526</v>
      </c>
      <c r="F5" s="1">
        <f>+GETPIVOTDATA("media coste",$A$3,"city_name","Madrid")*50%</f>
        <v>470.16312056737587</v>
      </c>
    </row>
    <row r="6" spans="1:6">
      <c r="A6" s="37" t="s">
        <v>183</v>
      </c>
      <c r="B6">
        <v>134</v>
      </c>
      <c r="C6" s="1">
        <v>126390</v>
      </c>
      <c r="D6" s="1">
        <v>943.20895522388059</v>
      </c>
      <c r="E6" s="124">
        <v>0.13258044619367507</v>
      </c>
      <c r="F6" s="1">
        <f>+GETPIVOTDATA("media coste",$A$3,"city_name","Oviedo")*50%</f>
        <v>471.6044776119403</v>
      </c>
    </row>
    <row r="7" spans="1:6">
      <c r="A7" s="37" t="s">
        <v>184</v>
      </c>
      <c r="B7">
        <v>123</v>
      </c>
      <c r="C7" s="1">
        <v>118864</v>
      </c>
      <c r="D7" s="1">
        <v>966.3739837398374</v>
      </c>
      <c r="E7" s="124">
        <v>0.12468583081228732</v>
      </c>
      <c r="F7" s="1">
        <f>+GETPIVOTDATA("media coste",$A$3,"city_name","Sevilla")*50%</f>
        <v>483.1869918699187</v>
      </c>
    </row>
    <row r="8" spans="1:6">
      <c r="A8" s="37" t="s">
        <v>3</v>
      </c>
      <c r="B8">
        <v>142</v>
      </c>
      <c r="C8" s="1">
        <v>137517</v>
      </c>
      <c r="D8" s="1">
        <v>968.42957746478874</v>
      </c>
      <c r="E8" s="124">
        <v>0.14425243468008242</v>
      </c>
      <c r="F8" s="1">
        <f>+GETPIVOTDATA("media coste",$A$3,"city_name","Valencia")*50%</f>
        <v>484.21478873239437</v>
      </c>
    </row>
    <row r="9" spans="1:6">
      <c r="A9" s="37" t="s">
        <v>185</v>
      </c>
      <c r="B9">
        <v>1000</v>
      </c>
      <c r="C9" s="1">
        <v>953308</v>
      </c>
      <c r="D9" s="1">
        <v>953.30799999999999</v>
      </c>
      <c r="E9" s="124">
        <v>1</v>
      </c>
      <c r="F9" s="127">
        <f>+AVERAGE(F2:F8)</f>
        <v>476.96323581014718</v>
      </c>
    </row>
    <row r="10" spans="1:6">
      <c r="F10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costes</vt:lpstr>
      <vt:lpstr>horas roles costes</vt:lpstr>
      <vt:lpstr>escenarios</vt:lpstr>
      <vt:lpstr>costes personal</vt:lpstr>
      <vt:lpstr>Estimación medias viviendas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amparo botella</cp:lastModifiedBy>
  <dcterms:created xsi:type="dcterms:W3CDTF">2021-01-20T20:16:54Z</dcterms:created>
  <dcterms:modified xsi:type="dcterms:W3CDTF">2021-02-02T22:27:04Z</dcterms:modified>
</cp:coreProperties>
</file>