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0bef86689d611/Escritorio/EDEM/PROYECTO 2 QL/dataproject2/"/>
    </mc:Choice>
  </mc:AlternateContent>
  <xr:revisionPtr revIDLastSave="999" documentId="8_{B7027531-4904-4DBC-882C-9FB6F5C32DBA}" xr6:coauthVersionLast="46" xr6:coauthVersionMax="46" xr10:uidLastSave="{360A526B-EFD0-40ED-918F-8A1A1E657AC4}"/>
  <bookViews>
    <workbookView xWindow="33750" yWindow="1305" windowWidth="11670" windowHeight="8310" activeTab="2" xr2:uid="{5FEC1257-C56C-46B2-84BE-26EF89348FD8}"/>
  </bookViews>
  <sheets>
    <sheet name="resumen costes" sheetId="1" r:id="rId1"/>
    <sheet name="horas roles costes" sheetId="3" r:id="rId2"/>
    <sheet name="escenarios" sheetId="4" r:id="rId3"/>
    <sheet name="costes person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" i="4" l="1"/>
  <c r="V22" i="4" s="1"/>
  <c r="U14" i="4"/>
  <c r="U15" i="4"/>
  <c r="V15" i="4"/>
  <c r="U16" i="4"/>
  <c r="V16" i="4"/>
  <c r="U17" i="4"/>
  <c r="V17" i="4"/>
  <c r="V14" i="4"/>
  <c r="U6" i="4"/>
  <c r="V9" i="4"/>
  <c r="V8" i="4"/>
  <c r="V7" i="4"/>
  <c r="V6" i="4"/>
  <c r="U7" i="4"/>
  <c r="G22" i="4"/>
  <c r="H22" i="4"/>
  <c r="P15" i="4"/>
  <c r="P16" i="4"/>
  <c r="P17" i="4"/>
  <c r="P14" i="4"/>
  <c r="H15" i="4"/>
  <c r="H16" i="4"/>
  <c r="H17" i="4"/>
  <c r="H14" i="4"/>
  <c r="C17" i="4"/>
  <c r="C15" i="4"/>
  <c r="C14" i="4"/>
  <c r="E22" i="4"/>
  <c r="E7" i="4"/>
  <c r="E8" i="4"/>
  <c r="E9" i="4"/>
  <c r="E6" i="4"/>
  <c r="M44" i="4"/>
  <c r="M43" i="4"/>
  <c r="L42" i="4"/>
  <c r="M42" i="4" s="1"/>
  <c r="M41" i="4"/>
  <c r="M40" i="4"/>
  <c r="D6" i="1"/>
  <c r="C6" i="1"/>
  <c r="H7" i="4"/>
  <c r="H8" i="4"/>
  <c r="H9" i="4"/>
  <c r="H6" i="4"/>
  <c r="G7" i="4"/>
  <c r="G8" i="4"/>
  <c r="G9" i="4"/>
  <c r="G6" i="4"/>
  <c r="G30" i="3"/>
  <c r="G14" i="3"/>
  <c r="H14" i="3"/>
  <c r="H4" i="3"/>
  <c r="P34" i="3"/>
  <c r="P33" i="3"/>
  <c r="P32" i="3"/>
  <c r="P31" i="3"/>
  <c r="P30" i="3"/>
  <c r="T15" i="2"/>
  <c r="T8" i="2"/>
  <c r="T10" i="2"/>
  <c r="T12" i="2"/>
  <c r="T13" i="2"/>
  <c r="T6" i="2"/>
  <c r="C6" i="4"/>
  <c r="C7" i="4"/>
  <c r="C9" i="4"/>
  <c r="O34" i="3"/>
  <c r="O33" i="3"/>
  <c r="O32" i="3"/>
  <c r="O31" i="3"/>
  <c r="O30" i="3"/>
  <c r="O16" i="3"/>
  <c r="P16" i="3" s="1"/>
  <c r="O15" i="3"/>
  <c r="P15" i="3" s="1"/>
  <c r="O14" i="3"/>
  <c r="N14" i="3"/>
  <c r="E14" i="3" s="1"/>
  <c r="O29" i="3"/>
  <c r="P29" i="3" s="1"/>
  <c r="O28" i="3"/>
  <c r="P28" i="3" s="1"/>
  <c r="O27" i="3"/>
  <c r="P27" i="3" s="1"/>
  <c r="O26" i="3"/>
  <c r="O25" i="3"/>
  <c r="O24" i="3"/>
  <c r="P24" i="3" s="1"/>
  <c r="N26" i="3"/>
  <c r="N25" i="3"/>
  <c r="O19" i="3"/>
  <c r="P19" i="3" s="1"/>
  <c r="O18" i="3"/>
  <c r="P18" i="3" s="1"/>
  <c r="N21" i="3"/>
  <c r="N22" i="3"/>
  <c r="O23" i="3"/>
  <c r="P23" i="3" s="1"/>
  <c r="P20" i="3"/>
  <c r="M18" i="3"/>
  <c r="O22" i="3"/>
  <c r="O21" i="3"/>
  <c r="M21" i="3"/>
  <c r="M22" i="3"/>
  <c r="P17" i="3"/>
  <c r="N13" i="3"/>
  <c r="N12" i="3"/>
  <c r="O11" i="3"/>
  <c r="O13" i="3"/>
  <c r="O10" i="3"/>
  <c r="O12" i="3"/>
  <c r="O9" i="3"/>
  <c r="P9" i="3" s="1"/>
  <c r="N11" i="3"/>
  <c r="N10" i="3"/>
  <c r="E4" i="3" s="1"/>
  <c r="O8" i="3"/>
  <c r="P8" i="3" s="1"/>
  <c r="O7" i="3"/>
  <c r="P7" i="3" s="1"/>
  <c r="O5" i="3"/>
  <c r="P5" i="3" s="1"/>
  <c r="O4" i="3"/>
  <c r="P4" i="3" s="1"/>
  <c r="S6" i="2"/>
  <c r="S7" i="2"/>
  <c r="S15" i="2" s="1"/>
  <c r="S8" i="2"/>
  <c r="S9" i="2"/>
  <c r="S10" i="2"/>
  <c r="S11" i="2"/>
  <c r="S12" i="2"/>
  <c r="S13" i="2"/>
  <c r="S5" i="2"/>
  <c r="P15" i="2"/>
  <c r="Q15" i="2"/>
  <c r="R15" i="2"/>
  <c r="R6" i="2"/>
  <c r="R7" i="2"/>
  <c r="R8" i="2"/>
  <c r="R9" i="2"/>
  <c r="R10" i="2"/>
  <c r="R11" i="2"/>
  <c r="R12" i="2"/>
  <c r="R13" i="2"/>
  <c r="R5" i="2"/>
  <c r="Q6" i="2"/>
  <c r="Q7" i="2"/>
  <c r="Q8" i="2"/>
  <c r="Q9" i="2"/>
  <c r="Q10" i="2"/>
  <c r="Q11" i="2"/>
  <c r="Q12" i="2"/>
  <c r="Q13" i="2"/>
  <c r="Q5" i="2"/>
  <c r="B4" i="3" l="1"/>
  <c r="F14" i="3" s="1"/>
  <c r="P14" i="3"/>
  <c r="P10" i="3"/>
  <c r="P22" i="3"/>
  <c r="P11" i="3"/>
  <c r="P25" i="3"/>
  <c r="P13" i="3"/>
  <c r="P26" i="3"/>
  <c r="P21" i="3"/>
  <c r="P12" i="3"/>
  <c r="C5" i="1"/>
  <c r="C24" i="1" s="1"/>
  <c r="M15" i="2"/>
  <c r="N6" i="2"/>
  <c r="O6" i="2" s="1"/>
  <c r="N7" i="2"/>
  <c r="O7" i="2" s="1"/>
  <c r="N8" i="2"/>
  <c r="O8" i="2" s="1"/>
  <c r="N9" i="2"/>
  <c r="O9" i="2"/>
  <c r="N10" i="2"/>
  <c r="O10" i="2"/>
  <c r="N11" i="2"/>
  <c r="O11" i="2" s="1"/>
  <c r="N12" i="2"/>
  <c r="O12" i="2" s="1"/>
  <c r="N13" i="2"/>
  <c r="O13" i="2" s="1"/>
  <c r="I23" i="2"/>
  <c r="N5" i="2"/>
  <c r="O5" i="2" s="1"/>
  <c r="K15" i="2"/>
  <c r="L15" i="2"/>
  <c r="J15" i="2"/>
  <c r="U8" i="4"/>
  <c r="U9" i="4"/>
  <c r="D12" i="1"/>
  <c r="M11" i="1"/>
  <c r="D18" i="1"/>
  <c r="D16" i="1" s="1"/>
  <c r="D20" i="1"/>
  <c r="M10" i="1"/>
  <c r="L9" i="1"/>
  <c r="M9" i="1"/>
  <c r="D11" i="1" s="1"/>
  <c r="D10" i="1"/>
  <c r="M8" i="1"/>
  <c r="M7" i="1"/>
  <c r="C9" i="1"/>
  <c r="M6" i="1"/>
  <c r="C14" i="2"/>
  <c r="C13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F4" i="3" l="1"/>
  <c r="C4" i="3"/>
  <c r="G4" i="3"/>
  <c r="D14" i="2"/>
  <c r="D5" i="1"/>
  <c r="D24" i="1" s="1"/>
  <c r="N15" i="2"/>
  <c r="O15" i="2"/>
  <c r="E5" i="2"/>
  <c r="D13" i="2"/>
  <c r="E13" i="2" l="1"/>
  <c r="E14" i="2"/>
  <c r="D23" i="1"/>
  <c r="D2" i="1" s="1"/>
  <c r="C23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tc={A56A1FA7-6F11-4469-9AAC-DB82210D0907}</author>
  </authors>
  <commentList>
    <comment ref="L10" authorId="0" shapeId="0" xr:uid="{A56A1FA7-6F11-4469-9AAC-DB82210D09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Conexión twitter, transformaciones, Conexión con dockers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tc={E64E6622-5784-4610-8117-031CDA8CB466}</author>
  </authors>
  <commentList>
    <comment ref="C8" authorId="0" shapeId="0" xr:uid="{E64E6622-5784-4610-8117-031CDA8CB4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he localizado referencias en glassdoor</t>
      </text>
    </comment>
  </commentList>
</comments>
</file>

<file path=xl/sharedStrings.xml><?xml version="1.0" encoding="utf-8"?>
<sst xmlns="http://schemas.openxmlformats.org/spreadsheetml/2006/main" count="313" uniqueCount="173">
  <si>
    <t>COSTES</t>
  </si>
  <si>
    <t>Configuración equipo proyecto2</t>
  </si>
  <si>
    <t xml:space="preserve">Ubicación sede: </t>
  </si>
  <si>
    <t>Valencia</t>
  </si>
  <si>
    <t>Objetivo</t>
  </si>
  <si>
    <t>SBA</t>
  </si>
  <si>
    <t>SBM</t>
  </si>
  <si>
    <t>€/hora</t>
  </si>
  <si>
    <t>Programador</t>
  </si>
  <si>
    <t>MVP +PF</t>
  </si>
  <si>
    <t>Desarrollador Java+Spark</t>
  </si>
  <si>
    <t>PF</t>
  </si>
  <si>
    <t>Desarrollador WEB</t>
  </si>
  <si>
    <t>Arquitecto Cloud</t>
  </si>
  <si>
    <t>Project Manager</t>
  </si>
  <si>
    <t>Data Analist</t>
  </si>
  <si>
    <t>Deveops (para despliegue y testeo)</t>
  </si>
  <si>
    <t>TOTAL PROYECTO</t>
  </si>
  <si>
    <t>MVP</t>
  </si>
  <si>
    <t>Directos</t>
  </si>
  <si>
    <t>Equipos</t>
  </si>
  <si>
    <t>Viajes/Desplazamientos</t>
  </si>
  <si>
    <t>Indirectos</t>
  </si>
  <si>
    <t xml:space="preserve">Internet + telf </t>
  </si>
  <si>
    <t>impuestos</t>
  </si>
  <si>
    <t>Contingencia</t>
  </si>
  <si>
    <t>+20%</t>
  </si>
  <si>
    <t>Costes Técnicos</t>
  </si>
  <si>
    <t>Nombre</t>
  </si>
  <si>
    <t>Suscripcion</t>
  </si>
  <si>
    <t>Tipo</t>
  </si>
  <si>
    <t>Precio($)</t>
  </si>
  <si>
    <t>Precio(€)</t>
  </si>
  <si>
    <t>Total</t>
  </si>
  <si>
    <t>Instancia Google Cloud</t>
  </si>
  <si>
    <t>Mensual</t>
  </si>
  <si>
    <t>Professional</t>
  </si>
  <si>
    <t>Conversion € / $:</t>
  </si>
  <si>
    <t>e2-n2-standard</t>
  </si>
  <si>
    <t>12 meses</t>
  </si>
  <si>
    <t>c2-standard-4</t>
  </si>
  <si>
    <t>*</t>
  </si>
  <si>
    <t>*
Instancia Google Cloud</t>
  </si>
  <si>
    <t>Alojamiento web Arsys</t>
  </si>
  <si>
    <r>
      <t xml:space="preserve">Alojamiento web </t>
    </r>
    <r>
      <rPr>
        <b/>
        <sz val="10"/>
        <color theme="1"/>
        <rFont val="Arial"/>
        <family val="2"/>
      </rPr>
      <t>Arsys</t>
    </r>
  </si>
  <si>
    <t>API Twitter</t>
  </si>
  <si>
    <t>Premium version</t>
  </si>
  <si>
    <t>Api Twitter v. premium</t>
  </si>
  <si>
    <t>Mensual (x12)</t>
  </si>
  <si>
    <t>16GB+512GB Táctil
Intel i5+UHD 620</t>
  </si>
  <si>
    <t>EQUIPOS
PC Huawei MateBook X Pro 2020</t>
  </si>
  <si>
    <t>CT</t>
  </si>
  <si>
    <t>Unid.</t>
  </si>
  <si>
    <t>MVP(solo 2 meses coste)</t>
  </si>
  <si>
    <t>local emprendis las artes</t>
  </si>
  <si>
    <t>7 líneas 12 meses</t>
  </si>
  <si>
    <t>250€/mes</t>
  </si>
  <si>
    <t>Costes Indirectos</t>
  </si>
  <si>
    <t>Despacho en CºNegocios</t>
  </si>
  <si>
    <t>Telefonía e internet</t>
  </si>
  <si>
    <t>Kubernettes</t>
  </si>
  <si>
    <t>Kubernettes Google Cloud</t>
  </si>
  <si>
    <t>N1-standard-2</t>
  </si>
  <si>
    <r>
      <t>€/</t>
    </r>
    <r>
      <rPr>
        <sz val="11"/>
        <rFont val="Calibri"/>
        <family val="2"/>
        <scheme val="minor"/>
      </rPr>
      <t>hora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pte establecer las horas del proyecto para ajustar costes personal</t>
    </r>
  </si>
  <si>
    <t>estandarizar</t>
  </si>
  <si>
    <t>refactorizar</t>
  </si>
  <si>
    <t>*proyección</t>
  </si>
  <si>
    <t>ver proyecto dep con jose</t>
  </si>
  <si>
    <t>+hitos. Línea temporal con costes / hoja de ruta</t>
  </si>
  <si>
    <t>escenario pos /neu / negativo</t>
  </si>
  <si>
    <t>pendiente. Revisar :</t>
  </si>
  <si>
    <t>¿servidores?</t>
  </si>
  <si>
    <t>Personal*</t>
  </si>
  <si>
    <t>beneficios esperados</t>
  </si>
  <si>
    <t>tam y sam</t>
  </si>
  <si>
    <t>tamaño mercado y samble market</t>
  </si>
  <si>
    <t>con comparable de MVP con el proyecto final</t>
  </si>
  <si>
    <t>COSTES X ESCENARIOS</t>
  </si>
  <si>
    <t>++</t>
  </si>
  <si>
    <t>+</t>
  </si>
  <si>
    <t>-</t>
  </si>
  <si>
    <t>Escenario</t>
  </si>
  <si>
    <t>coste personal</t>
  </si>
  <si>
    <t>RANGO</t>
  </si>
  <si>
    <t>Volumen diario</t>
  </si>
  <si>
    <t>GASTOS DIRECTOS</t>
  </si>
  <si>
    <t>PLAZOS</t>
  </si>
  <si>
    <t>CONTINGENCIA</t>
  </si>
  <si>
    <t>MANTENIMIENTO</t>
  </si>
  <si>
    <t>Meses</t>
  </si>
  <si>
    <t>GASTOS INDIRECTOS</t>
  </si>
  <si>
    <t>Total costes</t>
  </si>
  <si>
    <t>Data Engineer. Junior</t>
  </si>
  <si>
    <t>Data Engineer. Senior</t>
  </si>
  <si>
    <t>Scrum Master</t>
  </si>
  <si>
    <t>Cloud Developer</t>
  </si>
  <si>
    <t>UX (User Experience)</t>
  </si>
  <si>
    <t>Deveops</t>
  </si>
  <si>
    <t>HelpDesk</t>
  </si>
  <si>
    <t>Misión</t>
  </si>
  <si>
    <t>Mnto</t>
  </si>
  <si>
    <t>Ubicación Valencia</t>
  </si>
  <si>
    <t>2ª Versión</t>
  </si>
  <si>
    <t xml:space="preserve"> </t>
  </si>
  <si>
    <t>TOTALES</t>
  </si>
  <si>
    <t>(media horas laborales mes)</t>
  </si>
  <si>
    <t>estimacion</t>
  </si>
  <si>
    <t>FullStack Web Developer</t>
  </si>
  <si>
    <t>Planificación</t>
  </si>
  <si>
    <t>ROLES</t>
  </si>
  <si>
    <t>HORAS</t>
  </si>
  <si>
    <t>TAREA</t>
  </si>
  <si>
    <t>Arquitectura</t>
  </si>
  <si>
    <t>TAREAS</t>
  </si>
  <si>
    <t>Definición</t>
  </si>
  <si>
    <t>Levantar</t>
  </si>
  <si>
    <t>COSTE HORAS</t>
  </si>
  <si>
    <t>Postgress Definir tabla</t>
  </si>
  <si>
    <t>NIFI</t>
  </si>
  <si>
    <t>TOTAL PARTIDA</t>
  </si>
  <si>
    <t>PARTIDA</t>
  </si>
  <si>
    <t>Planificación proyecto, horas, previsión costes, búsqueda personal…</t>
  </si>
  <si>
    <t>Definir fases y adjudicar roles</t>
  </si>
  <si>
    <t>SUBTAREA</t>
  </si>
  <si>
    <t>(máquinas postgress, kafka, docker etc)</t>
  </si>
  <si>
    <t>Programación</t>
  </si>
  <si>
    <t>Programar Pyspark</t>
  </si>
  <si>
    <t>Conexión Twitter, Transformaciones</t>
  </si>
  <si>
    <t>Conexión con Docker</t>
  </si>
  <si>
    <t>Obtener tweets</t>
  </si>
  <si>
    <t>Procesar y contestar tweets</t>
  </si>
  <si>
    <t>Definición proyecto y necesidades</t>
  </si>
  <si>
    <t>FASES</t>
  </si>
  <si>
    <t>HDFS</t>
  </si>
  <si>
    <t>WEB</t>
  </si>
  <si>
    <t>KUBBERNETTES</t>
  </si>
  <si>
    <t>Desarrollo web</t>
  </si>
  <si>
    <t>Testeo uso web</t>
  </si>
  <si>
    <t>Purga e histórico de info obsoleta Posgress</t>
  </si>
  <si>
    <t>Programar Web</t>
  </si>
  <si>
    <t>Diseño</t>
  </si>
  <si>
    <t>Testeo</t>
  </si>
  <si>
    <t>Devops</t>
  </si>
  <si>
    <t>Valorar y crear kubernettes</t>
  </si>
  <si>
    <t>Testeo puesta en marcha</t>
  </si>
  <si>
    <t>MEJORAS</t>
  </si>
  <si>
    <t>mejora SPARK</t>
  </si>
  <si>
    <t>optimización SPARK</t>
  </si>
  <si>
    <t>Refactoring Spark</t>
  </si>
  <si>
    <t>INTEGRACIÓN WEB</t>
  </si>
  <si>
    <t>Revisión procesos y fases</t>
  </si>
  <si>
    <t>1.2</t>
  </si>
  <si>
    <t>fase</t>
  </si>
  <si>
    <t>horas</t>
  </si>
  <si>
    <t>coste</t>
  </si>
  <si>
    <t>PROYECTO</t>
  </si>
  <si>
    <t>*Origen Información: Glassdoor. Medias por zonas Valencia</t>
  </si>
  <si>
    <t>Testeo y puesta en producción</t>
  </si>
  <si>
    <t>Mantenimiento WEB</t>
  </si>
  <si>
    <t>Seguimiento proyecto + costes</t>
  </si>
  <si>
    <t>Soporte al usuario</t>
  </si>
  <si>
    <t>mes</t>
  </si>
  <si>
    <t>MENSUAL</t>
  </si>
  <si>
    <t>Volumen tweets diario</t>
  </si>
  <si>
    <t>coste 
personal/mes</t>
  </si>
  <si>
    <t>elimino coste hardware. No se imputa al proyecto.</t>
  </si>
  <si>
    <t>Kubernettes nodos
3</t>
  </si>
  <si>
    <t>Nodos google cloud (HDFS Y POSTGRESS)
2</t>
  </si>
  <si>
    <t>horas/pers</t>
  </si>
  <si>
    <t>horas/pers.</t>
  </si>
  <si>
    <t>e2-n2-standard + 2 NODOS</t>
  </si>
  <si>
    <t>LICENCIAS</t>
  </si>
  <si>
    <t>Internet + telf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</si>
</sst>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172B4D"/>
      <name val="Segoe UI"/>
      <family val="2"/>
    </font>
    <font>
      <sz val="9"/>
      <color theme="3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 tint="-0.499984740745262"/>
      <name val="Segoe UI"/>
      <family val="2"/>
    </font>
    <font>
      <sz val="9"/>
      <color rgb="FF172B4D"/>
      <name val="Segoe UI"/>
      <family val="2"/>
    </font>
    <font>
      <sz val="9"/>
      <color theme="3" tint="-0.499984740745262"/>
      <name val="Segoe "/>
    </font>
    <font>
      <b/>
      <sz val="9"/>
      <color theme="1"/>
      <name val="Segoe "/>
    </font>
    <font>
      <b/>
      <sz val="9"/>
      <color theme="3" tint="-0.499984740745262"/>
      <name val="Segoe "/>
    </font>
    <font>
      <b/>
      <sz val="9"/>
      <color rgb="FF172B4D"/>
      <name val="Segoe "/>
    </font>
    <font>
      <u/>
      <sz val="9"/>
      <color theme="10"/>
      <name val="Segoe "/>
    </font>
    <font>
      <sz val="9"/>
      <color theme="1"/>
      <name val="Segoe "/>
    </font>
    <font>
      <i/>
      <sz val="9"/>
      <color theme="4" tint="-0.499984740745262"/>
      <name val="Calibri"/>
      <family val="2"/>
      <scheme val="minor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9"/>
      <color theme="1"/>
      <name val="Calibri"/>
      <family val="2"/>
      <scheme val="minor"/>
    </font>
    <font>
      <b/>
      <i/>
      <sz val="9"/>
      <color theme="1"/>
      <name val="Segoe UI"/>
      <family val="2"/>
    </font>
    <font>
      <b/>
      <sz val="9"/>
      <color theme="1"/>
      <name val="Segoe"/>
    </font>
    <font>
      <b/>
      <sz val="9"/>
      <color theme="3" tint="-0.499984740745262"/>
      <name val="Segoe"/>
    </font>
    <font>
      <b/>
      <sz val="9"/>
      <color rgb="FF172B4D"/>
      <name val="Segoe"/>
    </font>
    <font>
      <sz val="9"/>
      <color theme="1"/>
      <name val="Segoe"/>
    </font>
    <font>
      <sz val="9"/>
      <color theme="3" tint="-0.499984740745262"/>
      <name val="Segoe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5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0" xfId="0" quotePrefix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3" fillId="0" borderId="0" xfId="1"/>
    <xf numFmtId="0" fontId="6" fillId="0" borderId="0" xfId="0" applyFont="1"/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4" fontId="5" fillId="0" borderId="2" xfId="0" applyNumberFormat="1" applyFont="1" applyBorder="1" applyAlignment="1">
      <alignment horizontal="right" wrapText="1"/>
    </xf>
    <xf numFmtId="4" fontId="5" fillId="0" borderId="2" xfId="0" applyNumberFormat="1" applyFont="1" applyBorder="1" applyAlignment="1">
      <alignment wrapText="1"/>
    </xf>
    <xf numFmtId="0" fontId="0" fillId="0" borderId="2" xfId="0" applyBorder="1"/>
    <xf numFmtId="8" fontId="5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/>
    <xf numFmtId="0" fontId="5" fillId="0" borderId="4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horizontal="right" vertical="center" wrapText="1"/>
    </xf>
    <xf numFmtId="0" fontId="5" fillId="0" borderId="4" xfId="0" applyFont="1" applyBorder="1" applyAlignment="1">
      <alignment vertical="center" wrapText="1"/>
    </xf>
    <xf numFmtId="4" fontId="5" fillId="0" borderId="4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right" vertical="center" wrapText="1"/>
    </xf>
    <xf numFmtId="4" fontId="5" fillId="0" borderId="2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wrapText="1"/>
    </xf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3" fillId="0" borderId="0" xfId="1" applyAlignment="1">
      <alignment vertical="center"/>
    </xf>
    <xf numFmtId="0" fontId="7" fillId="0" borderId="0" xfId="0" applyFont="1"/>
    <xf numFmtId="0" fontId="4" fillId="0" borderId="3" xfId="0" applyFont="1" applyBorder="1" applyAlignment="1">
      <alignment wrapText="1"/>
    </xf>
    <xf numFmtId="0" fontId="0" fillId="0" borderId="0" xfId="0" applyFill="1"/>
    <xf numFmtId="4" fontId="2" fillId="0" borderId="1" xfId="0" applyNumberFormat="1" applyFont="1" applyBorder="1"/>
    <xf numFmtId="4" fontId="2" fillId="0" borderId="0" xfId="0" applyNumberFormat="1" applyFont="1"/>
    <xf numFmtId="0" fontId="0" fillId="0" borderId="0" xfId="0" applyAlignment="1">
      <alignment vertical="center" wrapText="1"/>
    </xf>
    <xf numFmtId="4" fontId="0" fillId="2" borderId="0" xfId="0" applyNumberFormat="1" applyFill="1" applyAlignment="1">
      <alignment vertical="center"/>
    </xf>
    <xf numFmtId="4" fontId="2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/>
    </xf>
    <xf numFmtId="0" fontId="3" fillId="0" borderId="1" xfId="1" applyBorder="1" applyAlignment="1">
      <alignment vertical="center"/>
    </xf>
    <xf numFmtId="0" fontId="0" fillId="0" borderId="5" xfId="0" applyBorder="1"/>
    <xf numFmtId="0" fontId="3" fillId="0" borderId="5" xfId="1" applyBorder="1"/>
    <xf numFmtId="9" fontId="0" fillId="0" borderId="1" xfId="0" quotePrefix="1" applyNumberFormat="1" applyBorder="1" applyAlignment="1">
      <alignment wrapText="1"/>
    </xf>
    <xf numFmtId="9" fontId="0" fillId="0" borderId="1" xfId="0" applyNumberForma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" fontId="18" fillId="0" borderId="0" xfId="1" applyNumberFormat="1" applyFont="1"/>
    <xf numFmtId="4" fontId="14" fillId="0" borderId="0" xfId="0" applyNumberFormat="1" applyFont="1"/>
    <xf numFmtId="4" fontId="19" fillId="0" borderId="0" xfId="0" applyNumberFormat="1" applyFont="1"/>
    <xf numFmtId="0" fontId="19" fillId="0" borderId="0" xfId="0" applyFont="1"/>
    <xf numFmtId="0" fontId="14" fillId="0" borderId="0" xfId="0" applyFont="1" applyAlignment="1">
      <alignment horizontal="right"/>
    </xf>
    <xf numFmtId="4" fontId="14" fillId="0" borderId="1" xfId="0" applyNumberFormat="1" applyFont="1" applyBorder="1"/>
    <xf numFmtId="0" fontId="20" fillId="0" borderId="0" xfId="0" applyFont="1"/>
    <xf numFmtId="4" fontId="10" fillId="0" borderId="0" xfId="0" applyNumberFormat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1" xfId="0" applyFont="1" applyBorder="1"/>
    <xf numFmtId="0" fontId="26" fillId="0" borderId="1" xfId="0" applyFont="1" applyBorder="1" applyAlignment="1">
      <alignment horizontal="center"/>
    </xf>
    <xf numFmtId="0" fontId="25" fillId="0" borderId="5" xfId="0" applyFont="1" applyBorder="1"/>
    <xf numFmtId="0" fontId="26" fillId="0" borderId="5" xfId="0" applyFont="1" applyBorder="1"/>
    <xf numFmtId="0" fontId="27" fillId="0" borderId="1" xfId="0" applyFont="1" applyBorder="1" applyAlignment="1">
      <alignment horizontal="center"/>
    </xf>
    <xf numFmtId="0" fontId="28" fillId="0" borderId="0" xfId="0" applyFont="1"/>
    <xf numFmtId="0" fontId="29" fillId="0" borderId="0" xfId="0" applyFont="1"/>
    <xf numFmtId="4" fontId="28" fillId="0" borderId="0" xfId="0" applyNumberFormat="1" applyFont="1"/>
    <xf numFmtId="4" fontId="11" fillId="0" borderId="0" xfId="0" applyNumberFormat="1" applyFont="1"/>
    <xf numFmtId="0" fontId="26" fillId="0" borderId="0" xfId="0" applyFont="1" applyBorder="1" applyAlignment="1">
      <alignment horizontal="center"/>
    </xf>
    <xf numFmtId="4" fontId="25" fillId="0" borderId="0" xfId="0" applyNumberFormat="1" applyFont="1"/>
    <xf numFmtId="0" fontId="30" fillId="0" borderId="0" xfId="1" applyFont="1"/>
    <xf numFmtId="0" fontId="0" fillId="0" borderId="0" xfId="0" applyFill="1" applyBorder="1"/>
    <xf numFmtId="0" fontId="0" fillId="0" borderId="1" xfId="0" applyFill="1" applyBorder="1"/>
    <xf numFmtId="4" fontId="2" fillId="0" borderId="1" xfId="0" applyNumberFormat="1" applyFont="1" applyFill="1" applyBorder="1"/>
    <xf numFmtId="0" fontId="0" fillId="0" borderId="6" xfId="0" applyBorder="1"/>
    <xf numFmtId="4" fontId="0" fillId="0" borderId="6" xfId="0" applyNumberFormat="1" applyBorder="1"/>
    <xf numFmtId="0" fontId="0" fillId="0" borderId="0" xfId="0" applyBorder="1"/>
    <xf numFmtId="4" fontId="0" fillId="0" borderId="0" xfId="0" applyNumberFormat="1" applyBorder="1"/>
    <xf numFmtId="4" fontId="0" fillId="0" borderId="1" xfId="0" applyNumberFormat="1" applyBorder="1"/>
    <xf numFmtId="0" fontId="28" fillId="3" borderId="0" xfId="0" applyFont="1" applyFill="1"/>
    <xf numFmtId="0" fontId="2" fillId="0" borderId="7" xfId="0" applyFont="1" applyBorder="1"/>
    <xf numFmtId="0" fontId="2" fillId="0" borderId="8" xfId="0" applyFont="1" applyBorder="1"/>
    <xf numFmtId="0" fontId="1" fillId="0" borderId="0" xfId="0" applyFont="1"/>
    <xf numFmtId="0" fontId="3" fillId="0" borderId="1" xfId="1" applyBorder="1" applyAlignment="1">
      <alignment vertical="center" wrapText="1"/>
    </xf>
    <xf numFmtId="0" fontId="3" fillId="0" borderId="0" xfId="1" applyFill="1"/>
    <xf numFmtId="0" fontId="0" fillId="0" borderId="5" xfId="0" applyFill="1" applyBorder="1"/>
    <xf numFmtId="0" fontId="0" fillId="0" borderId="5" xfId="0" applyFill="1" applyBorder="1" applyAlignment="1">
      <alignment horizontal="left" vertical="center"/>
    </xf>
    <xf numFmtId="9" fontId="0" fillId="0" borderId="1" xfId="0" quotePrefix="1" applyNumberForma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0" fontId="0" fillId="0" borderId="10" xfId="0" applyNumberFormat="1" applyBorder="1" applyAlignment="1">
      <alignment horizontal="center" vertical="center" textRotation="90"/>
    </xf>
    <xf numFmtId="10" fontId="0" fillId="0" borderId="12" xfId="0" applyNumberFormat="1" applyBorder="1" applyAlignment="1">
      <alignment horizontal="center" vertical="center" textRotation="90"/>
    </xf>
    <xf numFmtId="10" fontId="0" fillId="0" borderId="14" xfId="0" applyNumberFormat="1" applyBorder="1" applyAlignment="1">
      <alignment horizontal="center" vertical="center" textRotation="90"/>
    </xf>
    <xf numFmtId="4" fontId="0" fillId="0" borderId="10" xfId="0" applyNumberFormat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11" fillId="0" borderId="6" xfId="0" applyFont="1" applyBorder="1" applyAlignment="1">
      <alignment horizontal="center" textRotation="90"/>
    </xf>
    <xf numFmtId="0" fontId="11" fillId="0" borderId="0" xfId="0" applyFont="1" applyAlignment="1">
      <alignment horizontal="center" textRotation="90"/>
    </xf>
    <xf numFmtId="0" fontId="11" fillId="0" borderId="1" xfId="0" applyFont="1" applyBorder="1" applyAlignment="1">
      <alignment horizont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6" xfId="0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4" fontId="0" fillId="0" borderId="9" xfId="0" applyNumberForma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4" fontId="0" fillId="0" borderId="11" xfId="0" applyNumberFormat="1" applyBorder="1" applyAlignment="1">
      <alignment horizontal="center" vertical="center" textRotation="90"/>
    </xf>
    <xf numFmtId="4" fontId="0" fillId="0" borderId="13" xfId="0" applyNumberFormat="1" applyBorder="1" applyAlignment="1">
      <alignment horizontal="center" vertical="center" textRotation="90"/>
    </xf>
    <xf numFmtId="4" fontId="0" fillId="0" borderId="6" xfId="0" applyNumberFormat="1" applyBorder="1" applyAlignment="1">
      <alignment horizontal="center" vertical="center" textRotation="90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275617</xdr:colOff>
      <xdr:row>0</xdr:row>
      <xdr:rowOff>169457</xdr:rowOff>
    </xdr:from>
    <xdr:to>
      <xdr:col>20</xdr:col>
      <xdr:colOff>137129</xdr:colOff>
      <xdr:row>17</xdr:row>
      <xdr:rowOff>132523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C7E728-14A0-4D4B-A1D4-627C78BF3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8813" y="169457"/>
          <a:ext cx="3801466" cy="405740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21</xdr:col>
      <xdr:colOff>172247</xdr:colOff>
      <xdr:row>59</xdr:row>
      <xdr:rowOff>55427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4FBA46-FCF7-4D9F-9122-5B0A10B2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13196" y="4538870"/>
          <a:ext cx="4885714" cy="7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663052</xdr:colOff>
      <xdr:row>29</xdr:row>
      <xdr:rowOff>19747</xdr:rowOff>
    </xdr:from>
    <xdr:to>
      <xdr:col>26</xdr:col>
      <xdr:colOff>744855</xdr:colOff>
      <xdr:row>42</xdr:row>
      <xdr:rowOff>435030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D1E419-E111-4542-97A4-CFFFF91CE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1405" y="6138159"/>
          <a:ext cx="6667052" cy="371171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mparo botella" id="{AD54FACC-7458-4989-A587-01F08EDB6038}" userId="ffa0bef86689d611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0" dT="2021-01-31T18:21:08.21" personId="{AD54FACC-7458-4989-A587-01F08EDB6038}" id="{A56A1FA7-6F11-4469-9AAC-DB82210D0907}">
    <text>Conexión twitter, transformaciones, Conexión con dockers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" dT="2021-01-19T18:39:17.13" personId="{AD54FACC-7458-4989-A587-01F08EDB6038}" id="{E64E6622-5784-4610-8117-031CDA8CB466}">
    <text>no he localizado referencias en glassdoor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developer.twitter.com/en/pricing/search-30day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sys.es/hosting" TargetMode="External"/><Relationship Id="rId1" Type="http://schemas.openxmlformats.org/officeDocument/2006/relationships/hyperlink" Target="https://cloud.google.com/products/calculator" TargetMode="External"/><Relationship Id="rId6" Type="http://schemas.openxmlformats.org/officeDocument/2006/relationships/hyperlink" Target="https://cloud.google.com/products/calculator" TargetMode="External"/><Relationship Id="rId5" Type="http://schemas.openxmlformats.org/officeDocument/2006/relationships/hyperlink" Target="https://emprendis.com/centro-de-negocios/las-artes" TargetMode="External"/><Relationship Id="rId4" Type="http://schemas.openxmlformats.org/officeDocument/2006/relationships/hyperlink" Target="https://consumer.huawei.com/es/laptops/matebook-x-pro-2020/buy/?gclid=CjwKCAiA6aSABhApEiwA6Cbm_8-L_0oeJg19CiYdTP8n1Ex5EjxqOE7gYv_q1JBbj8M0v06PCV2mRRoCRqcQAvD_Bw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mprendis.com/centro-de-negocios/las-artes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cloud.google.com/products/calculator" TargetMode="External"/><Relationship Id="rId7" Type="http://schemas.openxmlformats.org/officeDocument/2006/relationships/hyperlink" Target="https://developer.twitter.com/en/pricing/search-30day" TargetMode="External"/><Relationship Id="rId12" Type="http://schemas.openxmlformats.org/officeDocument/2006/relationships/hyperlink" Target="https://cloud.google.com/products/calculator" TargetMode="External"/><Relationship Id="rId2" Type="http://schemas.openxmlformats.org/officeDocument/2006/relationships/hyperlink" Target="https://developer.twitter.com/en/pricing/search-30day" TargetMode="External"/><Relationship Id="rId1" Type="http://schemas.openxmlformats.org/officeDocument/2006/relationships/hyperlink" Target="https://www.arsys.es/hosting" TargetMode="External"/><Relationship Id="rId6" Type="http://schemas.openxmlformats.org/officeDocument/2006/relationships/hyperlink" Target="https://www.arsys.es/hosting" TargetMode="External"/><Relationship Id="rId11" Type="http://schemas.openxmlformats.org/officeDocument/2006/relationships/hyperlink" Target="https://cloud.google.com/products/calculator" TargetMode="External"/><Relationship Id="rId5" Type="http://schemas.openxmlformats.org/officeDocument/2006/relationships/hyperlink" Target="https://cloud.google.com/products/calculator" TargetMode="External"/><Relationship Id="rId10" Type="http://schemas.openxmlformats.org/officeDocument/2006/relationships/hyperlink" Target="https://developer.twitter.com/en/pricing/search-30day" TargetMode="External"/><Relationship Id="rId4" Type="http://schemas.openxmlformats.org/officeDocument/2006/relationships/hyperlink" Target="https://emprendis.com/centro-de-negocios/las-artes" TargetMode="External"/><Relationship Id="rId9" Type="http://schemas.openxmlformats.org/officeDocument/2006/relationships/hyperlink" Target="https://cloud.google.com/products/calculato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ssdoor.es/Sueldo/GFT-Technologies-Data-Engineer-Valencia-Sueldos-EJI_IE935116.0,16_KO17,30_IL.31,39_IC2639089.htm" TargetMode="External"/><Relationship Id="rId13" Type="http://schemas.openxmlformats.org/officeDocument/2006/relationships/hyperlink" Target="https://www.glassdoor.es/Sueldos/valencia-it-helpdesk-support-sueldo-SRCH_IL.0,8_IC2639089_KO9,28.htm?clickSource=searchBtn" TargetMode="External"/><Relationship Id="rId18" Type="http://schemas.openxmlformats.org/officeDocument/2006/relationships/comments" Target="../comments2.xml"/><Relationship Id="rId3" Type="http://schemas.openxmlformats.org/officeDocument/2006/relationships/hyperlink" Target="https://www.glassdoor.es/Sueldos/valencia-desarrollador-web-sueldo-SRCH_IL.0,8_IC2639089_KO9,26.htm?clickSource=searchBtn" TargetMode="External"/><Relationship Id="rId7" Type="http://schemas.openxmlformats.org/officeDocument/2006/relationships/hyperlink" Target="https://www.glassdoor.es/Sueldos/valencia-data-engineer-sueldo-SRCH_IL.0,8_IC2639089_KO9,22.htm?clickSource=searchBtn" TargetMode="External"/><Relationship Id="rId12" Type="http://schemas.openxmlformats.org/officeDocument/2006/relationships/hyperlink" Target="https://www.glassdoor.es/Sueldos/valencia-devops-sueldo-SRCH_IL.0,8_IC2639089_KO9,15.htm?clickSource=searchBtn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https://www.glassdoor.es/Sueldos/valencia-java-developer-sueldo-SRCH_IL.0,8_IC2639089_KO9,23.htm?clickSource=searchBtn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glassdoor.es/Sueldos/valencia-programador-sueldo-SRCH_IL.0,8_IC2639089_KO9,20.htm?clickSource=searchBtn" TargetMode="External"/><Relationship Id="rId6" Type="http://schemas.openxmlformats.org/officeDocument/2006/relationships/hyperlink" Target="https://www.glassdoor.es/Sueldos/valencia-devops-sueldo-SRCH_IL.0,8_IC2639089_KO9,15.htm?clickSource=searchBtn" TargetMode="External"/><Relationship Id="rId11" Type="http://schemas.openxmlformats.org/officeDocument/2006/relationships/hyperlink" Target="https://www.glassdoor.es/Sueldos/valencia-full-stack-web-developer-sueldo-SRCH_IL.0,8_IC2639089_KO9,33.htm?clickSource=searchBtn" TargetMode="External"/><Relationship Id="rId5" Type="http://schemas.openxmlformats.org/officeDocument/2006/relationships/hyperlink" Target="https://www.glassdoor.es/Sueldos/valencia-data-analyst-sueldo-SRCH_IL.0,8_IC2639089_KO9,21.htm?clickSource=searchBtn" TargetMode="External"/><Relationship Id="rId15" Type="http://schemas.openxmlformats.org/officeDocument/2006/relationships/hyperlink" Target="https://www.glassdoor.es/Sueldos/valencia-user-experience-designer-sueldo-SRCH_IL.0,8_IC2639089_KO9,33.htm?clickSource=searchBtn" TargetMode="External"/><Relationship Id="rId10" Type="http://schemas.openxmlformats.org/officeDocument/2006/relationships/hyperlink" Target="https://www.glassdoor.es/Sueldos/valencia-project-manager-sueldo-SRCH_IL.0,8_IC2639089_KO9,24.htm?clickSource=searchBtn" TargetMode="External"/><Relationship Id="rId19" Type="http://schemas.microsoft.com/office/2017/10/relationships/threadedComment" Target="../threadedComments/threadedComment2.xml"/><Relationship Id="rId4" Type="http://schemas.openxmlformats.org/officeDocument/2006/relationships/hyperlink" Target="https://www.glassdoor.es/Sueldos/valencia-project-manager-sueldo-SRCH_IL.0,8_IC2639089_KO9,24.htm?clickSource=sear" TargetMode="External"/><Relationship Id="rId9" Type="http://schemas.openxmlformats.org/officeDocument/2006/relationships/hyperlink" Target="https://www.glassdoor.es/Sueldos/valencia-scrum-master-manager-sueldo-SRCH_IL.0,8_IC2639089_KO9,29.htm?clickSource=searchBtn" TargetMode="External"/><Relationship Id="rId14" Type="http://schemas.openxmlformats.org/officeDocument/2006/relationships/hyperlink" Target="https://www.glassdoor.es/Sueldos/madrid-cloud-architect-sueldo-SRCH_IL.0,6_IM1030_KO7,22.htm?clickSource=searchBt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B991-3ED8-4762-8FCF-AAB641D361CA}">
  <dimension ref="A1:M41"/>
  <sheetViews>
    <sheetView zoomScale="85" zoomScaleNormal="85" workbookViewId="0">
      <selection activeCell="M26" sqref="B1:M26"/>
    </sheetView>
  </sheetViews>
  <sheetFormatPr baseColWidth="10" defaultRowHeight="14.4"/>
  <cols>
    <col min="1" max="1" width="1.21875" style="5" customWidth="1"/>
    <col min="2" max="2" width="22.44140625" bestFit="1" customWidth="1"/>
    <col min="3" max="3" width="8" bestFit="1" customWidth="1"/>
    <col min="4" max="4" width="11.33203125" bestFit="1" customWidth="1"/>
    <col min="5" max="5" width="39.21875" customWidth="1"/>
    <col min="6" max="6" width="51.88671875" customWidth="1"/>
    <col min="7" max="7" width="29" customWidth="1"/>
    <col min="8" max="8" width="14.21875" customWidth="1"/>
    <col min="9" max="9" width="8.5546875" bestFit="1" customWidth="1"/>
    <col min="10" max="10" width="12.6640625" customWidth="1"/>
  </cols>
  <sheetData>
    <row r="1" spans="1:13">
      <c r="C1" s="4" t="s">
        <v>18</v>
      </c>
      <c r="D1" s="4" t="s">
        <v>11</v>
      </c>
    </row>
    <row r="2" spans="1:13">
      <c r="A2" s="5" t="s">
        <v>0</v>
      </c>
      <c r="C2" s="1">
        <f>+C5+C16+C23</f>
        <v>2129.4859999999999</v>
      </c>
      <c r="D2" s="1">
        <f>+D5+D16+D23</f>
        <v>32753.311999999994</v>
      </c>
    </row>
    <row r="4" spans="1:13">
      <c r="G4" s="16" t="s">
        <v>27</v>
      </c>
      <c r="H4" s="10"/>
      <c r="I4" s="10"/>
      <c r="J4" s="10"/>
      <c r="K4" s="10"/>
      <c r="L4" s="10"/>
      <c r="M4" s="10"/>
    </row>
    <row r="5" spans="1:13">
      <c r="A5" s="6" t="s">
        <v>19</v>
      </c>
      <c r="B5" s="2"/>
      <c r="C5" s="32">
        <f>+SUM(C6:C11)</f>
        <v>1774.5716666666665</v>
      </c>
      <c r="D5" s="32">
        <f>+SUM(D6:D11)</f>
        <v>21518.226666666662</v>
      </c>
      <c r="E5" s="2"/>
      <c r="G5" s="18" t="s">
        <v>28</v>
      </c>
      <c r="H5" s="25" t="s">
        <v>29</v>
      </c>
      <c r="I5" s="25" t="s">
        <v>52</v>
      </c>
      <c r="J5" s="25" t="s">
        <v>30</v>
      </c>
      <c r="K5" s="25" t="s">
        <v>31</v>
      </c>
      <c r="L5" s="25" t="s">
        <v>32</v>
      </c>
      <c r="M5" s="25" t="s">
        <v>33</v>
      </c>
    </row>
    <row r="6" spans="1:13" ht="43.2">
      <c r="A6" s="8"/>
      <c r="B6" s="26" t="s">
        <v>72</v>
      </c>
      <c r="C6" s="27">
        <f>+'horas roles costes'!G4</f>
        <v>1694.7916666666665</v>
      </c>
      <c r="D6" s="27">
        <f>+'horas roles costes'!G14</f>
        <v>8676.0666666666657</v>
      </c>
      <c r="E6" s="34" t="s">
        <v>63</v>
      </c>
      <c r="G6" s="96" t="s">
        <v>42</v>
      </c>
      <c r="H6" s="20" t="s">
        <v>38</v>
      </c>
      <c r="I6" s="19">
        <v>1</v>
      </c>
      <c r="J6" s="20" t="s">
        <v>35</v>
      </c>
      <c r="K6" s="19" t="s">
        <v>53</v>
      </c>
      <c r="L6" s="21">
        <v>39.89</v>
      </c>
      <c r="M6" s="21">
        <f>+L6*2</f>
        <v>79.78</v>
      </c>
    </row>
    <row r="7" spans="1:13">
      <c r="A7" s="8" t="s">
        <v>51</v>
      </c>
      <c r="B7" s="28" t="s">
        <v>20</v>
      </c>
      <c r="C7" s="27">
        <v>0</v>
      </c>
      <c r="D7" s="35">
        <v>0</v>
      </c>
      <c r="E7" s="26" t="s">
        <v>165</v>
      </c>
      <c r="G7" s="97"/>
      <c r="H7" s="22" t="s">
        <v>40</v>
      </c>
      <c r="I7" s="23">
        <v>1</v>
      </c>
      <c r="J7" s="22" t="s">
        <v>35</v>
      </c>
      <c r="K7" s="22" t="s">
        <v>39</v>
      </c>
      <c r="L7" s="24">
        <v>99.42</v>
      </c>
      <c r="M7" s="24">
        <f>+L7*12</f>
        <v>1193.04</v>
      </c>
    </row>
    <row r="8" spans="1:13">
      <c r="A8" s="8"/>
      <c r="B8" s="26" t="s">
        <v>21</v>
      </c>
      <c r="C8" s="27"/>
      <c r="D8" s="27"/>
      <c r="E8" s="26"/>
      <c r="G8" s="22" t="s">
        <v>44</v>
      </c>
      <c r="H8" s="22" t="s">
        <v>36</v>
      </c>
      <c r="I8" s="23">
        <v>1</v>
      </c>
      <c r="J8" s="22" t="s">
        <v>35</v>
      </c>
      <c r="K8" s="23"/>
      <c r="L8" s="24">
        <v>5</v>
      </c>
      <c r="M8" s="24">
        <f>+L8*12</f>
        <v>60</v>
      </c>
    </row>
    <row r="9" spans="1:13" ht="26.4">
      <c r="A9" s="8" t="s">
        <v>51</v>
      </c>
      <c r="B9" s="28" t="s">
        <v>34</v>
      </c>
      <c r="C9" s="36">
        <f>+M6</f>
        <v>79.78</v>
      </c>
      <c r="D9" s="27"/>
      <c r="E9" s="26" t="s">
        <v>41</v>
      </c>
      <c r="G9" s="22" t="s">
        <v>45</v>
      </c>
      <c r="H9" s="22" t="s">
        <v>46</v>
      </c>
      <c r="I9" s="23">
        <v>1</v>
      </c>
      <c r="J9" s="22" t="s">
        <v>48</v>
      </c>
      <c r="K9" s="23">
        <v>1299</v>
      </c>
      <c r="L9" s="24">
        <f>+K9*H14</f>
        <v>1065.1799999999998</v>
      </c>
      <c r="M9" s="24">
        <f>+L9*12</f>
        <v>12782.159999999998</v>
      </c>
    </row>
    <row r="10" spans="1:13" ht="52.8">
      <c r="A10" s="8" t="s">
        <v>51</v>
      </c>
      <c r="B10" s="28" t="s">
        <v>43</v>
      </c>
      <c r="C10" s="27">
        <v>0</v>
      </c>
      <c r="D10" s="27">
        <f>+M8</f>
        <v>60</v>
      </c>
      <c r="E10" s="26"/>
      <c r="G10" s="22" t="s">
        <v>50</v>
      </c>
      <c r="H10" s="22" t="s">
        <v>49</v>
      </c>
      <c r="I10" s="22">
        <v>7</v>
      </c>
      <c r="J10" s="22"/>
      <c r="K10" s="22"/>
      <c r="L10" s="24">
        <v>1099</v>
      </c>
      <c r="M10" s="24">
        <f>+L10*I10</f>
        <v>7693</v>
      </c>
    </row>
    <row r="11" spans="1:13">
      <c r="A11" s="8" t="s">
        <v>51</v>
      </c>
      <c r="B11" s="28" t="s">
        <v>47</v>
      </c>
      <c r="C11" s="27">
        <v>0</v>
      </c>
      <c r="D11" s="27">
        <f>+M9</f>
        <v>12782.159999999998</v>
      </c>
      <c r="E11" s="26"/>
      <c r="G11" s="31" t="s">
        <v>61</v>
      </c>
      <c r="H11" s="10" t="s">
        <v>62</v>
      </c>
      <c r="I11" s="10">
        <v>4</v>
      </c>
      <c r="J11" s="10" t="s">
        <v>35</v>
      </c>
      <c r="K11" s="10"/>
      <c r="L11" s="13">
        <v>158.33000000000001</v>
      </c>
      <c r="M11" s="13">
        <f>+L11*12</f>
        <v>1899.96</v>
      </c>
    </row>
    <row r="12" spans="1:13">
      <c r="A12" s="8"/>
      <c r="B12" s="28" t="s">
        <v>60</v>
      </c>
      <c r="C12" s="27">
        <v>0</v>
      </c>
      <c r="D12" s="27">
        <f>+M11</f>
        <v>1899.96</v>
      </c>
      <c r="E12" s="26"/>
      <c r="G12" s="14"/>
      <c r="H12" s="14"/>
      <c r="I12" s="10"/>
      <c r="J12" s="10"/>
      <c r="K12" s="10"/>
      <c r="L12" s="13"/>
      <c r="M12" s="12"/>
    </row>
    <row r="13" spans="1:13">
      <c r="A13" s="8"/>
      <c r="B13" s="26" t="s">
        <v>71</v>
      </c>
      <c r="C13" s="27"/>
      <c r="D13" s="27"/>
      <c r="E13" s="26"/>
      <c r="G13" s="9"/>
      <c r="H13" s="10"/>
      <c r="I13" s="10"/>
      <c r="J13" s="10"/>
      <c r="K13" s="10"/>
      <c r="L13" s="10"/>
      <c r="M13" s="10"/>
    </row>
    <row r="14" spans="1:13">
      <c r="B14" s="26"/>
      <c r="C14" s="27"/>
      <c r="D14" s="27"/>
      <c r="E14" s="26"/>
      <c r="G14" s="10" t="s">
        <v>37</v>
      </c>
      <c r="H14" s="11">
        <v>0.82</v>
      </c>
      <c r="I14" s="10"/>
      <c r="J14" s="10"/>
      <c r="K14" s="10"/>
      <c r="L14" s="10"/>
      <c r="M14" s="10"/>
    </row>
    <row r="15" spans="1:13">
      <c r="C15" s="33"/>
      <c r="D15" s="33"/>
      <c r="G15" s="10"/>
      <c r="H15" s="11"/>
      <c r="I15" s="11"/>
      <c r="J15" s="11"/>
      <c r="K15" s="11"/>
      <c r="L15" s="15"/>
      <c r="M15" s="10"/>
    </row>
    <row r="16" spans="1:13">
      <c r="A16" s="6" t="s">
        <v>22</v>
      </c>
      <c r="B16" s="2"/>
      <c r="C16" s="32">
        <v>0</v>
      </c>
      <c r="D16" s="32">
        <f>+SUM(D17:D20)</f>
        <v>5776.2</v>
      </c>
      <c r="E16" s="2"/>
      <c r="G16" s="30" t="s">
        <v>57</v>
      </c>
      <c r="H16" s="18"/>
      <c r="I16" s="18"/>
      <c r="J16" s="18"/>
      <c r="K16" s="18"/>
      <c r="L16" s="18"/>
      <c r="M16" s="18"/>
    </row>
    <row r="17" spans="1:13">
      <c r="C17" s="1"/>
      <c r="D17" s="1"/>
      <c r="I17" s="17"/>
      <c r="J17" s="17"/>
      <c r="K17" s="17"/>
      <c r="L17" s="17"/>
      <c r="M17" s="17"/>
    </row>
    <row r="18" spans="1:13">
      <c r="B18" t="s">
        <v>23</v>
      </c>
      <c r="C18" s="1">
        <v>0</v>
      </c>
      <c r="D18" s="1">
        <f>33.05*7*12</f>
        <v>2776.2</v>
      </c>
      <c r="G18" t="s">
        <v>59</v>
      </c>
      <c r="H18" s="29" t="s">
        <v>55</v>
      </c>
    </row>
    <row r="19" spans="1:13">
      <c r="B19" t="s">
        <v>24</v>
      </c>
      <c r="C19" s="1"/>
      <c r="D19" s="1"/>
      <c r="G19" t="s">
        <v>58</v>
      </c>
      <c r="H19" s="29" t="s">
        <v>56</v>
      </c>
    </row>
    <row r="20" spans="1:13">
      <c r="B20" s="7" t="s">
        <v>54</v>
      </c>
      <c r="C20" s="1">
        <v>0</v>
      </c>
      <c r="D20" s="1">
        <f>250*12</f>
        <v>3000</v>
      </c>
    </row>
    <row r="21" spans="1:13">
      <c r="C21" s="1"/>
      <c r="D21" s="1"/>
    </row>
    <row r="22" spans="1:13">
      <c r="C22" s="1"/>
      <c r="D22" s="1"/>
    </row>
    <row r="23" spans="1:13">
      <c r="A23" s="6" t="s">
        <v>25</v>
      </c>
      <c r="B23" s="2"/>
      <c r="C23" s="32">
        <f>+C24</f>
        <v>354.91433333333333</v>
      </c>
      <c r="D23" s="32">
        <f>+D24</f>
        <v>5458.8853333333327</v>
      </c>
      <c r="E23" s="2"/>
    </row>
    <row r="24" spans="1:13">
      <c r="B24" s="3" t="s">
        <v>26</v>
      </c>
      <c r="C24" s="1">
        <f>+C5*20%</f>
        <v>354.91433333333333</v>
      </c>
      <c r="D24" s="1">
        <f>+(D5+D16)*20%</f>
        <v>5458.8853333333327</v>
      </c>
    </row>
    <row r="25" spans="1:13">
      <c r="C25" s="1"/>
      <c r="D25" s="1"/>
    </row>
    <row r="26" spans="1:13">
      <c r="C26" s="1"/>
      <c r="D26" s="1"/>
    </row>
    <row r="27" spans="1:13">
      <c r="F27" t="s">
        <v>70</v>
      </c>
    </row>
    <row r="30" spans="1:13">
      <c r="F30" s="3" t="s">
        <v>68</v>
      </c>
      <c r="G30" t="s">
        <v>76</v>
      </c>
    </row>
    <row r="31" spans="1:13">
      <c r="F31" t="s">
        <v>64</v>
      </c>
    </row>
    <row r="32" spans="1:13">
      <c r="F32" t="s">
        <v>65</v>
      </c>
    </row>
    <row r="35" spans="6:6">
      <c r="F35" t="s">
        <v>67</v>
      </c>
    </row>
    <row r="36" spans="6:6">
      <c r="F36" t="s">
        <v>66</v>
      </c>
    </row>
    <row r="37" spans="6:6">
      <c r="F37" t="s">
        <v>69</v>
      </c>
    </row>
    <row r="39" spans="6:6">
      <c r="F39" t="s">
        <v>73</v>
      </c>
    </row>
    <row r="40" spans="6:6">
      <c r="F40" t="s">
        <v>74</v>
      </c>
    </row>
    <row r="41" spans="6:6">
      <c r="F41" t="s">
        <v>75</v>
      </c>
    </row>
  </sheetData>
  <mergeCells count="1">
    <mergeCell ref="G6:G7"/>
  </mergeCells>
  <hyperlinks>
    <hyperlink ref="B9" r:id="rId1" location="id=85d2f3d8-540c-44d7-9115-ffb3e7b0f6f7" display="Instancia Cloud" xr:uid="{F202B379-ECFE-4E0C-A4DF-D64B3BF4290A}"/>
    <hyperlink ref="B10" r:id="rId2" display="Alojamiento web" xr:uid="{AA73321C-A8FA-4380-8C88-606FD2E493F6}"/>
    <hyperlink ref="B11" r:id="rId3" xr:uid="{1FCC3170-D559-4B02-9F13-F4B11D14ED4A}"/>
    <hyperlink ref="B7" r:id="rId4" display="Equipos PC" xr:uid="{37E0DF18-5719-4315-A858-26295808B288}"/>
    <hyperlink ref="B20" r:id="rId5" display="local" xr:uid="{08DFCBDD-792A-47D7-A64E-BC78878A3279}"/>
    <hyperlink ref="B12" r:id="rId6" location="id=e06018ff-51dc-4531-b361-1c7029c277ab" xr:uid="{7D920A24-78D3-48D3-B0A7-DC34EF06B16F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1D5B8-37C3-41F7-B27F-6152AA0E1502}">
  <dimension ref="A3:Q34"/>
  <sheetViews>
    <sheetView workbookViewId="0">
      <selection activeCell="T6" sqref="T6:U10"/>
    </sheetView>
  </sheetViews>
  <sheetFormatPr baseColWidth="10" defaultRowHeight="14.4"/>
  <cols>
    <col min="1" max="2" width="3.5546875" bestFit="1" customWidth="1"/>
    <col min="3" max="3" width="3.5546875" customWidth="1"/>
    <col min="4" max="4" width="5.77734375" bestFit="1" customWidth="1"/>
    <col min="5" max="5" width="3.5546875" bestFit="1" customWidth="1"/>
    <col min="6" max="8" width="3.5546875" customWidth="1"/>
    <col min="9" max="9" width="8.109375" bestFit="1" customWidth="1"/>
    <col min="11" max="11" width="10.44140625" customWidth="1"/>
    <col min="12" max="12" width="24.88671875" customWidth="1"/>
    <col min="13" max="13" width="18.5546875" bestFit="1" customWidth="1"/>
    <col min="14" max="14" width="8.88671875" customWidth="1"/>
    <col min="16" max="16" width="11.5546875" style="1"/>
  </cols>
  <sheetData>
    <row r="3" spans="1:16" s="5" customFormat="1">
      <c r="A3" s="6" t="s">
        <v>152</v>
      </c>
      <c r="B3" s="6" t="s">
        <v>153</v>
      </c>
      <c r="C3" s="6" t="s">
        <v>154</v>
      </c>
      <c r="D3" s="6" t="s">
        <v>132</v>
      </c>
      <c r="E3" s="88" t="s">
        <v>110</v>
      </c>
      <c r="F3" s="89"/>
      <c r="G3" s="88" t="s">
        <v>0</v>
      </c>
      <c r="H3" s="89"/>
      <c r="I3" s="6" t="s">
        <v>120</v>
      </c>
      <c r="J3" s="6" t="s">
        <v>111</v>
      </c>
      <c r="K3" s="6" t="s">
        <v>113</v>
      </c>
      <c r="L3" s="6" t="s">
        <v>123</v>
      </c>
      <c r="M3" s="6" t="s">
        <v>109</v>
      </c>
      <c r="N3" s="6" t="s">
        <v>110</v>
      </c>
      <c r="O3" s="6" t="s">
        <v>116</v>
      </c>
      <c r="P3" s="81" t="s">
        <v>119</v>
      </c>
    </row>
    <row r="4" spans="1:16" ht="14.4" customHeight="1">
      <c r="A4" s="107" t="s">
        <v>11</v>
      </c>
      <c r="B4" s="107">
        <f>+SUM(N4:N29)</f>
        <v>598</v>
      </c>
      <c r="C4" s="120">
        <f>+SUM(P4:P29)</f>
        <v>10370.858333333335</v>
      </c>
      <c r="D4" s="107" t="s">
        <v>18</v>
      </c>
      <c r="E4" s="113">
        <f>+SUM(N4:N13)</f>
        <v>106</v>
      </c>
      <c r="F4" s="98">
        <f>+E4/B4</f>
        <v>0.17725752508361203</v>
      </c>
      <c r="G4" s="116">
        <f>+SUM(P4:P13)</f>
        <v>1694.7916666666665</v>
      </c>
      <c r="H4" s="98">
        <f>+G4/C4</f>
        <v>0.16341864985460056</v>
      </c>
      <c r="I4" s="82">
        <v>1</v>
      </c>
      <c r="J4" s="82" t="s">
        <v>108</v>
      </c>
      <c r="K4" s="82" t="s">
        <v>121</v>
      </c>
      <c r="L4" s="82"/>
      <c r="M4" s="82" t="s">
        <v>14</v>
      </c>
      <c r="N4" s="82">
        <v>16</v>
      </c>
      <c r="O4" s="83">
        <f>+'costes personal'!O8</f>
        <v>22.395833333333336</v>
      </c>
      <c r="P4" s="83">
        <f>+N4*O4</f>
        <v>358.33333333333337</v>
      </c>
    </row>
    <row r="5" spans="1:16">
      <c r="A5" s="117"/>
      <c r="B5" s="117"/>
      <c r="C5" s="117"/>
      <c r="D5" s="117"/>
      <c r="E5" s="114"/>
      <c r="F5" s="99"/>
      <c r="G5" s="114"/>
      <c r="H5" s="99"/>
      <c r="I5" s="84"/>
      <c r="J5" s="84"/>
      <c r="K5" s="84"/>
      <c r="L5" s="84" t="s">
        <v>122</v>
      </c>
      <c r="M5" s="84" t="s">
        <v>94</v>
      </c>
      <c r="N5" s="84">
        <v>16</v>
      </c>
      <c r="O5" s="85">
        <f>+'costes personal'!O7</f>
        <v>20.833333333333336</v>
      </c>
      <c r="P5" s="85">
        <f t="shared" ref="P5:P29" si="0">+N5*O5</f>
        <v>333.33333333333337</v>
      </c>
    </row>
    <row r="6" spans="1:16">
      <c r="A6" s="117"/>
      <c r="B6" s="117"/>
      <c r="C6" s="117"/>
      <c r="D6" s="117"/>
      <c r="E6" s="114"/>
      <c r="F6" s="99"/>
      <c r="G6" s="114"/>
      <c r="H6" s="99"/>
      <c r="I6" s="84"/>
      <c r="J6" s="84"/>
      <c r="K6" s="84"/>
      <c r="L6" s="84"/>
      <c r="M6" s="84"/>
      <c r="N6" s="84"/>
      <c r="O6" s="84"/>
      <c r="P6" s="85"/>
    </row>
    <row r="7" spans="1:16">
      <c r="A7" s="117"/>
      <c r="B7" s="117"/>
      <c r="C7" s="117"/>
      <c r="D7" s="117"/>
      <c r="E7" s="114"/>
      <c r="F7" s="99"/>
      <c r="G7" s="114"/>
      <c r="H7" s="99"/>
      <c r="I7" s="84">
        <v>2</v>
      </c>
      <c r="J7" s="84" t="s">
        <v>112</v>
      </c>
      <c r="K7" s="84" t="s">
        <v>114</v>
      </c>
      <c r="L7" s="84" t="s">
        <v>131</v>
      </c>
      <c r="M7" s="84" t="s">
        <v>93</v>
      </c>
      <c r="N7" s="84">
        <v>3</v>
      </c>
      <c r="O7" s="85">
        <f>+'costes personal'!O6</f>
        <v>16.666666666666664</v>
      </c>
      <c r="P7" s="85">
        <f t="shared" si="0"/>
        <v>49.999999999999993</v>
      </c>
    </row>
    <row r="8" spans="1:16">
      <c r="A8" s="117"/>
      <c r="B8" s="117"/>
      <c r="C8" s="117"/>
      <c r="D8" s="117"/>
      <c r="E8" s="114"/>
      <c r="F8" s="99"/>
      <c r="G8" s="114"/>
      <c r="H8" s="99"/>
      <c r="I8" s="84"/>
      <c r="J8" s="84"/>
      <c r="K8" s="84" t="s">
        <v>115</v>
      </c>
      <c r="L8" s="84" t="s">
        <v>124</v>
      </c>
      <c r="M8" s="84" t="s">
        <v>93</v>
      </c>
      <c r="N8" s="84">
        <v>5</v>
      </c>
      <c r="O8" s="85">
        <f>+'costes personal'!O6</f>
        <v>16.666666666666664</v>
      </c>
      <c r="P8" s="85">
        <f t="shared" si="0"/>
        <v>83.333333333333314</v>
      </c>
    </row>
    <row r="9" spans="1:16">
      <c r="A9" s="117"/>
      <c r="B9" s="117"/>
      <c r="C9" s="117"/>
      <c r="D9" s="117"/>
      <c r="E9" s="114"/>
      <c r="F9" s="99"/>
      <c r="G9" s="114"/>
      <c r="H9" s="99"/>
      <c r="I9" s="84"/>
      <c r="J9" s="84"/>
      <c r="K9" s="84"/>
      <c r="L9" s="84" t="s">
        <v>117</v>
      </c>
      <c r="M9" s="84" t="s">
        <v>92</v>
      </c>
      <c r="N9" s="84">
        <v>2</v>
      </c>
      <c r="O9" s="85">
        <f>+'costes personal'!O5</f>
        <v>9.8958333333333321</v>
      </c>
      <c r="P9" s="85">
        <f t="shared" si="0"/>
        <v>19.791666666666664</v>
      </c>
    </row>
    <row r="10" spans="1:16">
      <c r="A10" s="117"/>
      <c r="B10" s="117"/>
      <c r="C10" s="117"/>
      <c r="D10" s="117"/>
      <c r="E10" s="114"/>
      <c r="F10" s="99"/>
      <c r="G10" s="114"/>
      <c r="H10" s="99"/>
      <c r="I10" s="84">
        <v>3</v>
      </c>
      <c r="J10" s="84" t="s">
        <v>118</v>
      </c>
      <c r="K10" s="84" t="s">
        <v>118</v>
      </c>
      <c r="L10" s="84" t="s">
        <v>127</v>
      </c>
      <c r="M10" s="84" t="s">
        <v>92</v>
      </c>
      <c r="N10" s="84">
        <f>8*2</f>
        <v>16</v>
      </c>
      <c r="O10" s="85">
        <f>+'costes personal'!O5</f>
        <v>9.8958333333333321</v>
      </c>
      <c r="P10" s="85">
        <f>+N10*O10</f>
        <v>158.33333333333331</v>
      </c>
    </row>
    <row r="11" spans="1:16">
      <c r="A11" s="117"/>
      <c r="B11" s="117"/>
      <c r="C11" s="117"/>
      <c r="D11" s="117"/>
      <c r="E11" s="114"/>
      <c r="F11" s="99"/>
      <c r="G11" s="114"/>
      <c r="H11" s="99"/>
      <c r="I11" s="84"/>
      <c r="J11" s="84"/>
      <c r="K11" s="84"/>
      <c r="L11" s="84" t="s">
        <v>128</v>
      </c>
      <c r="M11" s="84" t="s">
        <v>93</v>
      </c>
      <c r="N11" s="84">
        <f>8*2</f>
        <v>16</v>
      </c>
      <c r="O11" s="85">
        <f>+'costes personal'!O6</f>
        <v>16.666666666666664</v>
      </c>
      <c r="P11" s="85">
        <f>+N11*O11</f>
        <v>266.66666666666663</v>
      </c>
    </row>
    <row r="12" spans="1:16">
      <c r="A12" s="117"/>
      <c r="B12" s="117"/>
      <c r="C12" s="117"/>
      <c r="D12" s="117"/>
      <c r="E12" s="114"/>
      <c r="F12" s="99"/>
      <c r="G12" s="114"/>
      <c r="H12" s="99"/>
      <c r="I12" s="84">
        <v>4</v>
      </c>
      <c r="J12" s="84" t="s">
        <v>125</v>
      </c>
      <c r="K12" s="84" t="s">
        <v>126</v>
      </c>
      <c r="L12" s="84" t="s">
        <v>129</v>
      </c>
      <c r="M12" s="84" t="s">
        <v>92</v>
      </c>
      <c r="N12" s="84">
        <f>8*2</f>
        <v>16</v>
      </c>
      <c r="O12" s="85">
        <f>+'costes personal'!O5</f>
        <v>9.8958333333333321</v>
      </c>
      <c r="P12" s="85">
        <f>+N12*O12</f>
        <v>158.33333333333331</v>
      </c>
    </row>
    <row r="13" spans="1:16">
      <c r="A13" s="117"/>
      <c r="B13" s="117"/>
      <c r="C13" s="117"/>
      <c r="D13" s="109"/>
      <c r="E13" s="115"/>
      <c r="F13" s="100"/>
      <c r="G13" s="115"/>
      <c r="H13" s="100"/>
      <c r="I13" s="2"/>
      <c r="J13" s="2"/>
      <c r="K13" s="2"/>
      <c r="L13" s="2" t="s">
        <v>130</v>
      </c>
      <c r="M13" s="2" t="s">
        <v>93</v>
      </c>
      <c r="N13" s="2">
        <f>8*2</f>
        <v>16</v>
      </c>
      <c r="O13" s="86">
        <f>+'costes personal'!O6</f>
        <v>16.666666666666664</v>
      </c>
      <c r="P13" s="86">
        <f>+N13*O13</f>
        <v>266.66666666666663</v>
      </c>
    </row>
    <row r="14" spans="1:16" ht="14.4" customHeight="1">
      <c r="A14" s="117"/>
      <c r="B14" s="117"/>
      <c r="C14" s="117"/>
      <c r="D14" s="107" t="s">
        <v>11</v>
      </c>
      <c r="E14" s="113">
        <f>+SUM(N14:N29)</f>
        <v>492</v>
      </c>
      <c r="F14" s="98">
        <f>+E14/B4</f>
        <v>0.82274247491638797</v>
      </c>
      <c r="G14" s="116">
        <f>+SUM(P14:P29)</f>
        <v>8676.0666666666657</v>
      </c>
      <c r="H14" s="98">
        <f>+G14/C4</f>
        <v>0.83658135014539914</v>
      </c>
      <c r="I14" s="84" t="s">
        <v>151</v>
      </c>
      <c r="J14" s="84" t="s">
        <v>150</v>
      </c>
      <c r="K14" s="84"/>
      <c r="L14" s="84"/>
      <c r="M14" s="82" t="s">
        <v>14</v>
      </c>
      <c r="N14" s="79">
        <f>140-16</f>
        <v>124</v>
      </c>
      <c r="O14" s="85">
        <f>+'costes personal'!O8</f>
        <v>22.395833333333336</v>
      </c>
      <c r="P14" s="85">
        <f>+N14*O14</f>
        <v>2777.0833333333335</v>
      </c>
    </row>
    <row r="15" spans="1:16">
      <c r="A15" s="117"/>
      <c r="B15" s="117"/>
      <c r="C15" s="117"/>
      <c r="D15" s="117"/>
      <c r="E15" s="114"/>
      <c r="F15" s="99"/>
      <c r="G15" s="118"/>
      <c r="H15" s="99"/>
      <c r="I15" s="84"/>
      <c r="J15" s="84"/>
      <c r="K15" s="84"/>
      <c r="L15" s="84"/>
      <c r="M15" s="84" t="s">
        <v>94</v>
      </c>
      <c r="N15" s="84">
        <v>124</v>
      </c>
      <c r="O15" s="85">
        <f>+'costes personal'!O7</f>
        <v>20.833333333333336</v>
      </c>
      <c r="P15" s="85">
        <f t="shared" ref="P15:P16" si="1">+N15*O15</f>
        <v>2583.3333333333335</v>
      </c>
    </row>
    <row r="16" spans="1:16">
      <c r="A16" s="117"/>
      <c r="B16" s="117"/>
      <c r="C16" s="117"/>
      <c r="D16" s="117"/>
      <c r="E16" s="114"/>
      <c r="F16" s="99"/>
      <c r="G16" s="118"/>
      <c r="H16" s="99"/>
      <c r="I16" s="84"/>
      <c r="J16" s="84"/>
      <c r="K16" s="84"/>
      <c r="L16" s="84"/>
      <c r="M16" s="79" t="s">
        <v>142</v>
      </c>
      <c r="N16" s="84">
        <v>54</v>
      </c>
      <c r="O16" s="85">
        <f>+'costes personal'!O12</f>
        <v>18.229166666666664</v>
      </c>
      <c r="P16" s="85">
        <f t="shared" si="1"/>
        <v>984.37499999999989</v>
      </c>
    </row>
    <row r="17" spans="1:17" ht="14.4" customHeight="1">
      <c r="A17" s="117"/>
      <c r="B17" s="117"/>
      <c r="C17" s="117"/>
      <c r="D17" s="117"/>
      <c r="E17" s="114"/>
      <c r="F17" s="99"/>
      <c r="G17" s="118"/>
      <c r="H17" s="99"/>
      <c r="I17" s="84">
        <v>5</v>
      </c>
      <c r="J17" s="84" t="s">
        <v>133</v>
      </c>
      <c r="K17" s="84"/>
      <c r="L17" s="84" t="s">
        <v>138</v>
      </c>
      <c r="M17" s="84" t="s">
        <v>92</v>
      </c>
      <c r="N17" s="84">
        <v>6</v>
      </c>
      <c r="O17" s="84">
        <v>9.9</v>
      </c>
      <c r="P17" s="85">
        <f t="shared" si="0"/>
        <v>59.400000000000006</v>
      </c>
    </row>
    <row r="18" spans="1:17">
      <c r="A18" s="117"/>
      <c r="B18" s="117"/>
      <c r="C18" s="117"/>
      <c r="D18" s="117"/>
      <c r="E18" s="114"/>
      <c r="F18" s="99"/>
      <c r="G18" s="118"/>
      <c r="H18" s="99"/>
      <c r="I18" s="84">
        <v>6</v>
      </c>
      <c r="J18" s="84" t="s">
        <v>135</v>
      </c>
      <c r="K18" s="84"/>
      <c r="L18" s="84" t="s">
        <v>143</v>
      </c>
      <c r="M18" s="84" t="str">
        <f>+'costes personal'!I9</f>
        <v>Cloud Developer</v>
      </c>
      <c r="N18" s="84">
        <v>8</v>
      </c>
      <c r="O18" s="85">
        <f>+'costes personal'!O9</f>
        <v>20.833333333333336</v>
      </c>
      <c r="P18" s="85">
        <f t="shared" ref="P18:P23" si="2">+N18*O18</f>
        <v>166.66666666666669</v>
      </c>
    </row>
    <row r="19" spans="1:17">
      <c r="A19" s="117"/>
      <c r="B19" s="117"/>
      <c r="C19" s="117"/>
      <c r="D19" s="117"/>
      <c r="E19" s="114"/>
      <c r="F19" s="99"/>
      <c r="G19" s="118"/>
      <c r="H19" s="99"/>
      <c r="I19" s="84"/>
      <c r="J19" s="84"/>
      <c r="K19" s="84"/>
      <c r="L19" s="84" t="s">
        <v>144</v>
      </c>
      <c r="M19" s="84" t="s">
        <v>142</v>
      </c>
      <c r="N19" s="84">
        <v>8</v>
      </c>
      <c r="O19" s="85">
        <f>+'costes personal'!O12</f>
        <v>18.229166666666664</v>
      </c>
      <c r="P19" s="85">
        <f t="shared" si="2"/>
        <v>145.83333333333331</v>
      </c>
    </row>
    <row r="20" spans="1:17">
      <c r="A20" s="117"/>
      <c r="B20" s="117"/>
      <c r="C20" s="117"/>
      <c r="D20" s="117"/>
      <c r="E20" s="114"/>
      <c r="F20" s="99"/>
      <c r="G20" s="118"/>
      <c r="H20" s="99"/>
      <c r="K20" s="84"/>
      <c r="L20" s="84"/>
      <c r="M20" s="84"/>
      <c r="N20" s="84"/>
      <c r="O20" s="84"/>
      <c r="P20" s="85">
        <f t="shared" si="2"/>
        <v>0</v>
      </c>
    </row>
    <row r="21" spans="1:17">
      <c r="A21" s="117"/>
      <c r="B21" s="117"/>
      <c r="C21" s="117"/>
      <c r="D21" s="117"/>
      <c r="E21" s="114"/>
      <c r="F21" s="99"/>
      <c r="G21" s="118"/>
      <c r="H21" s="99"/>
      <c r="I21" s="84">
        <v>7</v>
      </c>
      <c r="J21" s="84" t="s">
        <v>134</v>
      </c>
      <c r="K21" s="84" t="s">
        <v>136</v>
      </c>
      <c r="L21" s="84" t="s">
        <v>139</v>
      </c>
      <c r="M21" s="84" t="str">
        <f>+'costes personal'!I10</f>
        <v>FullStack Web Developer</v>
      </c>
      <c r="N21" s="84">
        <f>40+4</f>
        <v>44</v>
      </c>
      <c r="O21" s="85">
        <f>+'costes personal'!O10</f>
        <v>8.8541666666666679</v>
      </c>
      <c r="P21" s="85">
        <f t="shared" si="2"/>
        <v>389.58333333333337</v>
      </c>
    </row>
    <row r="22" spans="1:17">
      <c r="A22" s="117"/>
      <c r="B22" s="117"/>
      <c r="C22" s="117"/>
      <c r="D22" s="117"/>
      <c r="E22" s="114"/>
      <c r="F22" s="99"/>
      <c r="G22" s="118"/>
      <c r="H22" s="99"/>
      <c r="I22" s="84"/>
      <c r="J22" s="84"/>
      <c r="K22" t="s">
        <v>140</v>
      </c>
      <c r="L22" s="84" t="s">
        <v>140</v>
      </c>
      <c r="M22" s="84" t="str">
        <f>+'costes personal'!I11</f>
        <v>UX (User Experience)</v>
      </c>
      <c r="N22" s="84">
        <f>24+4</f>
        <v>28</v>
      </c>
      <c r="O22" s="85">
        <f>+'costes personal'!O11</f>
        <v>10.416666666666668</v>
      </c>
      <c r="P22" s="85">
        <f t="shared" si="2"/>
        <v>291.66666666666669</v>
      </c>
    </row>
    <row r="23" spans="1:17">
      <c r="A23" s="117"/>
      <c r="B23" s="117"/>
      <c r="C23" s="117"/>
      <c r="D23" s="117"/>
      <c r="E23" s="114"/>
      <c r="F23" s="99"/>
      <c r="G23" s="118"/>
      <c r="H23" s="99"/>
      <c r="I23" s="84"/>
      <c r="J23" s="84"/>
      <c r="K23" s="84" t="s">
        <v>137</v>
      </c>
      <c r="L23" s="84" t="s">
        <v>141</v>
      </c>
      <c r="M23" s="84" t="s">
        <v>142</v>
      </c>
      <c r="N23" s="84">
        <v>2</v>
      </c>
      <c r="O23" s="85">
        <f>+'costes personal'!O12</f>
        <v>18.229166666666664</v>
      </c>
      <c r="P23" s="85">
        <f t="shared" si="2"/>
        <v>36.458333333333329</v>
      </c>
    </row>
    <row r="24" spans="1:17">
      <c r="A24" s="117"/>
      <c r="B24" s="117"/>
      <c r="C24" s="117"/>
      <c r="D24" s="117"/>
      <c r="E24" s="114"/>
      <c r="F24" s="99"/>
      <c r="G24" s="118"/>
      <c r="H24" s="99"/>
      <c r="I24" s="84">
        <v>8</v>
      </c>
      <c r="J24" s="84" t="s">
        <v>145</v>
      </c>
      <c r="K24" s="84" t="s">
        <v>146</v>
      </c>
      <c r="L24" s="84"/>
      <c r="M24" s="84" t="s">
        <v>93</v>
      </c>
      <c r="N24" s="84">
        <v>6</v>
      </c>
      <c r="O24" s="85">
        <f>+'costes personal'!O6</f>
        <v>16.666666666666664</v>
      </c>
      <c r="P24" s="85">
        <f t="shared" si="0"/>
        <v>99.999999999999986</v>
      </c>
    </row>
    <row r="25" spans="1:17">
      <c r="A25" s="117"/>
      <c r="B25" s="117"/>
      <c r="C25" s="117"/>
      <c r="D25" s="117"/>
      <c r="E25" s="114"/>
      <c r="F25" s="99"/>
      <c r="G25" s="118"/>
      <c r="H25" s="99"/>
      <c r="I25" s="84"/>
      <c r="J25" s="84"/>
      <c r="K25" s="84" t="s">
        <v>147</v>
      </c>
      <c r="L25" s="84"/>
      <c r="M25" s="84" t="s">
        <v>92</v>
      </c>
      <c r="N25" s="84">
        <f>8*2</f>
        <v>16</v>
      </c>
      <c r="O25" s="85">
        <f>+'costes personal'!O5</f>
        <v>9.8958333333333321</v>
      </c>
      <c r="P25" s="85">
        <f t="shared" si="0"/>
        <v>158.33333333333331</v>
      </c>
    </row>
    <row r="26" spans="1:17">
      <c r="A26" s="117"/>
      <c r="B26" s="117"/>
      <c r="C26" s="117"/>
      <c r="D26" s="117"/>
      <c r="E26" s="114"/>
      <c r="F26" s="99"/>
      <c r="G26" s="118"/>
      <c r="H26" s="99"/>
      <c r="I26" s="84"/>
      <c r="J26" s="84"/>
      <c r="K26" s="84" t="s">
        <v>147</v>
      </c>
      <c r="L26" s="84"/>
      <c r="M26" s="84" t="s">
        <v>93</v>
      </c>
      <c r="N26" s="84">
        <f>8*2</f>
        <v>16</v>
      </c>
      <c r="O26" s="85">
        <f>+'costes personal'!O6</f>
        <v>16.666666666666664</v>
      </c>
      <c r="P26" s="85">
        <f t="shared" si="0"/>
        <v>266.66666666666663</v>
      </c>
    </row>
    <row r="27" spans="1:17">
      <c r="A27" s="117"/>
      <c r="B27" s="117"/>
      <c r="C27" s="117"/>
      <c r="D27" s="117"/>
      <c r="E27" s="114"/>
      <c r="F27" s="99"/>
      <c r="G27" s="118"/>
      <c r="H27" s="99"/>
      <c r="I27" s="84"/>
      <c r="J27" s="84"/>
      <c r="K27" s="84" t="s">
        <v>148</v>
      </c>
      <c r="L27" s="84"/>
      <c r="M27" s="84" t="s">
        <v>92</v>
      </c>
      <c r="N27" s="84">
        <v>16</v>
      </c>
      <c r="O27" s="85">
        <f>+'costes personal'!O5</f>
        <v>9.8958333333333321</v>
      </c>
      <c r="P27" s="85">
        <f t="shared" si="0"/>
        <v>158.33333333333331</v>
      </c>
    </row>
    <row r="28" spans="1:17">
      <c r="A28" s="117"/>
      <c r="B28" s="117"/>
      <c r="C28" s="117"/>
      <c r="D28" s="117"/>
      <c r="E28" s="114"/>
      <c r="F28" s="99"/>
      <c r="G28" s="118"/>
      <c r="H28" s="99"/>
      <c r="I28" s="84"/>
      <c r="J28" s="84"/>
      <c r="K28" s="84" t="s">
        <v>148</v>
      </c>
      <c r="L28" s="84"/>
      <c r="M28" s="84" t="s">
        <v>93</v>
      </c>
      <c r="N28" s="84">
        <v>24</v>
      </c>
      <c r="O28" s="85">
        <f>+'costes personal'!O6</f>
        <v>16.666666666666664</v>
      </c>
      <c r="P28" s="85">
        <f t="shared" si="0"/>
        <v>399.99999999999994</v>
      </c>
    </row>
    <row r="29" spans="1:17">
      <c r="A29" s="109"/>
      <c r="B29" s="109"/>
      <c r="C29" s="109"/>
      <c r="D29" s="109"/>
      <c r="E29" s="115"/>
      <c r="F29" s="100"/>
      <c r="G29" s="119"/>
      <c r="H29" s="100"/>
      <c r="I29" s="2">
        <v>9</v>
      </c>
      <c r="J29" s="2" t="s">
        <v>149</v>
      </c>
      <c r="K29" s="2"/>
      <c r="L29" s="2"/>
      <c r="M29" s="2" t="s">
        <v>92</v>
      </c>
      <c r="N29" s="2">
        <v>16</v>
      </c>
      <c r="O29" s="86">
        <f>+'costes personal'!O5</f>
        <v>9.8958333333333321</v>
      </c>
      <c r="P29" s="86">
        <f t="shared" si="0"/>
        <v>158.33333333333331</v>
      </c>
    </row>
    <row r="30" spans="1:17">
      <c r="A30" s="104" t="s">
        <v>88</v>
      </c>
      <c r="B30" s="107" t="s">
        <v>162</v>
      </c>
      <c r="C30" s="110"/>
      <c r="D30" s="104" t="s">
        <v>88</v>
      </c>
      <c r="E30" s="113" t="s">
        <v>162</v>
      </c>
      <c r="F30" s="101"/>
      <c r="G30" s="116">
        <f>+SUM(P30:P34)</f>
        <v>9958.3333333333321</v>
      </c>
      <c r="H30" s="101"/>
      <c r="I30">
        <v>10</v>
      </c>
      <c r="J30" t="s">
        <v>125</v>
      </c>
      <c r="M30" s="84" t="s">
        <v>93</v>
      </c>
      <c r="N30" s="79">
        <v>8</v>
      </c>
      <c r="O30" s="1">
        <f>+'costes personal'!O6</f>
        <v>16.666666666666664</v>
      </c>
      <c r="P30" s="1">
        <f>+'costes personal'!T6</f>
        <v>2666.6666666666665</v>
      </c>
      <c r="Q30" t="s">
        <v>161</v>
      </c>
    </row>
    <row r="31" spans="1:17">
      <c r="A31" s="105"/>
      <c r="B31" s="108"/>
      <c r="C31" s="111"/>
      <c r="D31" s="105"/>
      <c r="E31" s="114"/>
      <c r="F31" s="102"/>
      <c r="G31" s="114"/>
      <c r="H31" s="102"/>
      <c r="I31">
        <v>11</v>
      </c>
      <c r="J31" t="s">
        <v>157</v>
      </c>
      <c r="M31" s="84" t="s">
        <v>142</v>
      </c>
      <c r="N31" s="79">
        <v>8</v>
      </c>
      <c r="O31" s="1">
        <f>+'costes personal'!O12</f>
        <v>18.229166666666664</v>
      </c>
      <c r="P31" s="1">
        <f>+'costes personal'!T12</f>
        <v>2916.6666666666665</v>
      </c>
      <c r="Q31" t="s">
        <v>161</v>
      </c>
    </row>
    <row r="32" spans="1:17">
      <c r="A32" s="105"/>
      <c r="B32" s="108"/>
      <c r="C32" s="111"/>
      <c r="D32" s="105"/>
      <c r="E32" s="114"/>
      <c r="F32" s="102"/>
      <c r="G32" s="114"/>
      <c r="H32" s="102"/>
      <c r="I32">
        <v>12</v>
      </c>
      <c r="J32" t="s">
        <v>158</v>
      </c>
      <c r="M32" s="84" t="s">
        <v>107</v>
      </c>
      <c r="N32" s="79">
        <v>8</v>
      </c>
      <c r="O32" s="1">
        <f>+'costes personal'!O10</f>
        <v>8.8541666666666679</v>
      </c>
      <c r="P32" s="1">
        <f>+'costes personal'!T10</f>
        <v>1416.6666666666667</v>
      </c>
      <c r="Q32" t="s">
        <v>161</v>
      </c>
    </row>
    <row r="33" spans="1:17">
      <c r="A33" s="105"/>
      <c r="B33" s="108"/>
      <c r="C33" s="111"/>
      <c r="D33" s="105"/>
      <c r="E33" s="114"/>
      <c r="F33" s="102"/>
      <c r="G33" s="114"/>
      <c r="H33" s="102"/>
      <c r="I33" s="84">
        <v>13</v>
      </c>
      <c r="J33" s="84" t="s">
        <v>159</v>
      </c>
      <c r="K33" s="84"/>
      <c r="L33" s="84"/>
      <c r="M33" s="84" t="s">
        <v>14</v>
      </c>
      <c r="N33" s="79">
        <v>4</v>
      </c>
      <c r="O33" s="85">
        <f>+'costes personal'!O8</f>
        <v>22.395833333333336</v>
      </c>
      <c r="P33" s="1">
        <f>+'costes personal'!T8</f>
        <v>1791.6666666666667</v>
      </c>
      <c r="Q33" t="s">
        <v>161</v>
      </c>
    </row>
    <row r="34" spans="1:17">
      <c r="A34" s="106"/>
      <c r="B34" s="109"/>
      <c r="C34" s="112"/>
      <c r="D34" s="106"/>
      <c r="E34" s="115"/>
      <c r="F34" s="103"/>
      <c r="G34" s="115"/>
      <c r="H34" s="103"/>
      <c r="I34" s="2">
        <v>14</v>
      </c>
      <c r="J34" s="2" t="s">
        <v>160</v>
      </c>
      <c r="K34" s="2"/>
      <c r="L34" s="2"/>
      <c r="M34" s="80" t="s">
        <v>98</v>
      </c>
      <c r="N34" s="80">
        <v>8</v>
      </c>
      <c r="O34" s="86">
        <f>+'costes personal'!O13</f>
        <v>7.291666666666667</v>
      </c>
      <c r="P34" s="86">
        <f>+'costes personal'!T13</f>
        <v>1166.6666666666667</v>
      </c>
      <c r="Q34" t="s">
        <v>161</v>
      </c>
    </row>
  </sheetData>
  <mergeCells count="21">
    <mergeCell ref="D4:D13"/>
    <mergeCell ref="E4:E13"/>
    <mergeCell ref="A4:A29"/>
    <mergeCell ref="B4:B29"/>
    <mergeCell ref="C4:C29"/>
    <mergeCell ref="H4:H13"/>
    <mergeCell ref="H14:H29"/>
    <mergeCell ref="H30:H34"/>
    <mergeCell ref="A30:A34"/>
    <mergeCell ref="B30:B34"/>
    <mergeCell ref="C30:C34"/>
    <mergeCell ref="D30:D34"/>
    <mergeCell ref="E30:E34"/>
    <mergeCell ref="G30:G34"/>
    <mergeCell ref="F30:F34"/>
    <mergeCell ref="G4:G13"/>
    <mergeCell ref="D14:D29"/>
    <mergeCell ref="G14:G29"/>
    <mergeCell ref="E14:E29"/>
    <mergeCell ref="F4:F13"/>
    <mergeCell ref="F14:F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F6FD-E79B-44AD-880A-C8E040D1AC59}">
  <dimension ref="A1:V52"/>
  <sheetViews>
    <sheetView tabSelected="1" zoomScale="85" zoomScaleNormal="85" workbookViewId="0">
      <selection activeCell="N32" sqref="N32"/>
    </sheetView>
  </sheetViews>
  <sheetFormatPr baseColWidth="10" defaultRowHeight="14.4"/>
  <cols>
    <col min="1" max="1" width="4.109375" customWidth="1"/>
    <col min="2" max="2" width="10.33203125" customWidth="1"/>
    <col min="3" max="3" width="9.6640625" customWidth="1"/>
    <col min="4" max="4" width="11.109375" customWidth="1"/>
    <col min="5" max="5" width="7.109375" customWidth="1"/>
    <col min="6" max="6" width="1.21875" customWidth="1"/>
    <col min="7" max="7" width="13.109375" customWidth="1"/>
    <col min="9" max="9" width="4.88671875" customWidth="1"/>
    <col min="10" max="10" width="13.109375" customWidth="1"/>
    <col min="15" max="15" width="0.88671875" customWidth="1"/>
    <col min="20" max="20" width="0.88671875" customWidth="1"/>
    <col min="21" max="21" width="14" bestFit="1" customWidth="1"/>
    <col min="22" max="22" width="11.5546875" style="5"/>
  </cols>
  <sheetData>
    <row r="1" spans="1:22">
      <c r="A1" t="s">
        <v>77</v>
      </c>
    </row>
    <row r="4" spans="1:22">
      <c r="B4" s="6" t="s">
        <v>155</v>
      </c>
      <c r="C4" s="2" t="s">
        <v>83</v>
      </c>
      <c r="D4" s="2" t="s">
        <v>86</v>
      </c>
      <c r="E4" s="2"/>
      <c r="G4" s="2" t="s">
        <v>85</v>
      </c>
      <c r="H4" s="2"/>
      <c r="I4" s="2"/>
      <c r="J4" s="2"/>
      <c r="K4" s="2"/>
      <c r="L4" s="2"/>
      <c r="M4" s="2"/>
      <c r="N4" s="2"/>
      <c r="O4" s="2"/>
      <c r="P4" s="2" t="s">
        <v>90</v>
      </c>
      <c r="Q4" s="2"/>
      <c r="R4" s="2"/>
      <c r="S4" s="2"/>
      <c r="U4" s="2" t="s">
        <v>87</v>
      </c>
      <c r="V4" s="6" t="s">
        <v>0</v>
      </c>
    </row>
    <row r="5" spans="1:22" ht="43.2">
      <c r="B5" s="2" t="s">
        <v>81</v>
      </c>
      <c r="C5" s="38" t="s">
        <v>163</v>
      </c>
      <c r="D5" s="38" t="s">
        <v>89</v>
      </c>
      <c r="E5" s="44" t="s">
        <v>26</v>
      </c>
      <c r="F5" s="39"/>
      <c r="G5" s="2" t="s">
        <v>169</v>
      </c>
      <c r="H5" s="38" t="s">
        <v>164</v>
      </c>
      <c r="I5" s="41" t="s">
        <v>171</v>
      </c>
      <c r="J5" s="91" t="s">
        <v>166</v>
      </c>
      <c r="K5" s="92" t="s">
        <v>167</v>
      </c>
      <c r="L5" s="41" t="s">
        <v>43</v>
      </c>
      <c r="M5" s="41" t="s">
        <v>47</v>
      </c>
      <c r="N5" s="40" t="s">
        <v>71</v>
      </c>
      <c r="O5" s="40"/>
      <c r="P5" s="42" t="s">
        <v>23</v>
      </c>
      <c r="Q5" s="42" t="s">
        <v>24</v>
      </c>
      <c r="R5" s="43" t="s">
        <v>54</v>
      </c>
      <c r="S5" s="42"/>
      <c r="U5" s="95" t="s">
        <v>26</v>
      </c>
      <c r="V5" s="6" t="s">
        <v>91</v>
      </c>
    </row>
    <row r="6" spans="1:22">
      <c r="A6">
        <v>1</v>
      </c>
      <c r="B6" s="3" t="s">
        <v>78</v>
      </c>
      <c r="C6">
        <f>+C8*4</f>
        <v>1440</v>
      </c>
      <c r="D6" s="90">
        <v>1</v>
      </c>
      <c r="E6">
        <f>+D6*20%</f>
        <v>0.2</v>
      </c>
      <c r="G6" s="1">
        <f>+'horas roles costes'!$B$4</f>
        <v>598</v>
      </c>
      <c r="H6" s="1">
        <f>+'horas roles costes'!$C$4</f>
        <v>10370.858333333335</v>
      </c>
      <c r="J6">
        <v>118.02</v>
      </c>
      <c r="K6">
        <v>5285.14</v>
      </c>
      <c r="L6">
        <v>5</v>
      </c>
      <c r="M6">
        <v>699</v>
      </c>
      <c r="R6">
        <v>250</v>
      </c>
      <c r="U6" s="1">
        <f>+SUM(H6,I6:L6,J6:N6,M6,P6:S6)*20%</f>
        <v>4567.0356666666676</v>
      </c>
      <c r="V6" s="33">
        <f>+SUM(H6,I6:S6,U6)</f>
        <v>21295.054000000004</v>
      </c>
    </row>
    <row r="7" spans="1:22">
      <c r="A7">
        <v>2</v>
      </c>
      <c r="B7" t="s">
        <v>79</v>
      </c>
      <c r="C7">
        <f>+C8*2</f>
        <v>720</v>
      </c>
      <c r="D7" s="90">
        <v>1</v>
      </c>
      <c r="E7">
        <f t="shared" ref="E7:E9" si="0">+D7*20%</f>
        <v>0.2</v>
      </c>
      <c r="G7" s="1">
        <f>+'horas roles costes'!$B$4</f>
        <v>598</v>
      </c>
      <c r="H7" s="1">
        <f>+'horas roles costes'!$C$4</f>
        <v>10370.858333333335</v>
      </c>
      <c r="J7">
        <v>118.02</v>
      </c>
      <c r="K7">
        <v>5285.14</v>
      </c>
      <c r="L7">
        <v>5</v>
      </c>
      <c r="M7">
        <v>289</v>
      </c>
      <c r="R7">
        <v>250</v>
      </c>
      <c r="U7" s="1">
        <f>+SUM(H7,I7:L7,J7:N7,M7,P7:S7)*20%</f>
        <v>4403.0356666666676</v>
      </c>
      <c r="V7" s="33">
        <f>+SUM(H7,I7:S7,U7)</f>
        <v>20721.054000000004</v>
      </c>
    </row>
    <row r="8" spans="1:22">
      <c r="A8">
        <v>3</v>
      </c>
      <c r="B8" s="37">
        <v>0</v>
      </c>
      <c r="C8">
        <v>360</v>
      </c>
      <c r="D8" s="90">
        <v>1</v>
      </c>
      <c r="E8">
        <f t="shared" si="0"/>
        <v>0.2</v>
      </c>
      <c r="G8" s="1">
        <f>+'horas roles costes'!$B$4</f>
        <v>598</v>
      </c>
      <c r="H8" s="1">
        <f>+'horas roles costes'!$C$4</f>
        <v>10370.858333333335</v>
      </c>
      <c r="J8">
        <v>118.02</v>
      </c>
      <c r="K8">
        <v>5285.14</v>
      </c>
      <c r="L8">
        <v>5</v>
      </c>
      <c r="M8">
        <v>149</v>
      </c>
      <c r="R8">
        <v>250</v>
      </c>
      <c r="U8" s="1">
        <f>+SUM(H8,I8:L8,J8:N8,M8,P8:S8)*20%</f>
        <v>4347.0356666666676</v>
      </c>
      <c r="V8" s="33">
        <f>+SUM(H8,I8:S8,U8)</f>
        <v>20525.054000000004</v>
      </c>
    </row>
    <row r="9" spans="1:22">
      <c r="A9">
        <v>4</v>
      </c>
      <c r="B9" t="s">
        <v>80</v>
      </c>
      <c r="C9">
        <f>+C8/2</f>
        <v>180</v>
      </c>
      <c r="D9" s="90">
        <v>1</v>
      </c>
      <c r="E9">
        <f t="shared" si="0"/>
        <v>0.2</v>
      </c>
      <c r="G9" s="1">
        <f>+'horas roles costes'!$B$4</f>
        <v>598</v>
      </c>
      <c r="H9" s="1">
        <f>+'horas roles costes'!$C$4</f>
        <v>10370.858333333335</v>
      </c>
      <c r="J9">
        <v>118.02</v>
      </c>
      <c r="K9">
        <v>5285.14</v>
      </c>
      <c r="L9">
        <v>5</v>
      </c>
      <c r="M9">
        <v>149</v>
      </c>
      <c r="R9">
        <v>250</v>
      </c>
      <c r="U9" s="1">
        <f>+SUM(H9,I9:L9,J9:N9,M9,P9:S9)*20%</f>
        <v>4347.0356666666676</v>
      </c>
      <c r="V9" s="33">
        <f>+SUM(H9,I9:S9,U9)</f>
        <v>20525.054000000004</v>
      </c>
    </row>
    <row r="10" spans="1:22">
      <c r="D10" s="90"/>
    </row>
    <row r="12" spans="1:22">
      <c r="B12" s="6" t="s">
        <v>88</v>
      </c>
      <c r="C12" s="2" t="s">
        <v>83</v>
      </c>
      <c r="D12" s="2" t="s">
        <v>86</v>
      </c>
      <c r="E12" s="2"/>
      <c r="G12" s="2" t="s">
        <v>85</v>
      </c>
      <c r="H12" s="2"/>
      <c r="I12" s="2"/>
      <c r="J12" s="2"/>
      <c r="K12" s="2"/>
      <c r="L12" s="2"/>
      <c r="M12" s="2"/>
      <c r="N12" s="2"/>
      <c r="O12" s="2"/>
      <c r="P12" s="2" t="s">
        <v>90</v>
      </c>
      <c r="Q12" s="2"/>
      <c r="R12" s="2"/>
      <c r="S12" s="2"/>
      <c r="U12" s="2" t="s">
        <v>87</v>
      </c>
      <c r="V12" s="6" t="s">
        <v>0</v>
      </c>
    </row>
    <row r="13" spans="1:22" ht="43.2">
      <c r="B13" s="2" t="s">
        <v>81</v>
      </c>
      <c r="C13" s="38" t="s">
        <v>163</v>
      </c>
      <c r="D13" s="38" t="s">
        <v>89</v>
      </c>
      <c r="E13" s="44"/>
      <c r="F13" s="39"/>
      <c r="G13" s="2"/>
      <c r="H13" s="38" t="s">
        <v>164</v>
      </c>
      <c r="I13" s="41" t="s">
        <v>171</v>
      </c>
      <c r="J13" s="41" t="s">
        <v>60</v>
      </c>
      <c r="K13" s="41" t="s">
        <v>34</v>
      </c>
      <c r="L13" s="41" t="s">
        <v>43</v>
      </c>
      <c r="M13" s="41" t="s">
        <v>47</v>
      </c>
      <c r="N13" s="40" t="s">
        <v>71</v>
      </c>
      <c r="O13" s="40"/>
      <c r="P13" s="42" t="s">
        <v>172</v>
      </c>
      <c r="Q13" s="42" t="s">
        <v>24</v>
      </c>
      <c r="R13" s="43" t="s">
        <v>54</v>
      </c>
      <c r="S13" s="42"/>
      <c r="U13" s="45">
        <v>0.2</v>
      </c>
      <c r="V13" s="6" t="s">
        <v>91</v>
      </c>
    </row>
    <row r="14" spans="1:22">
      <c r="A14">
        <v>1</v>
      </c>
      <c r="B14" s="3" t="s">
        <v>78</v>
      </c>
      <c r="C14">
        <f>+C16*4</f>
        <v>1440</v>
      </c>
      <c r="D14">
        <v>12</v>
      </c>
      <c r="H14" s="1">
        <f>+'horas roles costes'!$G$30</f>
        <v>9958.3333333333321</v>
      </c>
      <c r="J14">
        <v>118.02</v>
      </c>
      <c r="K14">
        <v>5285.14</v>
      </c>
      <c r="L14">
        <v>5</v>
      </c>
      <c r="M14">
        <v>699</v>
      </c>
      <c r="P14">
        <f>33.7*9</f>
        <v>303.3</v>
      </c>
      <c r="R14">
        <v>250</v>
      </c>
      <c r="U14" s="1">
        <f>+SUM(H14,I14:L14,J14:N14,M14,P14:S14)*20%</f>
        <v>4545.1906666666664</v>
      </c>
      <c r="V14" s="33">
        <f>+SUM(H14,I14:S14,U14)*D14</f>
        <v>253967.80799999996</v>
      </c>
    </row>
    <row r="15" spans="1:22">
      <c r="A15">
        <v>2</v>
      </c>
      <c r="B15" t="s">
        <v>79</v>
      </c>
      <c r="C15">
        <f>+C16*2</f>
        <v>720</v>
      </c>
      <c r="D15">
        <v>12</v>
      </c>
      <c r="H15" s="1">
        <f>+'horas roles costes'!$G$30</f>
        <v>9958.3333333333321</v>
      </c>
      <c r="J15">
        <v>118.02</v>
      </c>
      <c r="K15">
        <v>5285.14</v>
      </c>
      <c r="L15">
        <v>5</v>
      </c>
      <c r="M15">
        <v>289</v>
      </c>
      <c r="P15">
        <f t="shared" ref="P15:P17" si="1">33.7*9</f>
        <v>303.3</v>
      </c>
      <c r="R15">
        <v>250</v>
      </c>
      <c r="U15" s="1">
        <f t="shared" ref="U15:U17" si="2">+SUM(H15,I15:L15,J15:N15,M15,P15:S15)*20%</f>
        <v>4381.1906666666664</v>
      </c>
      <c r="V15" s="33">
        <f t="shared" ref="V15:V17" si="3">+SUM(H15,I15:S15,U15)*D15</f>
        <v>247079.80799999996</v>
      </c>
    </row>
    <row r="16" spans="1:22">
      <c r="A16">
        <v>3</v>
      </c>
      <c r="B16" s="37">
        <v>0</v>
      </c>
      <c r="C16">
        <v>360</v>
      </c>
      <c r="D16">
        <v>12</v>
      </c>
      <c r="H16" s="1">
        <f>+'horas roles costes'!$G$30</f>
        <v>9958.3333333333321</v>
      </c>
      <c r="J16">
        <v>118.02</v>
      </c>
      <c r="K16">
        <v>5285.14</v>
      </c>
      <c r="L16">
        <v>5</v>
      </c>
      <c r="M16">
        <v>149</v>
      </c>
      <c r="P16">
        <f t="shared" si="1"/>
        <v>303.3</v>
      </c>
      <c r="R16">
        <v>250</v>
      </c>
      <c r="U16" s="1">
        <f t="shared" si="2"/>
        <v>4325.1906666666664</v>
      </c>
      <c r="V16" s="33">
        <f t="shared" si="3"/>
        <v>244727.80799999996</v>
      </c>
    </row>
    <row r="17" spans="1:22">
      <c r="A17">
        <v>4</v>
      </c>
      <c r="B17" t="s">
        <v>80</v>
      </c>
      <c r="C17">
        <f>+C16/2</f>
        <v>180</v>
      </c>
      <c r="D17">
        <v>3</v>
      </c>
      <c r="H17" s="1">
        <f>+'horas roles costes'!$G$30</f>
        <v>9958.3333333333321</v>
      </c>
      <c r="J17">
        <v>118.02</v>
      </c>
      <c r="K17">
        <v>5285.14</v>
      </c>
      <c r="L17">
        <v>5</v>
      </c>
      <c r="M17">
        <v>149</v>
      </c>
      <c r="P17">
        <f t="shared" si="1"/>
        <v>303.3</v>
      </c>
      <c r="R17">
        <v>250</v>
      </c>
      <c r="U17" s="1">
        <f t="shared" si="2"/>
        <v>4325.1906666666664</v>
      </c>
      <c r="V17" s="33">
        <f t="shared" si="3"/>
        <v>61181.95199999999</v>
      </c>
    </row>
    <row r="20" spans="1:22">
      <c r="B20" s="2"/>
      <c r="C20" s="2" t="s">
        <v>83</v>
      </c>
      <c r="D20" s="2" t="s">
        <v>86</v>
      </c>
      <c r="E20" s="2"/>
      <c r="G20" s="2" t="s">
        <v>85</v>
      </c>
      <c r="H20" s="2"/>
      <c r="I20" s="2"/>
      <c r="J20" s="2"/>
      <c r="K20" s="2"/>
      <c r="L20" s="2"/>
      <c r="M20" s="2"/>
      <c r="N20" s="2"/>
      <c r="O20" s="2"/>
      <c r="P20" s="2" t="s">
        <v>90</v>
      </c>
      <c r="Q20" s="2"/>
      <c r="R20" s="2"/>
      <c r="S20" s="2"/>
      <c r="U20" s="2" t="s">
        <v>87</v>
      </c>
      <c r="V20" s="6" t="s">
        <v>0</v>
      </c>
    </row>
    <row r="21" spans="1:22" ht="28.8">
      <c r="B21" s="6" t="s">
        <v>18</v>
      </c>
      <c r="C21" s="38" t="s">
        <v>84</v>
      </c>
      <c r="D21" s="38" t="s">
        <v>89</v>
      </c>
      <c r="E21" s="44" t="s">
        <v>26</v>
      </c>
      <c r="F21" s="39"/>
      <c r="G21" s="2" t="s">
        <v>168</v>
      </c>
      <c r="H21" s="2" t="s">
        <v>82</v>
      </c>
      <c r="I21" s="41"/>
      <c r="J21" s="40"/>
      <c r="K21" s="41" t="s">
        <v>34</v>
      </c>
      <c r="L21" s="94" t="s">
        <v>43</v>
      </c>
      <c r="M21" s="41" t="s">
        <v>47</v>
      </c>
      <c r="N21" s="40" t="s">
        <v>71</v>
      </c>
      <c r="O21" s="40"/>
      <c r="P21" s="42" t="s">
        <v>23</v>
      </c>
      <c r="Q21" s="42" t="s">
        <v>24</v>
      </c>
      <c r="R21" s="93"/>
      <c r="S21" s="42"/>
      <c r="U21" s="45">
        <v>0.2</v>
      </c>
      <c r="V21" s="6" t="s">
        <v>91</v>
      </c>
    </row>
    <row r="22" spans="1:22">
      <c r="B22">
        <v>0</v>
      </c>
      <c r="C22">
        <v>360</v>
      </c>
      <c r="D22">
        <v>0.5</v>
      </c>
      <c r="E22">
        <f>+D22*20%</f>
        <v>0.1</v>
      </c>
      <c r="G22">
        <f>+SUM('horas roles costes'!N4:N13)</f>
        <v>106</v>
      </c>
      <c r="H22" s="1">
        <f>+SUM('horas roles costes'!P4:P13)</f>
        <v>1694.7916666666665</v>
      </c>
      <c r="K22">
        <v>79.78</v>
      </c>
      <c r="L22">
        <v>0</v>
      </c>
      <c r="M22">
        <v>0</v>
      </c>
      <c r="P22">
        <v>0</v>
      </c>
      <c r="Q22">
        <v>0</v>
      </c>
      <c r="U22" s="1">
        <f>+SUM(H22,I22:L22,J22:N22,M22,P22:S22)*20%</f>
        <v>370.87033333333329</v>
      </c>
      <c r="V22" s="33">
        <f t="shared" ref="V22" si="4">+SUM(H22,I22:S22,U22)*D22</f>
        <v>1072.721</v>
      </c>
    </row>
    <row r="27" spans="1:22">
      <c r="K27" s="28"/>
      <c r="L27" s="36"/>
      <c r="M27" s="27"/>
    </row>
    <row r="37" spans="7:13">
      <c r="G37" s="16" t="s">
        <v>27</v>
      </c>
      <c r="H37" s="10"/>
      <c r="I37" s="10"/>
      <c r="J37" s="10"/>
      <c r="K37" s="10"/>
      <c r="L37" s="10"/>
      <c r="M37" s="10"/>
    </row>
    <row r="38" spans="7:13">
      <c r="G38" s="18" t="s">
        <v>28</v>
      </c>
      <c r="H38" s="25" t="s">
        <v>29</v>
      </c>
      <c r="I38" s="25"/>
      <c r="J38" s="25" t="s">
        <v>30</v>
      </c>
      <c r="K38" s="25" t="s">
        <v>31</v>
      </c>
      <c r="L38" s="25" t="s">
        <v>32</v>
      </c>
      <c r="M38" s="25" t="s">
        <v>33</v>
      </c>
    </row>
    <row r="39" spans="7:13" ht="39.6">
      <c r="G39" s="96" t="s">
        <v>42</v>
      </c>
      <c r="H39" s="20" t="s">
        <v>38</v>
      </c>
      <c r="I39" s="19">
        <v>1</v>
      </c>
      <c r="J39" s="20" t="s">
        <v>35</v>
      </c>
      <c r="K39" s="19" t="s">
        <v>53</v>
      </c>
      <c r="L39" s="21">
        <v>79.78</v>
      </c>
      <c r="M39" s="21">
        <v>79.78</v>
      </c>
    </row>
    <row r="40" spans="7:13" ht="39.6">
      <c r="G40" s="97"/>
      <c r="H40" s="20" t="s">
        <v>170</v>
      </c>
      <c r="I40" s="23">
        <v>2</v>
      </c>
      <c r="J40" s="22" t="s">
        <v>35</v>
      </c>
      <c r="K40" s="22"/>
      <c r="L40" s="24">
        <v>5285.14</v>
      </c>
      <c r="M40" s="24">
        <f>+L40*12</f>
        <v>63421.680000000008</v>
      </c>
    </row>
    <row r="41" spans="7:13" ht="26.4">
      <c r="G41" s="22" t="s">
        <v>44</v>
      </c>
      <c r="H41" s="22" t="s">
        <v>36</v>
      </c>
      <c r="I41" s="23">
        <v>1</v>
      </c>
      <c r="J41" s="22" t="s">
        <v>35</v>
      </c>
      <c r="K41" s="23"/>
      <c r="L41" s="24">
        <v>5</v>
      </c>
      <c r="M41" s="24">
        <f>+L41*12</f>
        <v>60</v>
      </c>
    </row>
    <row r="42" spans="7:13" ht="26.4">
      <c r="G42" s="22" t="s">
        <v>45</v>
      </c>
      <c r="H42" s="22" t="s">
        <v>46</v>
      </c>
      <c r="I42" s="23">
        <v>1</v>
      </c>
      <c r="J42" s="22" t="s">
        <v>48</v>
      </c>
      <c r="K42" s="23">
        <v>699</v>
      </c>
      <c r="L42" s="24">
        <f>+K42*H47</f>
        <v>573.17999999999995</v>
      </c>
      <c r="M42" s="24">
        <f>+L42*12</f>
        <v>6878.16</v>
      </c>
    </row>
    <row r="43" spans="7:13" ht="52.8">
      <c r="G43" s="22" t="s">
        <v>50</v>
      </c>
      <c r="H43" s="22" t="s">
        <v>49</v>
      </c>
      <c r="I43" s="22">
        <v>7</v>
      </c>
      <c r="J43" s="22"/>
      <c r="K43" s="22"/>
      <c r="L43" s="24">
        <v>1099</v>
      </c>
      <c r="M43" s="24">
        <f>+L43*I43</f>
        <v>7693</v>
      </c>
    </row>
    <row r="44" spans="7:13" ht="27">
      <c r="G44" s="31" t="s">
        <v>61</v>
      </c>
      <c r="H44" s="10" t="s">
        <v>62</v>
      </c>
      <c r="I44" s="10">
        <v>4</v>
      </c>
      <c r="J44" s="10" t="s">
        <v>35</v>
      </c>
      <c r="K44" s="10"/>
      <c r="L44" s="13">
        <v>118.02</v>
      </c>
      <c r="M44" s="13">
        <f>+L44*12</f>
        <v>1416.24</v>
      </c>
    </row>
    <row r="45" spans="7:13">
      <c r="G45" s="14"/>
      <c r="H45" s="14"/>
      <c r="I45" s="10"/>
      <c r="J45" s="10"/>
      <c r="K45" s="10"/>
      <c r="L45" s="13"/>
      <c r="M45" s="12"/>
    </row>
    <row r="46" spans="7:13">
      <c r="G46" s="9"/>
      <c r="H46" s="10"/>
      <c r="I46" s="10"/>
      <c r="J46" s="10"/>
      <c r="K46" s="10"/>
      <c r="L46" s="10"/>
      <c r="M46" s="10"/>
    </row>
    <row r="47" spans="7:13" ht="27">
      <c r="G47" s="10" t="s">
        <v>37</v>
      </c>
      <c r="H47" s="11">
        <v>0.82</v>
      </c>
      <c r="I47" s="10"/>
      <c r="J47" s="10"/>
      <c r="K47" s="10"/>
      <c r="L47" s="10"/>
      <c r="M47" s="10"/>
    </row>
    <row r="48" spans="7:13">
      <c r="G48" s="10"/>
      <c r="H48" s="11"/>
      <c r="I48" s="11"/>
      <c r="J48" s="11"/>
      <c r="K48" s="11"/>
      <c r="L48" s="15"/>
      <c r="M48" s="10"/>
    </row>
    <row r="49" spans="7:13" ht="27">
      <c r="G49" s="30" t="s">
        <v>57</v>
      </c>
      <c r="H49" s="18"/>
      <c r="I49" s="18"/>
      <c r="J49" s="18"/>
      <c r="K49" s="18"/>
      <c r="L49" s="18"/>
      <c r="M49" s="18"/>
    </row>
    <row r="50" spans="7:13">
      <c r="I50" s="17"/>
      <c r="J50" s="17"/>
      <c r="K50" s="17"/>
      <c r="L50" s="17"/>
      <c r="M50" s="17"/>
    </row>
    <row r="51" spans="7:13">
      <c r="G51" t="s">
        <v>59</v>
      </c>
      <c r="H51" s="29" t="s">
        <v>55</v>
      </c>
    </row>
    <row r="52" spans="7:13">
      <c r="G52" t="s">
        <v>58</v>
      </c>
      <c r="H52" s="29" t="s">
        <v>56</v>
      </c>
    </row>
  </sheetData>
  <mergeCells count="1">
    <mergeCell ref="G39:G40"/>
  </mergeCells>
  <hyperlinks>
    <hyperlink ref="L5" r:id="rId1" display="Alojamiento web" xr:uid="{7E8C7F76-04F8-44A6-8B84-D531E4416EDC}"/>
    <hyperlink ref="M5" r:id="rId2" xr:uid="{6368095E-0CC9-47E3-847B-256552228F07}"/>
    <hyperlink ref="J5" r:id="rId3" location="id=9dcfeb0c-cb2c-4885-ac96-fb122f74f234" display="id=9dcfeb0c-cb2c-4885-ac96-fb122f74f234" xr:uid="{249F7151-7AD0-4A39-93A0-A7DED26C9BAE}"/>
    <hyperlink ref="R5" r:id="rId4" display="local" xr:uid="{040FEB01-149B-4C45-8E99-742E90878E11}"/>
    <hyperlink ref="K13" r:id="rId5" location="id=85d2f3d8-540c-44d7-9115-ffb3e7b0f6f7" display="Instancia Cloud" xr:uid="{AFD35711-27F8-476E-B80F-98F6810594AF}"/>
    <hyperlink ref="L13" r:id="rId6" display="Alojamiento web" xr:uid="{3C35A8EE-248B-41D7-A335-CF506F4A18D3}"/>
    <hyperlink ref="M13" r:id="rId7" xr:uid="{27FC66EC-03AC-46D8-AB17-7AEA030C1C0D}"/>
    <hyperlink ref="R13" r:id="rId8" display="local" xr:uid="{F403EA20-D19D-4424-98CE-EDD8346CD679}"/>
    <hyperlink ref="K21" r:id="rId9" location="id=85d2f3d8-540c-44d7-9115-ffb3e7b0f6f7" display="Instancia Cloud" xr:uid="{B913A44E-BD44-4F40-AC98-06E9D95CF4C2}"/>
    <hyperlink ref="M21" r:id="rId10" xr:uid="{0C4A50AD-BFF7-4B96-A67F-A1DD7C8A500B}"/>
    <hyperlink ref="J13" r:id="rId11" location="id=e06018ff-51dc-4531-b361-1c7029c277ab" xr:uid="{588F3624-8346-4642-86FB-E9E737EDED41}"/>
    <hyperlink ref="K5" r:id="rId12" location="id=1427d728-03c7-4002-a3f5-36f3ed39cc53" display="id=1427d728-03c7-4002-a3f5-36f3ed39cc53" xr:uid="{4D61F079-174C-407F-9341-8DEEDD0627C3}"/>
  </hyperlinks>
  <pageMargins left="0.7" right="0.7" top="0.75" bottom="0.75" header="0.3" footer="0.3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B852-495A-49D9-8AA0-9606C485E3DA}">
  <dimension ref="A1:T23"/>
  <sheetViews>
    <sheetView topLeftCell="G1" workbookViewId="0">
      <selection activeCell="S5" sqref="R5:S13"/>
    </sheetView>
  </sheetViews>
  <sheetFormatPr baseColWidth="10" defaultRowHeight="12"/>
  <cols>
    <col min="1" max="1" width="28.6640625" style="48" hidden="1" customWidth="1"/>
    <col min="2" max="2" width="15.88671875" style="48" hidden="1" customWidth="1"/>
    <col min="3" max="3" width="9.5546875" style="48" hidden="1" customWidth="1"/>
    <col min="4" max="4" width="8.5546875" style="48" hidden="1" customWidth="1"/>
    <col min="5" max="5" width="6.21875" style="48" hidden="1" customWidth="1"/>
    <col min="6" max="6" width="3.21875" style="48" hidden="1" customWidth="1"/>
    <col min="7" max="7" width="3.21875" style="48" customWidth="1"/>
    <col min="8" max="8" width="4.21875" style="48" customWidth="1"/>
    <col min="9" max="9" width="18.5546875" style="64" bestFit="1" customWidth="1"/>
    <col min="10" max="10" width="5.6640625" style="48" customWidth="1"/>
    <col min="11" max="11" width="4.33203125" style="48" customWidth="1"/>
    <col min="12" max="12" width="5.21875" style="48" customWidth="1"/>
    <col min="13" max="13" width="10" style="48" customWidth="1"/>
    <col min="14" max="14" width="9.88671875" style="48" customWidth="1"/>
    <col min="15" max="15" width="6.77734375" style="48" customWidth="1"/>
    <col min="16" max="16" width="1.21875" style="48" customWidth="1"/>
    <col min="17" max="19" width="9.5546875" style="48" customWidth="1"/>
    <col min="20" max="16384" width="11.5546875" style="48"/>
  </cols>
  <sheetData>
    <row r="1" spans="1:20" ht="13.2">
      <c r="B1" s="47"/>
      <c r="D1" s="47"/>
      <c r="E1" s="47"/>
      <c r="I1" s="46" t="s">
        <v>1</v>
      </c>
      <c r="J1" s="62"/>
      <c r="L1" s="62"/>
      <c r="M1" s="62"/>
      <c r="N1" s="62"/>
      <c r="O1" s="62"/>
      <c r="P1" s="62"/>
      <c r="Q1" s="62"/>
      <c r="R1" s="62"/>
      <c r="S1" s="62"/>
    </row>
    <row r="2" spans="1:20" ht="13.2">
      <c r="B2" s="47"/>
      <c r="D2" s="47"/>
      <c r="E2" s="49"/>
      <c r="I2" s="65" t="s">
        <v>102</v>
      </c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20" ht="13.2">
      <c r="A3" s="50" t="s">
        <v>2</v>
      </c>
      <c r="B3" s="51"/>
      <c r="C3" s="121" t="s">
        <v>3</v>
      </c>
      <c r="D3" s="122"/>
      <c r="E3" s="122"/>
      <c r="I3" s="63"/>
      <c r="J3" s="67" t="s">
        <v>99</v>
      </c>
      <c r="K3" s="68"/>
      <c r="L3" s="68"/>
      <c r="M3" s="123" t="s">
        <v>101</v>
      </c>
      <c r="N3" s="124"/>
      <c r="O3" s="124"/>
      <c r="P3" s="76"/>
      <c r="Q3" s="76"/>
      <c r="R3" s="76"/>
      <c r="S3" s="76"/>
    </row>
    <row r="4" spans="1:20" ht="13.2">
      <c r="B4" s="52" t="s">
        <v>4</v>
      </c>
      <c r="C4" s="53" t="s">
        <v>5</v>
      </c>
      <c r="D4" s="52" t="s">
        <v>6</v>
      </c>
      <c r="E4" s="52" t="s">
        <v>7</v>
      </c>
      <c r="H4" s="48" t="s">
        <v>106</v>
      </c>
      <c r="I4" s="63"/>
      <c r="J4" s="69" t="s">
        <v>18</v>
      </c>
      <c r="K4" s="70" t="s">
        <v>11</v>
      </c>
      <c r="L4" s="70" t="s">
        <v>100</v>
      </c>
      <c r="M4" s="71" t="s">
        <v>5</v>
      </c>
      <c r="N4" s="68" t="s">
        <v>6</v>
      </c>
      <c r="O4" s="68" t="s">
        <v>7</v>
      </c>
      <c r="P4" s="76"/>
      <c r="Q4" s="69" t="s">
        <v>18</v>
      </c>
      <c r="R4" s="70" t="s">
        <v>11</v>
      </c>
      <c r="S4" s="70" t="s">
        <v>100</v>
      </c>
    </row>
    <row r="5" spans="1:20" ht="14.4">
      <c r="A5" s="46" t="s">
        <v>8</v>
      </c>
      <c r="B5" s="51" t="s">
        <v>9</v>
      </c>
      <c r="C5" s="54">
        <v>24082</v>
      </c>
      <c r="D5" s="55">
        <f>+C5/12</f>
        <v>2006.8333333333333</v>
      </c>
      <c r="E5" s="55">
        <f>+D5/160</f>
        <v>12.542708333333334</v>
      </c>
      <c r="H5" s="48">
        <v>29</v>
      </c>
      <c r="I5" s="78" t="s">
        <v>92</v>
      </c>
      <c r="J5" s="72">
        <v>1</v>
      </c>
      <c r="K5" s="72">
        <v>1</v>
      </c>
      <c r="L5" s="72">
        <v>0</v>
      </c>
      <c r="M5" s="74">
        <v>19000</v>
      </c>
      <c r="N5" s="74">
        <f>+M5/12</f>
        <v>1583.3333333333333</v>
      </c>
      <c r="O5" s="74">
        <f>+N5/160</f>
        <v>9.8958333333333321</v>
      </c>
      <c r="P5" s="74"/>
      <c r="Q5" s="77">
        <f>+J5*O5</f>
        <v>9.8958333333333321</v>
      </c>
      <c r="R5" s="77">
        <f>+K5*O5</f>
        <v>9.8958333333333321</v>
      </c>
      <c r="S5" s="74">
        <f>+L5*O5</f>
        <v>0</v>
      </c>
      <c r="T5" s="75"/>
    </row>
    <row r="6" spans="1:20" ht="14.4">
      <c r="A6" s="46" t="s">
        <v>10</v>
      </c>
      <c r="B6" s="51" t="s">
        <v>11</v>
      </c>
      <c r="C6" s="54">
        <v>24795</v>
      </c>
      <c r="D6" s="55">
        <f t="shared" ref="D6:D11" si="0">+C6/12</f>
        <v>2066.25</v>
      </c>
      <c r="E6" s="55">
        <f t="shared" ref="E6:E11" si="1">+D6/160</f>
        <v>12.9140625</v>
      </c>
      <c r="H6" s="48">
        <v>50</v>
      </c>
      <c r="I6" s="78" t="s">
        <v>93</v>
      </c>
      <c r="J6" s="72">
        <v>1</v>
      </c>
      <c r="K6" s="73">
        <v>1</v>
      </c>
      <c r="L6" s="73">
        <v>1</v>
      </c>
      <c r="M6" s="74">
        <v>32000</v>
      </c>
      <c r="N6" s="74">
        <f t="shared" ref="N6:N13" si="2">+M6/12</f>
        <v>2666.6666666666665</v>
      </c>
      <c r="O6" s="74">
        <f t="shared" ref="O6:O13" si="3">+N6/160</f>
        <v>16.666666666666664</v>
      </c>
      <c r="P6" s="74"/>
      <c r="Q6" s="77">
        <f t="shared" ref="Q6:Q13" si="4">+J6*O6</f>
        <v>16.666666666666664</v>
      </c>
      <c r="R6" s="77">
        <f t="shared" ref="R6:R13" si="5">+K6*O6</f>
        <v>16.666666666666664</v>
      </c>
      <c r="S6" s="77">
        <f t="shared" ref="S6:S13" si="6">+L6*O6</f>
        <v>16.666666666666664</v>
      </c>
      <c r="T6" s="75">
        <f>+N6</f>
        <v>2666.6666666666665</v>
      </c>
    </row>
    <row r="7" spans="1:20" ht="14.4">
      <c r="A7" s="46" t="s">
        <v>12</v>
      </c>
      <c r="B7" s="51" t="s">
        <v>11</v>
      </c>
      <c r="C7" s="54">
        <v>20105</v>
      </c>
      <c r="D7" s="55">
        <f t="shared" si="0"/>
        <v>1675.4166666666667</v>
      </c>
      <c r="E7" s="55">
        <f t="shared" si="1"/>
        <v>10.471354166666668</v>
      </c>
      <c r="H7" s="48">
        <v>40</v>
      </c>
      <c r="I7" s="78" t="s">
        <v>94</v>
      </c>
      <c r="J7" s="72">
        <v>1</v>
      </c>
      <c r="K7" s="72">
        <v>1</v>
      </c>
      <c r="L7" s="72">
        <v>0</v>
      </c>
      <c r="M7" s="74">
        <v>40000</v>
      </c>
      <c r="N7" s="74">
        <f t="shared" si="2"/>
        <v>3333.3333333333335</v>
      </c>
      <c r="O7" s="74">
        <f t="shared" si="3"/>
        <v>20.833333333333336</v>
      </c>
      <c r="P7" s="74"/>
      <c r="Q7" s="77">
        <f t="shared" si="4"/>
        <v>20.833333333333336</v>
      </c>
      <c r="R7" s="77">
        <f t="shared" si="5"/>
        <v>20.833333333333336</v>
      </c>
      <c r="S7" s="74">
        <f t="shared" si="6"/>
        <v>0</v>
      </c>
      <c r="T7" s="75"/>
    </row>
    <row r="8" spans="1:20" ht="14.4">
      <c r="A8" s="46" t="s">
        <v>13</v>
      </c>
      <c r="B8" s="51" t="s">
        <v>11</v>
      </c>
      <c r="C8" s="56">
        <v>42000</v>
      </c>
      <c r="D8" s="55">
        <f t="shared" si="0"/>
        <v>3500</v>
      </c>
      <c r="E8" s="55">
        <f t="shared" si="1"/>
        <v>21.875</v>
      </c>
      <c r="H8" s="48">
        <v>43</v>
      </c>
      <c r="I8" s="78" t="s">
        <v>14</v>
      </c>
      <c r="J8" s="72">
        <v>1</v>
      </c>
      <c r="K8" s="72">
        <v>1</v>
      </c>
      <c r="L8" s="87">
        <v>0.5</v>
      </c>
      <c r="M8" s="74">
        <v>43000</v>
      </c>
      <c r="N8" s="74">
        <f t="shared" si="2"/>
        <v>3583.3333333333335</v>
      </c>
      <c r="O8" s="74">
        <f t="shared" si="3"/>
        <v>22.395833333333336</v>
      </c>
      <c r="P8" s="74"/>
      <c r="Q8" s="77">
        <f t="shared" si="4"/>
        <v>22.395833333333336</v>
      </c>
      <c r="R8" s="77">
        <f t="shared" si="5"/>
        <v>22.395833333333336</v>
      </c>
      <c r="S8" s="77">
        <f t="shared" si="6"/>
        <v>11.197916666666668</v>
      </c>
      <c r="T8" s="75">
        <f>+N8/2</f>
        <v>1791.6666666666667</v>
      </c>
    </row>
    <row r="9" spans="1:20" ht="14.4">
      <c r="A9" s="46" t="s">
        <v>14</v>
      </c>
      <c r="B9" s="51" t="s">
        <v>9</v>
      </c>
      <c r="C9" s="54">
        <v>42824</v>
      </c>
      <c r="D9" s="55">
        <f t="shared" si="0"/>
        <v>3568.6666666666665</v>
      </c>
      <c r="E9" s="55">
        <f t="shared" si="1"/>
        <v>22.304166666666667</v>
      </c>
      <c r="H9" s="48">
        <v>40</v>
      </c>
      <c r="I9" s="78" t="s">
        <v>95</v>
      </c>
      <c r="J9" s="72">
        <v>0</v>
      </c>
      <c r="K9" s="72">
        <v>1</v>
      </c>
      <c r="L9" s="72">
        <v>0</v>
      </c>
      <c r="M9" s="74">
        <v>40000</v>
      </c>
      <c r="N9" s="74">
        <f t="shared" si="2"/>
        <v>3333.3333333333335</v>
      </c>
      <c r="O9" s="74">
        <f t="shared" si="3"/>
        <v>20.833333333333336</v>
      </c>
      <c r="P9" s="74"/>
      <c r="Q9" s="74">
        <f t="shared" si="4"/>
        <v>0</v>
      </c>
      <c r="R9" s="77">
        <f t="shared" si="5"/>
        <v>20.833333333333336</v>
      </c>
      <c r="S9" s="74">
        <f t="shared" si="6"/>
        <v>0</v>
      </c>
      <c r="T9" s="75"/>
    </row>
    <row r="10" spans="1:20" ht="14.4">
      <c r="A10" s="46" t="s">
        <v>15</v>
      </c>
      <c r="B10" s="51" t="s">
        <v>11</v>
      </c>
      <c r="C10" s="54">
        <v>21576</v>
      </c>
      <c r="D10" s="55">
        <f t="shared" si="0"/>
        <v>1798</v>
      </c>
      <c r="E10" s="55">
        <f t="shared" si="1"/>
        <v>11.237500000000001</v>
      </c>
      <c r="H10" s="48">
        <v>30</v>
      </c>
      <c r="I10" s="78" t="s">
        <v>107</v>
      </c>
      <c r="J10" s="72">
        <v>0</v>
      </c>
      <c r="K10" s="72">
        <v>1</v>
      </c>
      <c r="L10" s="72">
        <v>1</v>
      </c>
      <c r="M10" s="74">
        <v>17000</v>
      </c>
      <c r="N10" s="74">
        <f t="shared" si="2"/>
        <v>1416.6666666666667</v>
      </c>
      <c r="O10" s="74">
        <f t="shared" si="3"/>
        <v>8.8541666666666679</v>
      </c>
      <c r="P10" s="74"/>
      <c r="Q10" s="74">
        <f t="shared" si="4"/>
        <v>0</v>
      </c>
      <c r="R10" s="77">
        <f t="shared" si="5"/>
        <v>8.8541666666666679</v>
      </c>
      <c r="S10" s="77">
        <f t="shared" si="6"/>
        <v>8.8541666666666679</v>
      </c>
      <c r="T10" s="75">
        <f t="shared" ref="T10:T13" si="7">+N10</f>
        <v>1416.6666666666667</v>
      </c>
    </row>
    <row r="11" spans="1:20" ht="14.4">
      <c r="A11" s="46" t="s">
        <v>16</v>
      </c>
      <c r="B11" s="51" t="s">
        <v>11</v>
      </c>
      <c r="C11" s="54">
        <v>35000</v>
      </c>
      <c r="D11" s="55">
        <f t="shared" si="0"/>
        <v>2916.6666666666665</v>
      </c>
      <c r="E11" s="55">
        <f t="shared" si="1"/>
        <v>18.229166666666664</v>
      </c>
      <c r="H11" s="48">
        <v>28</v>
      </c>
      <c r="I11" s="78" t="s">
        <v>96</v>
      </c>
      <c r="J11" s="72">
        <v>0</v>
      </c>
      <c r="K11" s="72">
        <v>1</v>
      </c>
      <c r="L11" s="72">
        <v>0</v>
      </c>
      <c r="M11" s="74">
        <v>20000</v>
      </c>
      <c r="N11" s="74">
        <f t="shared" si="2"/>
        <v>1666.6666666666667</v>
      </c>
      <c r="O11" s="74">
        <f t="shared" si="3"/>
        <v>10.416666666666668</v>
      </c>
      <c r="P11" s="74"/>
      <c r="Q11" s="74">
        <f t="shared" si="4"/>
        <v>0</v>
      </c>
      <c r="R11" s="77">
        <f t="shared" si="5"/>
        <v>10.416666666666668</v>
      </c>
      <c r="S11" s="74">
        <f t="shared" si="6"/>
        <v>0</v>
      </c>
      <c r="T11" s="75"/>
    </row>
    <row r="12" spans="1:20" ht="14.4">
      <c r="B12" s="51"/>
      <c r="C12" s="57"/>
      <c r="D12" s="51"/>
      <c r="E12" s="51"/>
      <c r="H12" s="48">
        <v>37</v>
      </c>
      <c r="I12" s="78" t="s">
        <v>97</v>
      </c>
      <c r="J12" s="72">
        <v>0</v>
      </c>
      <c r="K12" s="72">
        <v>1</v>
      </c>
      <c r="L12" s="72">
        <v>1</v>
      </c>
      <c r="M12" s="74">
        <v>35000</v>
      </c>
      <c r="N12" s="74">
        <f t="shared" si="2"/>
        <v>2916.6666666666665</v>
      </c>
      <c r="O12" s="74">
        <f t="shared" si="3"/>
        <v>18.229166666666664</v>
      </c>
      <c r="P12" s="74"/>
      <c r="Q12" s="74">
        <f t="shared" si="4"/>
        <v>0</v>
      </c>
      <c r="R12" s="77">
        <f t="shared" si="5"/>
        <v>18.229166666666664</v>
      </c>
      <c r="S12" s="77">
        <f t="shared" si="6"/>
        <v>18.229166666666664</v>
      </c>
      <c r="T12" s="75">
        <f t="shared" si="7"/>
        <v>2916.6666666666665</v>
      </c>
    </row>
    <row r="13" spans="1:20" ht="14.4">
      <c r="A13" s="47"/>
      <c r="B13" s="58" t="s">
        <v>17</v>
      </c>
      <c r="C13" s="59">
        <f>+SUM(C5:C11)</f>
        <v>210382</v>
      </c>
      <c r="D13" s="59">
        <f>+SUM(D5:D11)</f>
        <v>17531.833333333332</v>
      </c>
      <c r="E13" s="59">
        <f>+SUM(E5:E11)</f>
        <v>109.57395833333334</v>
      </c>
      <c r="I13" s="78" t="s">
        <v>98</v>
      </c>
      <c r="J13" s="72">
        <v>0</v>
      </c>
      <c r="K13" s="72">
        <v>0</v>
      </c>
      <c r="L13" s="72">
        <v>1</v>
      </c>
      <c r="M13" s="74">
        <v>14000</v>
      </c>
      <c r="N13" s="74">
        <f t="shared" si="2"/>
        <v>1166.6666666666667</v>
      </c>
      <c r="O13" s="74">
        <f t="shared" si="3"/>
        <v>7.291666666666667</v>
      </c>
      <c r="P13" s="74"/>
      <c r="Q13" s="74">
        <f t="shared" si="4"/>
        <v>0</v>
      </c>
      <c r="R13" s="74">
        <f t="shared" si="5"/>
        <v>0</v>
      </c>
      <c r="S13" s="77">
        <f t="shared" si="6"/>
        <v>7.291666666666667</v>
      </c>
      <c r="T13" s="75">
        <f t="shared" si="7"/>
        <v>1166.6666666666667</v>
      </c>
    </row>
    <row r="14" spans="1:20" ht="13.2">
      <c r="A14" s="47"/>
      <c r="B14" s="58" t="s">
        <v>18</v>
      </c>
      <c r="C14" s="59">
        <f>+C5+C9</f>
        <v>66906</v>
      </c>
      <c r="D14" s="59">
        <f t="shared" ref="D14:E14" si="8">+D5+D9</f>
        <v>5575.5</v>
      </c>
      <c r="E14" s="59">
        <f t="shared" si="8"/>
        <v>34.846874999999997</v>
      </c>
      <c r="I14" s="63"/>
      <c r="J14" s="72"/>
      <c r="K14" s="72"/>
      <c r="L14" s="72"/>
      <c r="M14" s="74"/>
      <c r="N14" s="74"/>
      <c r="O14" s="74"/>
      <c r="P14" s="74"/>
      <c r="Q14" s="74"/>
      <c r="R14" s="74"/>
      <c r="S14" s="74"/>
    </row>
    <row r="15" spans="1:20">
      <c r="B15" s="51"/>
      <c r="C15" s="57"/>
      <c r="D15" s="51"/>
      <c r="E15" s="51"/>
      <c r="I15" s="66" t="s">
        <v>104</v>
      </c>
      <c r="J15" s="72">
        <f>+SUM(J5:J13)</f>
        <v>4</v>
      </c>
      <c r="K15" s="72">
        <f t="shared" ref="K15:T15" si="9">+SUM(K5:K13)</f>
        <v>8</v>
      </c>
      <c r="L15" s="72">
        <f t="shared" si="9"/>
        <v>4.5</v>
      </c>
      <c r="M15" s="74">
        <f t="shared" si="9"/>
        <v>260000</v>
      </c>
      <c r="N15" s="74">
        <f t="shared" si="9"/>
        <v>21666.666666666672</v>
      </c>
      <c r="O15" s="74">
        <f t="shared" si="9"/>
        <v>135.41666666666666</v>
      </c>
      <c r="P15" s="74">
        <f t="shared" si="9"/>
        <v>0</v>
      </c>
      <c r="Q15" s="74">
        <f t="shared" si="9"/>
        <v>69.791666666666657</v>
      </c>
      <c r="R15" s="74">
        <f t="shared" si="9"/>
        <v>128.125</v>
      </c>
      <c r="S15" s="74">
        <f t="shared" si="9"/>
        <v>62.239583333333329</v>
      </c>
      <c r="T15" s="74">
        <f t="shared" si="9"/>
        <v>9958.3333333333321</v>
      </c>
    </row>
    <row r="16" spans="1:20">
      <c r="B16" s="51"/>
      <c r="C16" s="57"/>
      <c r="D16" s="51"/>
      <c r="E16" s="51"/>
      <c r="M16" s="75"/>
      <c r="N16" s="75"/>
      <c r="O16" s="75"/>
      <c r="P16" s="75"/>
      <c r="Q16" s="75"/>
      <c r="R16" s="75"/>
      <c r="S16" s="75"/>
    </row>
    <row r="17" spans="2:11">
      <c r="B17" s="47"/>
      <c r="D17" s="47"/>
      <c r="E17" s="47"/>
    </row>
    <row r="18" spans="2:11">
      <c r="B18" s="61"/>
      <c r="D18" s="47"/>
      <c r="E18" s="47"/>
      <c r="I18" s="60" t="s">
        <v>156</v>
      </c>
    </row>
    <row r="20" spans="2:11">
      <c r="K20" s="48" t="s">
        <v>103</v>
      </c>
    </row>
    <row r="22" spans="2:11">
      <c r="I22" s="48" t="s">
        <v>105</v>
      </c>
    </row>
    <row r="23" spans="2:11">
      <c r="I23" s="48">
        <f>40*4</f>
        <v>160</v>
      </c>
    </row>
  </sheetData>
  <mergeCells count="2">
    <mergeCell ref="C3:E3"/>
    <mergeCell ref="M3:O3"/>
  </mergeCells>
  <conditionalFormatting sqref="J5:L1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0.5</formula>
    </cfRule>
  </conditionalFormatting>
  <hyperlinks>
    <hyperlink ref="C5" r:id="rId1" display="https://www.glassdoor.es/Sueldos/valencia-programador-sueldo-SRCH_IL.0,8_IC2639089_KO9,20.htm?clickSource=searchBtn" xr:uid="{6B24AF6A-1A7F-42E7-BB51-29ACBB71C0F9}"/>
    <hyperlink ref="C6" r:id="rId2" display="https://www.glassdoor.es/Sueldos/valencia-java-developer-sueldo-SRCH_IL.0,8_IC2639089_KO9,23.htm?clickSource=searchBtn" xr:uid="{14C836A3-C0E9-4A85-B6BA-D519C90E2495}"/>
    <hyperlink ref="C7" r:id="rId3" display="https://www.glassdoor.es/Sueldos/valencia-desarrollador-web-sueldo-SRCH_IL.0,8_IC2639089_KO9,26.htm?clickSource=searchBtn" xr:uid="{C047E612-3174-4172-9FD8-D715B4074A76}"/>
    <hyperlink ref="C9" r:id="rId4" display="https://www.glassdoor.es/Sueldos/valencia-project-manager-sueldo-SRCH_IL.0,8_IC2639089_KO9,24.htm?clickSource=sear" xr:uid="{8305B061-1E26-40BD-99CC-BCE1B6EB4A0F}"/>
    <hyperlink ref="C10" r:id="rId5" display="https://www.glassdoor.es/Sueldos/valencia-data-analyst-sueldo-SRCH_IL.0,8_IC2639089_KO9,21.htm?clickSource=searchBtn" xr:uid="{0595924C-31F2-4129-8C95-BA7609A09A19}"/>
    <hyperlink ref="C11" r:id="rId6" display="https://www.glassdoor.es/Sueldos/valencia-devops-sueldo-SRCH_IL.0,8_IC2639089_KO9,15.htm?clickSource=searchBtn" xr:uid="{D0C12D39-5272-495C-A864-5CF406C7AB10}"/>
    <hyperlink ref="I5" r:id="rId7" xr:uid="{8C401830-A17C-4449-A761-5D11FC019F2A}"/>
    <hyperlink ref="I6" r:id="rId8" xr:uid="{DF16364F-6586-4254-A028-2C117496BCAF}"/>
    <hyperlink ref="I7" r:id="rId9" xr:uid="{09085C64-81EE-445F-9E26-8748C8AE49A2}"/>
    <hyperlink ref="I8" r:id="rId10" xr:uid="{D2687175-FDC7-43D4-9FA3-24883C05D3E3}"/>
    <hyperlink ref="I10" r:id="rId11" xr:uid="{DF1900D4-1B30-4351-86D9-57E7981A2AA0}"/>
    <hyperlink ref="I12" r:id="rId12" xr:uid="{7D902D6E-E37C-41CF-9808-E918C9F60522}"/>
    <hyperlink ref="I13" r:id="rId13" xr:uid="{F545D96C-D181-4170-AE18-3B09FA852EFB}"/>
    <hyperlink ref="I9" r:id="rId14" xr:uid="{CE2CBF46-A853-43F2-9D55-2C54EBFF6F9D}"/>
    <hyperlink ref="I11" r:id="rId15" xr:uid="{33820689-4EF1-4A77-81D5-59A318EDA868}"/>
  </hyperlinks>
  <pageMargins left="0.7" right="0.7" top="0.75" bottom="0.75" header="0.3" footer="0.3"/>
  <pageSetup paperSize="9" orientation="portrait"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 costes</vt:lpstr>
      <vt:lpstr>horas roles costes</vt:lpstr>
      <vt:lpstr>escenarios</vt:lpstr>
      <vt:lpstr>costes 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amparo botella</dc:creator>
  <cp:lastModifiedBy>amparo botella</cp:lastModifiedBy>
  <dcterms:created xsi:type="dcterms:W3CDTF">2021-01-20T20:16:54Z</dcterms:created>
  <dcterms:modified xsi:type="dcterms:W3CDTF">2021-01-31T18:26:29Z</dcterms:modified>
</cp:coreProperties>
</file>