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BRO_SOCIOS" sheetId="1" state="visible" r:id="rId2"/>
    <sheet name="lista de correo" sheetId="2" state="visible" r:id="rId3"/>
    <sheet name="TOTALES SOCIOS-PRIMAS" sheetId="3" state="visible" r:id="rId4"/>
    <sheet name="RANGO DE EDADES COMERCIAL" sheetId="4" state="visible" r:id="rId5"/>
    <sheet name="RANGO DE EDADES-SOLO USO ASCAZ" sheetId="5" state="visible" r:id="rId6"/>
  </sheets>
  <definedNames>
    <definedName function="false" hidden="false" localSheetId="0" name="_xlnm.Print_Area" vbProcedure="false">LIBRO_SOCIOS!$D$1:$AN$325</definedName>
    <definedName function="false" hidden="true" localSheetId="0" name="_xlnm._FilterDatabase" vbProcedure="false">LIBRO_SOCIOS!$A$1:$AR$332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<sst xmlns="http://schemas.openxmlformats.org/spreadsheetml/2006/main" count="4517" uniqueCount="1426">
  <si>
    <t xml:space="preserve">Vrf</t>
  </si>
  <si>
    <t xml:space="preserve">Nº SOCIO</t>
  </si>
  <si>
    <t xml:space="preserve">ZITRON</t>
  </si>
  <si>
    <t xml:space="preserve">VINCULACION</t>
  </si>
  <si>
    <t xml:space="preserve">FECHA DE ALTA</t>
  </si>
  <si>
    <t xml:space="preserve">FECHA BAJA</t>
  </si>
  <si>
    <t xml:space="preserve">SEPA</t>
  </si>
  <si>
    <t xml:space="preserve">S. MEDICO</t>
  </si>
  <si>
    <t xml:space="preserve">MODALIDAD</t>
  </si>
  <si>
    <t xml:space="preserve">PARENTESCO</t>
  </si>
  <si>
    <t xml:space="preserve">NOMBRE</t>
  </si>
  <si>
    <t xml:space="preserve">APELLIDO 1</t>
  </si>
  <si>
    <t xml:space="preserve">APELLIDO 2</t>
  </si>
  <si>
    <t xml:space="preserve">DOC.</t>
  </si>
  <si>
    <t xml:space="preserve">NÚMERO NIF</t>
  </si>
  <si>
    <t xml:space="preserve">SEXO</t>
  </si>
  <si>
    <t xml:space="preserve">F. NACIMIENTO</t>
  </si>
  <si>
    <t xml:space="preserve">TIPO VÍA</t>
  </si>
  <si>
    <t xml:space="preserve">DIRECCIÓN</t>
  </si>
  <si>
    <t xml:space="preserve">Nº</t>
  </si>
  <si>
    <t xml:space="preserve">RESTO</t>
  </si>
  <si>
    <t xml:space="preserve">PROVINCIA</t>
  </si>
  <si>
    <t xml:space="preserve">POBLACIÓN</t>
  </si>
  <si>
    <t xml:space="preserve">C.P.</t>
  </si>
  <si>
    <t xml:space="preserve">TELÉFONO</t>
  </si>
  <si>
    <t xml:space="preserve">E-MAIL</t>
  </si>
  <si>
    <t xml:space="preserve">IBAN</t>
  </si>
  <si>
    <t xml:space="preserve">BANCO</t>
  </si>
  <si>
    <t xml:space="preserve">SUCURSAL</t>
  </si>
  <si>
    <t xml:space="preserve">DC</t>
  </si>
  <si>
    <t xml:space="preserve">CUENTA</t>
  </si>
  <si>
    <t xml:space="preserve">INSCRIPCION</t>
  </si>
  <si>
    <t xml:space="preserve">1A</t>
  </si>
  <si>
    <t xml:space="preserve">S</t>
  </si>
  <si>
    <t xml:space="preserve">ANT 2011</t>
  </si>
  <si>
    <t xml:space="preserve">ZITRON-ASCAZ</t>
  </si>
  <si>
    <t xml:space="preserve">HOSPITALARIA</t>
  </si>
  <si>
    <t xml:space="preserve">TITULAR</t>
  </si>
  <si>
    <t xml:space="preserve">JOSÉ MANUEL</t>
  </si>
  <si>
    <t xml:space="preserve">CÁRDENAS</t>
  </si>
  <si>
    <t xml:space="preserve">FERNÁNDEZ</t>
  </si>
  <si>
    <t xml:space="preserve">NIF</t>
  </si>
  <si>
    <t xml:space="preserve">53533040B</t>
  </si>
  <si>
    <t xml:space="preserve">H</t>
  </si>
  <si>
    <t xml:space="preserve">CALLE</t>
  </si>
  <si>
    <t xml:space="preserve">PUERTO VALLARTA</t>
  </si>
  <si>
    <t xml:space="preserve">ASTURIAS</t>
  </si>
  <si>
    <t xml:space="preserve">GIJÓN</t>
  </si>
  <si>
    <t xml:space="preserve">SOY_JOSEBA@TELECABLE.ES</t>
  </si>
  <si>
    <t xml:space="preserve">ES10</t>
  </si>
  <si>
    <t xml:space="preserve">0075</t>
  </si>
  <si>
    <t xml:space="preserve">0752</t>
  </si>
  <si>
    <t xml:space="preserve">0600294495</t>
  </si>
  <si>
    <t xml:space="preserve">1B</t>
  </si>
  <si>
    <t xml:space="preserve">CÓNYUGE</t>
  </si>
  <si>
    <t xml:space="preserve">MONICA</t>
  </si>
  <si>
    <t xml:space="preserve">LOZOYA</t>
  </si>
  <si>
    <t xml:space="preserve">VACAS</t>
  </si>
  <si>
    <t xml:space="preserve">53538078N</t>
  </si>
  <si>
    <t xml:space="preserve">M</t>
  </si>
  <si>
    <t xml:space="preserve">1C</t>
  </si>
  <si>
    <t xml:space="preserve">AMBULATORIA</t>
  </si>
  <si>
    <t xml:space="preserve">HIJ@</t>
  </si>
  <si>
    <t xml:space="preserve">DANIEL</t>
  </si>
  <si>
    <t xml:space="preserve">58470707S</t>
  </si>
  <si>
    <t xml:space="preserve">1D</t>
  </si>
  <si>
    <t xml:space="preserve">JAVIER</t>
  </si>
  <si>
    <t xml:space="preserve">1E</t>
  </si>
  <si>
    <t xml:space="preserve">N</t>
  </si>
  <si>
    <t xml:space="preserve">ASCAZ</t>
  </si>
  <si>
    <t xml:space="preserve">PROGENITOR@</t>
  </si>
  <si>
    <t xml:space="preserve">MONTSERRAT</t>
  </si>
  <si>
    <t xml:space="preserve">10805156D</t>
  </si>
  <si>
    <t xml:space="preserve">AVENIDA</t>
  </si>
  <si>
    <t xml:space="preserve">CASTILLA</t>
  </si>
  <si>
    <t xml:space="preserve">3A</t>
  </si>
  <si>
    <t xml:space="preserve">MONTSERRATDECARDENAS@GMAIL.COM</t>
  </si>
  <si>
    <t xml:space="preserve">2A</t>
  </si>
  <si>
    <t xml:space="preserve">JOSÉ CARLOS</t>
  </si>
  <si>
    <t xml:space="preserve">OTERO</t>
  </si>
  <si>
    <t xml:space="preserve">10895200P</t>
  </si>
  <si>
    <t xml:space="preserve">ALVARO DE ALBORNOZ</t>
  </si>
  <si>
    <t xml:space="preserve">JCOTEROJR@GMAIL.COM</t>
  </si>
  <si>
    <t xml:space="preserve">ES07</t>
  </si>
  <si>
    <t xml:space="preserve">2108</t>
  </si>
  <si>
    <t xml:space="preserve">4779</t>
  </si>
  <si>
    <t xml:space="preserve">82</t>
  </si>
  <si>
    <t xml:space="preserve">0033054856</t>
  </si>
  <si>
    <t xml:space="preserve">2B</t>
  </si>
  <si>
    <t xml:space="preserve">MARÍA DEL CARMEN</t>
  </si>
  <si>
    <t xml:space="preserve">CAMPOS</t>
  </si>
  <si>
    <t xml:space="preserve">PERI</t>
  </si>
  <si>
    <t xml:space="preserve">53535641J</t>
  </si>
  <si>
    <t xml:space="preserve">2C</t>
  </si>
  <si>
    <t xml:space="preserve">GADÍA</t>
  </si>
  <si>
    <t xml:space="preserve">58455213T</t>
  </si>
  <si>
    <t xml:space="preserve">2D</t>
  </si>
  <si>
    <t xml:space="preserve">DEVA</t>
  </si>
  <si>
    <t xml:space="preserve">58455214R</t>
  </si>
  <si>
    <t xml:space="preserve">2E</t>
  </si>
  <si>
    <t xml:space="preserve">NELA</t>
  </si>
  <si>
    <t xml:space="preserve">58483188F</t>
  </si>
  <si>
    <t xml:space="preserve">TITULAR </t>
  </si>
  <si>
    <t xml:space="preserve">CAROLINA</t>
  </si>
  <si>
    <t xml:space="preserve">BLANCO</t>
  </si>
  <si>
    <t xml:space="preserve">SANJURJO</t>
  </si>
  <si>
    <t xml:space="preserve">09804851C</t>
  </si>
  <si>
    <t xml:space="preserve">PEDRO PABLO</t>
  </si>
  <si>
    <t xml:space="preserve">CALIBLANCOS@GMAIL.COM</t>
  </si>
  <si>
    <t xml:space="preserve">ES09</t>
  </si>
  <si>
    <t xml:space="preserve">0049</t>
  </si>
  <si>
    <t xml:space="preserve">1752</t>
  </si>
  <si>
    <t xml:space="preserve">35</t>
  </si>
  <si>
    <t xml:space="preserve">2190017253</t>
  </si>
  <si>
    <t xml:space="preserve">3B</t>
  </si>
  <si>
    <t xml:space="preserve">PATRICIA</t>
  </si>
  <si>
    <t xml:space="preserve">RIVERO </t>
  </si>
  <si>
    <t xml:space="preserve">4A</t>
  </si>
  <si>
    <t xml:space="preserve">DESP</t>
  </si>
  <si>
    <t xml:space="preserve">OLEG</t>
  </si>
  <si>
    <t xml:space="preserve">FONOV</t>
  </si>
  <si>
    <t xml:space="preserve">NIE</t>
  </si>
  <si>
    <t xml:space="preserve">X7576874F</t>
  </si>
  <si>
    <t xml:space="preserve">CAMINO</t>
  </si>
  <si>
    <t xml:space="preserve">DE LA LLOSA</t>
  </si>
  <si>
    <t xml:space="preserve">LA FRESNEDA</t>
  </si>
  <si>
    <t xml:space="preserve">OLEG.FONOV@GMAIL.COM</t>
  </si>
  <si>
    <t xml:space="preserve">ES24</t>
  </si>
  <si>
    <t xml:space="preserve">0081</t>
  </si>
  <si>
    <t xml:space="preserve">5189</t>
  </si>
  <si>
    <t xml:space="preserve">70</t>
  </si>
  <si>
    <t xml:space="preserve">0001063012</t>
  </si>
  <si>
    <t xml:space="preserve">4B</t>
  </si>
  <si>
    <t xml:space="preserve">PATRICIA MARÍA</t>
  </si>
  <si>
    <t xml:space="preserve">GARCÍA</t>
  </si>
  <si>
    <t xml:space="preserve">SÁNCHEZ</t>
  </si>
  <si>
    <t xml:space="preserve">43663412M</t>
  </si>
  <si>
    <t xml:space="preserve">5A</t>
  </si>
  <si>
    <t xml:space="preserve">DAVID</t>
  </si>
  <si>
    <t xml:space="preserve">CADRECHA</t>
  </si>
  <si>
    <t xml:space="preserve">GONZÁLEZ</t>
  </si>
  <si>
    <t xml:space="preserve">10881726N</t>
  </si>
  <si>
    <t xml:space="preserve">CTRA.</t>
  </si>
  <si>
    <t xml:space="preserve">VIZCAINA</t>
  </si>
  <si>
    <t xml:space="preserve">6ºDCHA - ESC. IZQDA.</t>
  </si>
  <si>
    <t xml:space="preserve">CADRECHA@GMAIL.COM</t>
  </si>
  <si>
    <t xml:space="preserve">ES30</t>
  </si>
  <si>
    <t xml:space="preserve">2100</t>
  </si>
  <si>
    <t xml:space="preserve">2899</t>
  </si>
  <si>
    <t xml:space="preserve">58</t>
  </si>
  <si>
    <t xml:space="preserve">2200035830</t>
  </si>
  <si>
    <t xml:space="preserve">5B</t>
  </si>
  <si>
    <t xml:space="preserve">IRENE</t>
  </si>
  <si>
    <t xml:space="preserve">RABANAL</t>
  </si>
  <si>
    <t xml:space="preserve">ARGÜELLES</t>
  </si>
  <si>
    <t xml:space="preserve">10864228V</t>
  </si>
  <si>
    <t xml:space="preserve">5C</t>
  </si>
  <si>
    <t xml:space="preserve">CLAUDIA</t>
  </si>
  <si>
    <t xml:space="preserve">53783899D</t>
  </si>
  <si>
    <t xml:space="preserve">6A</t>
  </si>
  <si>
    <t xml:space="preserve">JONATHAN</t>
  </si>
  <si>
    <t xml:space="preserve">CARBAJALES</t>
  </si>
  <si>
    <t xml:space="preserve">10877574T</t>
  </si>
  <si>
    <t xml:space="preserve">RIO EO</t>
  </si>
  <si>
    <t xml:space="preserve">2ºD</t>
  </si>
  <si>
    <t xml:space="preserve">JONGARCAR@GMAIL.COM</t>
  </si>
  <si>
    <t xml:space="preserve">ES81</t>
  </si>
  <si>
    <t xml:space="preserve">5066</t>
  </si>
  <si>
    <t xml:space="preserve">51</t>
  </si>
  <si>
    <t xml:space="preserve">0001102920</t>
  </si>
  <si>
    <t xml:space="preserve">7A</t>
  </si>
  <si>
    <t xml:space="preserve">ZITRON PRE</t>
  </si>
  <si>
    <t xml:space="preserve">JUAN LUIS</t>
  </si>
  <si>
    <t xml:space="preserve">FOMBONA</t>
  </si>
  <si>
    <t xml:space="preserve">10795752N</t>
  </si>
  <si>
    <t xml:space="preserve">MARCELINO GONZALEZ</t>
  </si>
  <si>
    <t xml:space="preserve">5ºB</t>
  </si>
  <si>
    <t xml:space="preserve">JLFOMBONA@GMAIL.COM</t>
  </si>
  <si>
    <t xml:space="preserve">ES69</t>
  </si>
  <si>
    <t xml:space="preserve">3007</t>
  </si>
  <si>
    <t xml:space="preserve">0003</t>
  </si>
  <si>
    <t xml:space="preserve">19</t>
  </si>
  <si>
    <t xml:space="preserve">1579031210</t>
  </si>
  <si>
    <t xml:space="preserve">7B</t>
  </si>
  <si>
    <t xml:space="preserve">MARÍA JOSE</t>
  </si>
  <si>
    <t xml:space="preserve">SANTAMARINA</t>
  </si>
  <si>
    <t xml:space="preserve">10799785C</t>
  </si>
  <si>
    <t xml:space="preserve">8A</t>
  </si>
  <si>
    <t xml:space="preserve">MARCO FABIO</t>
  </si>
  <si>
    <t xml:space="preserve">BARBÓN</t>
  </si>
  <si>
    <t xml:space="preserve">ÁLVAREZ</t>
  </si>
  <si>
    <t xml:space="preserve">10902897T</t>
  </si>
  <si>
    <t xml:space="preserve">ALCARRIA</t>
  </si>
  <si>
    <t xml:space="preserve">1º DERECHA</t>
  </si>
  <si>
    <t xml:space="preserve">MARCOFABIOBARBON@GMAIL.COM</t>
  </si>
  <si>
    <t xml:space="preserve">ES32</t>
  </si>
  <si>
    <t xml:space="preserve">0100</t>
  </si>
  <si>
    <t xml:space="preserve">1705666124</t>
  </si>
  <si>
    <t xml:space="preserve">8B</t>
  </si>
  <si>
    <t xml:space="preserve">SEILA</t>
  </si>
  <si>
    <t xml:space="preserve">SUÁREZ</t>
  </si>
  <si>
    <t xml:space="preserve">SANTOS</t>
  </si>
  <si>
    <t xml:space="preserve">53526225G</t>
  </si>
  <si>
    <t xml:space="preserve">9A</t>
  </si>
  <si>
    <t xml:space="preserve">PUERTAS</t>
  </si>
  <si>
    <t xml:space="preserve">53547531N</t>
  </si>
  <si>
    <t xml:space="preserve">FEIJOO</t>
  </si>
  <si>
    <t xml:space="preserve">3C</t>
  </si>
  <si>
    <t xml:space="preserve">JAVIERPUERTAS82@GMAIL.COM</t>
  </si>
  <si>
    <t xml:space="preserve">ES25</t>
  </si>
  <si>
    <t xml:space="preserve">6247</t>
  </si>
  <si>
    <t xml:space="preserve">17</t>
  </si>
  <si>
    <t xml:space="preserve">2516068020</t>
  </si>
  <si>
    <t xml:space="preserve">10A</t>
  </si>
  <si>
    <t xml:space="preserve">ISABEL </t>
  </si>
  <si>
    <t xml:space="preserve">PÉREZ </t>
  </si>
  <si>
    <t xml:space="preserve">VERDE</t>
  </si>
  <si>
    <t xml:space="preserve">35573863Q</t>
  </si>
  <si>
    <t xml:space="preserve">CALLE </t>
  </si>
  <si>
    <t xml:space="preserve">SANTA JUSTA </t>
  </si>
  <si>
    <t xml:space="preserve">6ºB</t>
  </si>
  <si>
    <t xml:space="preserve">ASTURIAS </t>
  </si>
  <si>
    <t xml:space="preserve">GIJÓN </t>
  </si>
  <si>
    <t xml:space="preserve">IPEREZVERDE@GMAIL.COM</t>
  </si>
  <si>
    <t xml:space="preserve">ES22</t>
  </si>
  <si>
    <t xml:space="preserve">1465</t>
  </si>
  <si>
    <t xml:space="preserve">99</t>
  </si>
  <si>
    <t xml:space="preserve">1718590631</t>
  </si>
  <si>
    <t xml:space="preserve">11A</t>
  </si>
  <si>
    <t xml:space="preserve">MORÁN</t>
  </si>
  <si>
    <t xml:space="preserve">10803336Y</t>
  </si>
  <si>
    <t xml:space="preserve">BARRIO</t>
  </si>
  <si>
    <t xml:space="preserve">CIMADEVILLA Nº 160 QUINTES</t>
  </si>
  <si>
    <t xml:space="preserve">VILLAVICIOSA</t>
  </si>
  <si>
    <t xml:space="preserve">33314</t>
  </si>
  <si>
    <t xml:space="preserve">JAMF.QUINTES@GMAIL.COM </t>
  </si>
  <si>
    <t xml:space="preserve">11B</t>
  </si>
  <si>
    <t xml:space="preserve">MARÍA</t>
  </si>
  <si>
    <t xml:space="preserve">PANDO</t>
  </si>
  <si>
    <t xml:space="preserve">10806672F</t>
  </si>
  <si>
    <t xml:space="preserve">12A</t>
  </si>
  <si>
    <t xml:space="preserve">SOFIA</t>
  </si>
  <si>
    <t xml:space="preserve">PRADO</t>
  </si>
  <si>
    <t xml:space="preserve">COCAÑA</t>
  </si>
  <si>
    <t xml:space="preserve">53547246A</t>
  </si>
  <si>
    <t xml:space="preserve">RUTA DEL ALBA</t>
  </si>
  <si>
    <t xml:space="preserve">1º IZDA</t>
  </si>
  <si>
    <t xml:space="preserve">SOFIAPRADO85@GMAIL.COM</t>
  </si>
  <si>
    <t xml:space="preserve">13A</t>
  </si>
  <si>
    <t xml:space="preserve">NEMESIO ENRIQUE</t>
  </si>
  <si>
    <t xml:space="preserve">PARAJÓN</t>
  </si>
  <si>
    <t xml:space="preserve">SOLARES</t>
  </si>
  <si>
    <t xml:space="preserve">10820609Y</t>
  </si>
  <si>
    <t xml:space="preserve">SAN RAFAEL</t>
  </si>
  <si>
    <t xml:space="preserve">PARAJONENRIQUE@GMAIL.COM</t>
  </si>
  <si>
    <t xml:space="preserve">13B</t>
  </si>
  <si>
    <t xml:space="preserve">AMAYA</t>
  </si>
  <si>
    <t xml:space="preserve">ANTÓN</t>
  </si>
  <si>
    <t xml:space="preserve">PÉREZ</t>
  </si>
  <si>
    <t xml:space="preserve">10843192A</t>
  </si>
  <si>
    <t xml:space="preserve">13C</t>
  </si>
  <si>
    <t xml:space="preserve">ENRIQUE</t>
  </si>
  <si>
    <t xml:space="preserve">53775938Y</t>
  </si>
  <si>
    <t xml:space="preserve">14A</t>
  </si>
  <si>
    <t xml:space="preserve">ADRIAN</t>
  </si>
  <si>
    <t xml:space="preserve">ALONSO</t>
  </si>
  <si>
    <t xml:space="preserve">LORDA</t>
  </si>
  <si>
    <t xml:space="preserve">53506418T</t>
  </si>
  <si>
    <t xml:space="preserve">RIO ESVA</t>
  </si>
  <si>
    <t xml:space="preserve">PORTAL 5 BAJO A</t>
  </si>
  <si>
    <t xml:space="preserve">POLA DE SIERO</t>
  </si>
  <si>
    <t xml:space="preserve">ADRIALORDA@YAHOO.ES</t>
  </si>
  <si>
    <t xml:space="preserve">14B</t>
  </si>
  <si>
    <t xml:space="preserve">AINHOA </t>
  </si>
  <si>
    <t xml:space="preserve">CAMPO</t>
  </si>
  <si>
    <t xml:space="preserve">53527580W</t>
  </si>
  <si>
    <t xml:space="preserve">14C</t>
  </si>
  <si>
    <t xml:space="preserve">ASIER</t>
  </si>
  <si>
    <t xml:space="preserve">54305655X</t>
  </si>
  <si>
    <t xml:space="preserve">15A</t>
  </si>
  <si>
    <t xml:space="preserve">ADOLFO ANTONIO</t>
  </si>
  <si>
    <t xml:space="preserve">TRABANCO</t>
  </si>
  <si>
    <t xml:space="preserve">53534858N</t>
  </si>
  <si>
    <t xml:space="preserve">POLADURA</t>
  </si>
  <si>
    <t xml:space="preserve">7D</t>
  </si>
  <si>
    <t xml:space="preserve">SIERO</t>
  </si>
  <si>
    <t xml:space="preserve">ADOLFO.TRABANCO@GMAIL.COM</t>
  </si>
  <si>
    <t xml:space="preserve">15B</t>
  </si>
  <si>
    <t xml:space="preserve">ANA MARÍA</t>
  </si>
  <si>
    <t xml:space="preserve">PALACIOS</t>
  </si>
  <si>
    <t xml:space="preserve">JIMÉNEZ</t>
  </si>
  <si>
    <t xml:space="preserve">53550893Q</t>
  </si>
  <si>
    <t xml:space="preserve">15C</t>
  </si>
  <si>
    <t xml:space="preserve">ANDRES</t>
  </si>
  <si>
    <t xml:space="preserve">16A</t>
  </si>
  <si>
    <t xml:space="preserve">MARTA</t>
  </si>
  <si>
    <t xml:space="preserve">MARTÍNEZ</t>
  </si>
  <si>
    <t xml:space="preserve">09422854F</t>
  </si>
  <si>
    <t xml:space="preserve">GONZALEZ BESADA</t>
  </si>
  <si>
    <t xml:space="preserve">7º D</t>
  </si>
  <si>
    <t xml:space="preserve">OVIEDO</t>
  </si>
  <si>
    <t xml:space="preserve">MARTAFER3107@GMAIL.COM</t>
  </si>
  <si>
    <t xml:space="preserve">16B</t>
  </si>
  <si>
    <t xml:space="preserve">DAVID </t>
  </si>
  <si>
    <t xml:space="preserve">09409448X</t>
  </si>
  <si>
    <t xml:space="preserve">16C</t>
  </si>
  <si>
    <t xml:space="preserve">17A</t>
  </si>
  <si>
    <t xml:space="preserve">RODRÍGUEZ</t>
  </si>
  <si>
    <t xml:space="preserve">CUETO</t>
  </si>
  <si>
    <t xml:space="preserve">53529145A</t>
  </si>
  <si>
    <t xml:space="preserve">DE MOREDA</t>
  </si>
  <si>
    <t xml:space="preserve">1º C</t>
  </si>
  <si>
    <t xml:space="preserve">DAVIDYATUSABES84@GMAIL.COM</t>
  </si>
  <si>
    <t xml:space="preserve">18A</t>
  </si>
  <si>
    <t xml:space="preserve">BEGOÑA</t>
  </si>
  <si>
    <t xml:space="preserve">MARCOS</t>
  </si>
  <si>
    <t xml:space="preserve">10892763D</t>
  </si>
  <si>
    <t xml:space="preserve">CRTA.</t>
  </si>
  <si>
    <t xml:space="preserve">POZOS DE LA ARENA, 188 , DEVA</t>
  </si>
  <si>
    <t xml:space="preserve">BEGOMARSU@GMAIL.COM</t>
  </si>
  <si>
    <t xml:space="preserve">18B</t>
  </si>
  <si>
    <t xml:space="preserve">RAFAEL </t>
  </si>
  <si>
    <t xml:space="preserve">MENÉNDEZ</t>
  </si>
  <si>
    <t xml:space="preserve">9365177Z</t>
  </si>
  <si>
    <t xml:space="preserve">RAFAMDEZ123@GMAIL.COM</t>
  </si>
  <si>
    <t xml:space="preserve">18C</t>
  </si>
  <si>
    <t xml:space="preserve">SARA</t>
  </si>
  <si>
    <t xml:space="preserve">58445623R</t>
  </si>
  <si>
    <t xml:space="preserve">19A</t>
  </si>
  <si>
    <t xml:space="preserve">ALEJANDRO</t>
  </si>
  <si>
    <t xml:space="preserve">VALLINA</t>
  </si>
  <si>
    <t xml:space="preserve">76946299Y</t>
  </si>
  <si>
    <t xml:space="preserve">AVDA. ROCES</t>
  </si>
  <si>
    <t xml:space="preserve">4ºO</t>
  </si>
  <si>
    <t xml:space="preserve">ALEVALLI@HOTMAIL.ES</t>
  </si>
  <si>
    <t xml:space="preserve">20A</t>
  </si>
  <si>
    <t xml:space="preserve">LUIS ALBERTO</t>
  </si>
  <si>
    <t xml:space="preserve">10901147K</t>
  </si>
  <si>
    <t xml:space="preserve">CARRETERA VIZCAINA</t>
  </si>
  <si>
    <t xml:space="preserve">27 C</t>
  </si>
  <si>
    <t xml:space="preserve">LUIS.OTERO.FERNANDEZ@GMAIL.COM</t>
  </si>
  <si>
    <t xml:space="preserve">20B</t>
  </si>
  <si>
    <t xml:space="preserve">LORETO</t>
  </si>
  <si>
    <t xml:space="preserve">AVELLO</t>
  </si>
  <si>
    <t xml:space="preserve">FUERTES</t>
  </si>
  <si>
    <t xml:space="preserve">71643810Y</t>
  </si>
  <si>
    <t xml:space="preserve">21A</t>
  </si>
  <si>
    <t xml:space="preserve">JULIO  MANUEL</t>
  </si>
  <si>
    <t xml:space="preserve">ARROYO</t>
  </si>
  <si>
    <t xml:space="preserve">GALAN</t>
  </si>
  <si>
    <t xml:space="preserve">10802737M</t>
  </si>
  <si>
    <t xml:space="preserve">SAN PAULINO</t>
  </si>
  <si>
    <t xml:space="preserve">2º I</t>
  </si>
  <si>
    <t xml:space="preserve">JMAG1000@GMAIL.COM</t>
  </si>
  <si>
    <t xml:space="preserve">21B</t>
  </si>
  <si>
    <t xml:space="preserve">MARÍA LUISA</t>
  </si>
  <si>
    <t xml:space="preserve">JAIME</t>
  </si>
  <si>
    <t xml:space="preserve">PANTN</t>
  </si>
  <si>
    <t xml:space="preserve">10814734L</t>
  </si>
  <si>
    <t xml:space="preserve">22A</t>
  </si>
  <si>
    <t xml:space="preserve">ALAN</t>
  </si>
  <si>
    <t xml:space="preserve">53549079L</t>
  </si>
  <si>
    <t xml:space="preserve">ALAN@ZITRON.COM</t>
  </si>
  <si>
    <t xml:space="preserve">23A</t>
  </si>
  <si>
    <t xml:space="preserve">ASMA</t>
  </si>
  <si>
    <t xml:space="preserve">OUAZZANI</t>
  </si>
  <si>
    <t xml:space="preserve">TOUHAMI</t>
  </si>
  <si>
    <t xml:space="preserve">53780479Q</t>
  </si>
  <si>
    <t xml:space="preserve">EZCURDIA </t>
  </si>
  <si>
    <t xml:space="preserve">8G</t>
  </si>
  <si>
    <t xml:space="preserve">OUAZZANI@ZITRON.COM</t>
  </si>
  <si>
    <t xml:space="preserve">24A</t>
  </si>
  <si>
    <t xml:space="preserve">YUNLONG </t>
  </si>
  <si>
    <t xml:space="preserve">ZHAO</t>
  </si>
  <si>
    <t xml:space="preserve">X-1997427S</t>
  </si>
  <si>
    <t xml:space="preserve">LA PLAYA</t>
  </si>
  <si>
    <t xml:space="preserve">2º</t>
  </si>
  <si>
    <t xml:space="preserve">YLZTELECO@GMAIL.COM</t>
  </si>
  <si>
    <t xml:space="preserve">25A</t>
  </si>
  <si>
    <t xml:space="preserve">AVELINO</t>
  </si>
  <si>
    <t xml:space="preserve">DÍAZ</t>
  </si>
  <si>
    <t xml:space="preserve">CADIERNO</t>
  </si>
  <si>
    <t xml:space="preserve">76962633X</t>
  </si>
  <si>
    <t xml:space="preserve">LA ALEGRÍA</t>
  </si>
  <si>
    <t xml:space="preserve">AD.CADIERNO@GMAIL.COM</t>
  </si>
  <si>
    <t xml:space="preserve">25B</t>
  </si>
  <si>
    <t xml:space="preserve">TI@</t>
  </si>
  <si>
    <t xml:space="preserve">MARÍA GABRIELA</t>
  </si>
  <si>
    <t xml:space="preserve">FLOREZ</t>
  </si>
  <si>
    <t xml:space="preserve">09382294L</t>
  </si>
  <si>
    <t xml:space="preserve">GABRIELACADIERNOFLOREZ@HOTMAIL.COM</t>
  </si>
  <si>
    <t xml:space="preserve">25C</t>
  </si>
  <si>
    <t xml:space="preserve">10832926H</t>
  </si>
  <si>
    <t xml:space="preserve">26A</t>
  </si>
  <si>
    <t xml:space="preserve">ISAAC</t>
  </si>
  <si>
    <t xml:space="preserve">VILLAVERDE</t>
  </si>
  <si>
    <t xml:space="preserve">53532124S</t>
  </si>
  <si>
    <t xml:space="preserve">SAGRADO CORAZÓN</t>
  </si>
  <si>
    <t xml:space="preserve">3º</t>
  </si>
  <si>
    <t xml:space="preserve">ISAACVICU@GMAIL.COM</t>
  </si>
  <si>
    <t xml:space="preserve">27A</t>
  </si>
  <si>
    <t xml:space="preserve">VALDÉS</t>
  </si>
  <si>
    <t xml:space="preserve">URRACA</t>
  </si>
  <si>
    <t xml:space="preserve">71700924B</t>
  </si>
  <si>
    <t xml:space="preserve">FERNANDO VILLAAMIL</t>
  </si>
  <si>
    <t xml:space="preserve">2ºB</t>
  </si>
  <si>
    <t xml:space="preserve">DAVURRACA@HOTMAIL.COM</t>
  </si>
  <si>
    <t xml:space="preserve">ES26</t>
  </si>
  <si>
    <t xml:space="preserve">3035 </t>
  </si>
  <si>
    <t xml:space="preserve">0364</t>
  </si>
  <si>
    <t xml:space="preserve">31</t>
  </si>
  <si>
    <t xml:space="preserve">3640005433</t>
  </si>
  <si>
    <t xml:space="preserve">27B</t>
  </si>
  <si>
    <t xml:space="preserve">BEGOÑA </t>
  </si>
  <si>
    <t xml:space="preserve">53549948Z</t>
  </si>
  <si>
    <t xml:space="preserve">28A</t>
  </si>
  <si>
    <t xml:space="preserve">JORGE</t>
  </si>
  <si>
    <t xml:space="preserve">SIERRA</t>
  </si>
  <si>
    <t xml:space="preserve">BORBOLLA</t>
  </si>
  <si>
    <t xml:space="preserve">10900577A</t>
  </si>
  <si>
    <t xml:space="preserve">FONFRIA</t>
  </si>
  <si>
    <t xml:space="preserve">PEON</t>
  </si>
  <si>
    <t xml:space="preserve">XURDESIERRA@GMAIL.COM</t>
  </si>
  <si>
    <t xml:space="preserve">0330491600</t>
  </si>
  <si>
    <t xml:space="preserve">28B</t>
  </si>
  <si>
    <t xml:space="preserve">ALBA </t>
  </si>
  <si>
    <t xml:space="preserve">53528302B</t>
  </si>
  <si>
    <t xml:space="preserve">ALBUUX@GMAIL.COM</t>
  </si>
  <si>
    <t xml:space="preserve">29A</t>
  </si>
  <si>
    <t xml:space="preserve">IGNACIO</t>
  </si>
  <si>
    <t xml:space="preserve">VELASCO</t>
  </si>
  <si>
    <t xml:space="preserve">71625683A</t>
  </si>
  <si>
    <t xml:space="preserve">CAVEDA</t>
  </si>
  <si>
    <t xml:space="preserve">6º  I</t>
  </si>
  <si>
    <t xml:space="preserve">IVELASCO@ZITRON.COM</t>
  </si>
  <si>
    <t xml:space="preserve">29B</t>
  </si>
  <si>
    <t xml:space="preserve">ROSA MARÍA</t>
  </si>
  <si>
    <t xml:space="preserve">ROTELLA</t>
  </si>
  <si>
    <t xml:space="preserve">09363946W</t>
  </si>
  <si>
    <t xml:space="preserve">ROSA.PALACIOS27@GMAIL.COM</t>
  </si>
  <si>
    <t xml:space="preserve">29C</t>
  </si>
  <si>
    <t xml:space="preserve">LUCÍA</t>
  </si>
  <si>
    <t xml:space="preserve">53646876C</t>
  </si>
  <si>
    <t xml:space="preserve">LUCIA.FDEZ.PALACIOS@GMAIL.COM</t>
  </si>
  <si>
    <t xml:space="preserve">30A</t>
  </si>
  <si>
    <t xml:space="preserve">OUASSIM</t>
  </si>
  <si>
    <t xml:space="preserve">KHEYYALI</t>
  </si>
  <si>
    <t xml:space="preserve">X2925410V</t>
  </si>
  <si>
    <t xml:space="preserve">CENTRO 5C</t>
  </si>
  <si>
    <t xml:space="preserve">OUASSIM@ZITRON.COM</t>
  </si>
  <si>
    <t xml:space="preserve">30B</t>
  </si>
  <si>
    <t xml:space="preserve">REBECCA</t>
  </si>
  <si>
    <t xml:space="preserve">COLEMAN</t>
  </si>
  <si>
    <t xml:space="preserve">X9725309N</t>
  </si>
  <si>
    <t xml:space="preserve">30C</t>
  </si>
  <si>
    <t xml:space="preserve">BEN</t>
  </si>
  <si>
    <t xml:space="preserve">TRODD</t>
  </si>
  <si>
    <t xml:space="preserve">30D</t>
  </si>
  <si>
    <t xml:space="preserve">JOSHUA</t>
  </si>
  <si>
    <t xml:space="preserve">31A</t>
  </si>
  <si>
    <t xml:space="preserve">ANTONIO </t>
  </si>
  <si>
    <t xml:space="preserve">MORAIS SARMENTO </t>
  </si>
  <si>
    <t xml:space="preserve">XAVIER MADUREIRA</t>
  </si>
  <si>
    <t xml:space="preserve">Y2362420N</t>
  </si>
  <si>
    <t xml:space="preserve">MARGARITA SALAS</t>
  </si>
  <si>
    <t xml:space="preserve">4L</t>
  </si>
  <si>
    <t xml:space="preserve">ICAMADUREIRA@GMAIL.COM</t>
  </si>
  <si>
    <t xml:space="preserve">31B</t>
  </si>
  <si>
    <t xml:space="preserve">FERNÁNDEZ-ESCANDON</t>
  </si>
  <si>
    <t xml:space="preserve">NOSTI</t>
  </si>
  <si>
    <t xml:space="preserve">53554253H</t>
  </si>
  <si>
    <t xml:space="preserve">LUCIAESCANDON@GMAIL.COM</t>
  </si>
  <si>
    <t xml:space="preserve">31C</t>
  </si>
  <si>
    <t xml:space="preserve">INÊS</t>
  </si>
  <si>
    <t xml:space="preserve">MORAIS SARMENTO</t>
  </si>
  <si>
    <t xml:space="preserve">32A</t>
  </si>
  <si>
    <t xml:space="preserve">DIEGO</t>
  </si>
  <si>
    <t xml:space="preserve">PATALLO</t>
  </si>
  <si>
    <t xml:space="preserve">53648097E</t>
  </si>
  <si>
    <t xml:space="preserve">BALEARES</t>
  </si>
  <si>
    <t xml:space="preserve">5ºC</t>
  </si>
  <si>
    <t xml:space="preserve">DIEGO_PATALLO@ICLOUD.COM</t>
  </si>
  <si>
    <t xml:space="preserve">33A</t>
  </si>
  <si>
    <t xml:space="preserve">CORTINA</t>
  </si>
  <si>
    <t xml:space="preserve">53535124W</t>
  </si>
  <si>
    <t xml:space="preserve">JAPON</t>
  </si>
  <si>
    <t xml:space="preserve">3ºD</t>
  </si>
  <si>
    <t xml:space="preserve">ADRIAN.MENCOR@GMAIL.COM</t>
  </si>
  <si>
    <t xml:space="preserve">34A</t>
  </si>
  <si>
    <t xml:space="preserve">JUAN CARLOS</t>
  </si>
  <si>
    <t xml:space="preserve">ALONSO </t>
  </si>
  <si>
    <t xml:space="preserve">CANDANEDO</t>
  </si>
  <si>
    <t xml:space="preserve">09813820L</t>
  </si>
  <si>
    <t xml:space="preserve">TORNER</t>
  </si>
  <si>
    <t xml:space="preserve">PISO 2IZQ</t>
  </si>
  <si>
    <t xml:space="preserve">LUGONES</t>
  </si>
  <si>
    <t xml:space="preserve">ALONSCAND@GMAIL.COM</t>
  </si>
  <si>
    <t xml:space="preserve">34B</t>
  </si>
  <si>
    <t xml:space="preserve">JENNIFER</t>
  </si>
  <si>
    <t xml:space="preserve">DA SILVA</t>
  </si>
  <si>
    <t xml:space="preserve">CALLADO</t>
  </si>
  <si>
    <t xml:space="preserve">09815544X</t>
  </si>
  <si>
    <t xml:space="preserve">JENNYX_@HOTMAIL.COM</t>
  </si>
  <si>
    <t xml:space="preserve">34C</t>
  </si>
  <si>
    <t xml:space="preserve">PAULA</t>
  </si>
  <si>
    <t xml:space="preserve">35A</t>
  </si>
  <si>
    <t xml:space="preserve">JUSTO</t>
  </si>
  <si>
    <t xml:space="preserve">09388805K</t>
  </si>
  <si>
    <t xml:space="preserve">ANGEL MUÑIZ TOCA</t>
  </si>
  <si>
    <t xml:space="preserve">4ºB</t>
  </si>
  <si>
    <t xml:space="preserve">JUSTOSUAR@GMAIL.COM</t>
  </si>
  <si>
    <t xml:space="preserve">36A</t>
  </si>
  <si>
    <t xml:space="preserve">VICTORIA KATE</t>
  </si>
  <si>
    <t xml:space="preserve">TILLEY</t>
  </si>
  <si>
    <t xml:space="preserve">X8330031Y</t>
  </si>
  <si>
    <t xml:space="preserve">LA REGUERA</t>
  </si>
  <si>
    <t xml:space="preserve">LANGREO</t>
  </si>
  <si>
    <t xml:space="preserve">VKTILLEY33@GMAIL.COM</t>
  </si>
  <si>
    <t xml:space="preserve">36B</t>
  </si>
  <si>
    <t xml:space="preserve">JOSE IGNACIO</t>
  </si>
  <si>
    <t xml:space="preserve">ANTUÑA</t>
  </si>
  <si>
    <t xml:space="preserve">VALLÍN</t>
  </si>
  <si>
    <t xml:space="preserve">32886393G</t>
  </si>
  <si>
    <t xml:space="preserve">NACHO.CHOSS@GMAIL.COM</t>
  </si>
  <si>
    <t xml:space="preserve">37A</t>
  </si>
  <si>
    <t xml:space="preserve">ROSANA</t>
  </si>
  <si>
    <t xml:space="preserve">76951619J</t>
  </si>
  <si>
    <t xml:space="preserve">JUAN ANDRES SUAREZ GARCÍA</t>
  </si>
  <si>
    <t xml:space="preserve">ROSANA@ZITRON.COM</t>
  </si>
  <si>
    <t xml:space="preserve">37B</t>
  </si>
  <si>
    <t xml:space="preserve">FERNANDO</t>
  </si>
  <si>
    <t xml:space="preserve">76948964A</t>
  </si>
  <si>
    <t xml:space="preserve">FERNANDO.VALLINA@INGEMAS.COM</t>
  </si>
  <si>
    <t xml:space="preserve">37C</t>
  </si>
  <si>
    <t xml:space="preserve">MATEO</t>
  </si>
  <si>
    <t xml:space="preserve">VALLINA </t>
  </si>
  <si>
    <t xml:space="preserve">38A</t>
  </si>
  <si>
    <t xml:space="preserve">DOMÍNGUEZ</t>
  </si>
  <si>
    <t xml:space="preserve">10899776F</t>
  </si>
  <si>
    <t xml:space="preserve">PIÑERES</t>
  </si>
  <si>
    <t xml:space="preserve">CANDÁS</t>
  </si>
  <si>
    <t xml:space="preserve">ENRIQUE@ZITRON.COM</t>
  </si>
  <si>
    <t xml:space="preserve">38B</t>
  </si>
  <si>
    <t xml:space="preserve">HERNÁNDEZ</t>
  </si>
  <si>
    <t xml:space="preserve">10905206D</t>
  </si>
  <si>
    <t xml:space="preserve">ANAHDEZAYF@HOTMAIL.COM</t>
  </si>
  <si>
    <t xml:space="preserve">38C</t>
  </si>
  <si>
    <t xml:space="preserve">OLAYA</t>
  </si>
  <si>
    <t xml:space="preserve">58445867S</t>
  </si>
  <si>
    <t xml:space="preserve">39A</t>
  </si>
  <si>
    <t xml:space="preserve">FLOR</t>
  </si>
  <si>
    <t xml:space="preserve">71655521X</t>
  </si>
  <si>
    <t xml:space="preserve">GIL BLAS</t>
  </si>
  <si>
    <t xml:space="preserve">JORGE.FLORBLANCO@GMAIL.COM</t>
  </si>
  <si>
    <t xml:space="preserve">39B</t>
  </si>
  <si>
    <t xml:space="preserve">MÉNDEZ-LAIZ</t>
  </si>
  <si>
    <t xml:space="preserve">PENDÁS</t>
  </si>
  <si>
    <t xml:space="preserve">71651423Y</t>
  </si>
  <si>
    <t xml:space="preserve">IRE.LAIZ@GMAIL.COM</t>
  </si>
  <si>
    <t xml:space="preserve">40A</t>
  </si>
  <si>
    <t xml:space="preserve">BERNARDO</t>
  </si>
  <si>
    <t xml:space="preserve">DEL FUEYO</t>
  </si>
  <si>
    <t xml:space="preserve">10901389X</t>
  </si>
  <si>
    <t xml:space="preserve">ORAN</t>
  </si>
  <si>
    <t xml:space="preserve">3º J</t>
  </si>
  <si>
    <t xml:space="preserve">BERNAR2009@HOTMAIL.ES</t>
  </si>
  <si>
    <t xml:space="preserve">41A</t>
  </si>
  <si>
    <t xml:space="preserve">CAMACHO </t>
  </si>
  <si>
    <t xml:space="preserve">CABANILLAS</t>
  </si>
  <si>
    <t xml:space="preserve">02285218F</t>
  </si>
  <si>
    <t xml:space="preserve">TORDELILLOS</t>
  </si>
  <si>
    <t xml:space="preserve">2ºC</t>
  </si>
  <si>
    <t xml:space="preserve">MADRID</t>
  </si>
  <si>
    <t xml:space="preserve">DCAMACHO@ZITRON.COM</t>
  </si>
  <si>
    <t xml:space="preserve">42A</t>
  </si>
  <si>
    <t xml:space="preserve">EVA MARÍA</t>
  </si>
  <si>
    <t xml:space="preserve">MONTESERIN</t>
  </si>
  <si>
    <t xml:space="preserve">11082417M</t>
  </si>
  <si>
    <t xml:space="preserve">AVDA.</t>
  </si>
  <si>
    <t xml:space="preserve">DE LA COSTA</t>
  </si>
  <si>
    <t xml:space="preserve">9º IZQDA.</t>
  </si>
  <si>
    <t xml:space="preserve">EVAGMONTESERIN@GMAIL.COM</t>
  </si>
  <si>
    <t xml:space="preserve">ES60</t>
  </si>
  <si>
    <t xml:space="preserve">0136</t>
  </si>
  <si>
    <t xml:space="preserve">42B</t>
  </si>
  <si>
    <t xml:space="preserve">DANIELA</t>
  </si>
  <si>
    <t xml:space="preserve">58445027A</t>
  </si>
  <si>
    <t xml:space="preserve">43A</t>
  </si>
  <si>
    <t xml:space="preserve">S1</t>
  </si>
  <si>
    <t xml:space="preserve">LAURA</t>
  </si>
  <si>
    <t xml:space="preserve">FUEGO</t>
  </si>
  <si>
    <t xml:space="preserve">SAN FRANCISCO</t>
  </si>
  <si>
    <t xml:space="preserve">NIF </t>
  </si>
  <si>
    <t xml:space="preserve">53551160F</t>
  </si>
  <si>
    <t xml:space="preserve">11ºC</t>
  </si>
  <si>
    <t xml:space="preserve">LAURAFUEGO@GMAIL.COM</t>
  </si>
  <si>
    <t xml:space="preserve">0727</t>
  </si>
  <si>
    <t xml:space="preserve">43B</t>
  </si>
  <si>
    <t xml:space="preserve">MIGUEL ANGEL</t>
  </si>
  <si>
    <t xml:space="preserve">BARBES</t>
  </si>
  <si>
    <t xml:space="preserve">53546458C</t>
  </si>
  <si>
    <t xml:space="preserve">MABARBES@GMAIL.COM</t>
  </si>
  <si>
    <t xml:space="preserve">44A</t>
  </si>
  <si>
    <t xml:space="preserve">S6</t>
  </si>
  <si>
    <t xml:space="preserve">MARÍA ADELA</t>
  </si>
  <si>
    <t xml:space="preserve">BLANCO </t>
  </si>
  <si>
    <t xml:space="preserve">REDONDO</t>
  </si>
  <si>
    <t xml:space="preserve">10804183W</t>
  </si>
  <si>
    <t xml:space="preserve">LIMA</t>
  </si>
  <si>
    <t xml:space="preserve">3 IZDA</t>
  </si>
  <si>
    <t xml:space="preserve">ADELA.BLARED@GMAIL.COM</t>
  </si>
  <si>
    <t xml:space="preserve">ES43</t>
  </si>
  <si>
    <t xml:space="preserve">0019</t>
  </si>
  <si>
    <t xml:space="preserve">45A</t>
  </si>
  <si>
    <t xml:space="preserve">ELENA</t>
  </si>
  <si>
    <t xml:space="preserve">53537857K</t>
  </si>
  <si>
    <t xml:space="preserve">ELEFDEZBLANCO@GMAIL.COM</t>
  </si>
  <si>
    <t xml:space="preserve">0006033014</t>
  </si>
  <si>
    <t xml:space="preserve">46A</t>
  </si>
  <si>
    <t xml:space="preserve">53543369J</t>
  </si>
  <si>
    <t xml:space="preserve">AVDA</t>
  </si>
  <si>
    <t xml:space="preserve">ROCES</t>
  </si>
  <si>
    <t xml:space="preserve">4ºI</t>
  </si>
  <si>
    <t xml:space="preserve">LUGIJON@HOTMAIL.COM</t>
  </si>
  <si>
    <t xml:space="preserve">ES80</t>
  </si>
  <si>
    <t xml:space="preserve">46B</t>
  </si>
  <si>
    <t xml:space="preserve">VÍCTOR</t>
  </si>
  <si>
    <t xml:space="preserve">ESCANDÓN </t>
  </si>
  <si>
    <t xml:space="preserve">PRADA</t>
  </si>
  <si>
    <t xml:space="preserve">47A</t>
  </si>
  <si>
    <t xml:space="preserve">S14</t>
  </si>
  <si>
    <t xml:space="preserve">MANUEL A.</t>
  </si>
  <si>
    <t xml:space="preserve">RIONDA</t>
  </si>
  <si>
    <t xml:space="preserve">10809058R</t>
  </si>
  <si>
    <t xml:space="preserve">DANIEL MOYANO</t>
  </si>
  <si>
    <t xml:space="preserve">5º -D</t>
  </si>
  <si>
    <t xml:space="preserve">MMRIONDA@GMAIL.COM</t>
  </si>
  <si>
    <t xml:space="preserve">ES33</t>
  </si>
  <si>
    <t xml:space="preserve">0498</t>
  </si>
  <si>
    <t xml:space="preserve">0700015863</t>
  </si>
  <si>
    <t xml:space="preserve">47B</t>
  </si>
  <si>
    <t xml:space="preserve">MARÍA LUZ</t>
  </si>
  <si>
    <t xml:space="preserve">71624651Y</t>
  </si>
  <si>
    <t xml:space="preserve">48A</t>
  </si>
  <si>
    <t xml:space="preserve">09429949H</t>
  </si>
  <si>
    <t xml:space="preserve">MOLIN LA CASUCA</t>
  </si>
  <si>
    <t xml:space="preserve">5G</t>
  </si>
  <si>
    <t xml:space="preserve">FERMARCOS.FDEZ@GMAIL.COM </t>
  </si>
  <si>
    <t xml:space="preserve">ES88</t>
  </si>
  <si>
    <t xml:space="preserve">0182</t>
  </si>
  <si>
    <t xml:space="preserve">0201536818</t>
  </si>
  <si>
    <t xml:space="preserve">49A</t>
  </si>
  <si>
    <t xml:space="preserve">S2</t>
  </si>
  <si>
    <t xml:space="preserve">ANGEL</t>
  </si>
  <si>
    <t xml:space="preserve">MONASTERIO</t>
  </si>
  <si>
    <t xml:space="preserve">BENÍTEZ</t>
  </si>
  <si>
    <t xml:space="preserve">10841506 L</t>
  </si>
  <si>
    <t xml:space="preserve">AV</t>
  </si>
  <si>
    <t xml:space="preserve">HNOS.FELGUEROSO</t>
  </si>
  <si>
    <t xml:space="preserve">13-8B</t>
  </si>
  <si>
    <t xml:space="preserve">ANMOBEN@YAHOO.ES</t>
  </si>
  <si>
    <t xml:space="preserve">ES11</t>
  </si>
  <si>
    <t xml:space="preserve">0200044654</t>
  </si>
  <si>
    <t xml:space="preserve">49B</t>
  </si>
  <si>
    <t xml:space="preserve">CARMEN </t>
  </si>
  <si>
    <t xml:space="preserve">GLEZ</t>
  </si>
  <si>
    <t xml:space="preserve">10864430N</t>
  </si>
  <si>
    <t xml:space="preserve">50A</t>
  </si>
  <si>
    <t xml:space="preserve">S3</t>
  </si>
  <si>
    <t xml:space="preserve">IGNACIO </t>
  </si>
  <si>
    <t xml:space="preserve">RIVERO</t>
  </si>
  <si>
    <t xml:space="preserve">09779352M</t>
  </si>
  <si>
    <t xml:space="preserve">AV.</t>
  </si>
  <si>
    <t xml:space="preserve">1ºH</t>
  </si>
  <si>
    <t xml:space="preserve">IGNACIORIVEROFDEZ@GMAIL.COM</t>
  </si>
  <si>
    <t xml:space="preserve">ES21</t>
  </si>
  <si>
    <t xml:space="preserve">51A</t>
  </si>
  <si>
    <t xml:space="preserve">JOSÉ JAVIER</t>
  </si>
  <si>
    <t xml:space="preserve">LARRACELETA</t>
  </si>
  <si>
    <t xml:space="preserve">09404523F</t>
  </si>
  <si>
    <t xml:space="preserve">GANADEROS ASTURIANOS</t>
  </si>
  <si>
    <t xml:space="preserve">4º A</t>
  </si>
  <si>
    <t xml:space="preserve">JJALARRA@YAHOO.ES</t>
  </si>
  <si>
    <t xml:space="preserve">ES28</t>
  </si>
  <si>
    <t xml:space="preserve">0030</t>
  </si>
  <si>
    <t xml:space="preserve">0003042271</t>
  </si>
  <si>
    <t xml:space="preserve">52A</t>
  </si>
  <si>
    <t xml:space="preserve">S10</t>
  </si>
  <si>
    <t xml:space="preserve">SANTIAGO </t>
  </si>
  <si>
    <t xml:space="preserve">LOBO </t>
  </si>
  <si>
    <t xml:space="preserve">71764557A</t>
  </si>
  <si>
    <t xml:space="preserve">SANTIAGODLOBO@GMAIL.COM</t>
  </si>
  <si>
    <t xml:space="preserve">ES66</t>
  </si>
  <si>
    <t xml:space="preserve">0134</t>
  </si>
  <si>
    <t xml:space="preserve">53A</t>
  </si>
  <si>
    <t xml:space="preserve">HECTOR ERADIO</t>
  </si>
  <si>
    <t xml:space="preserve">10891588F</t>
  </si>
  <si>
    <t xml:space="preserve">DONOSO CORTES</t>
  </si>
  <si>
    <t xml:space="preserve">4-C</t>
  </si>
  <si>
    <t xml:space="preserve">HECTOR.ERADIO@GMAIL.COM</t>
  </si>
  <si>
    <t xml:space="preserve">ES20</t>
  </si>
  <si>
    <t xml:space="preserve">0117</t>
  </si>
  <si>
    <t xml:space="preserve">54A</t>
  </si>
  <si>
    <t xml:space="preserve">AMELIA</t>
  </si>
  <si>
    <t xml:space="preserve">PRESA</t>
  </si>
  <si>
    <t xml:space="preserve">10576839J</t>
  </si>
  <si>
    <t xml:space="preserve">ES42</t>
  </si>
  <si>
    <t xml:space="preserve">0100195469</t>
  </si>
  <si>
    <t xml:space="preserve">55A</t>
  </si>
  <si>
    <t xml:space="preserve">ANA PILAR</t>
  </si>
  <si>
    <t xml:space="preserve">MALNERO</t>
  </si>
  <si>
    <t xml:space="preserve">10867887L</t>
  </si>
  <si>
    <t xml:space="preserve">HORACIO FERNÁNDEZ INGUANZO</t>
  </si>
  <si>
    <t xml:space="preserve">ANAMALNERO1969@GMAIL.COM</t>
  </si>
  <si>
    <t xml:space="preserve">ES37</t>
  </si>
  <si>
    <t xml:space="preserve">0330</t>
  </si>
  <si>
    <t xml:space="preserve">55B</t>
  </si>
  <si>
    <t xml:space="preserve">LUIS LEANDRO</t>
  </si>
  <si>
    <t xml:space="preserve">MILLÁN </t>
  </si>
  <si>
    <t xml:space="preserve">10885354Y</t>
  </si>
  <si>
    <t xml:space="preserve">LAVOISIN1973@GMAIL.COM</t>
  </si>
  <si>
    <t xml:space="preserve">55C</t>
  </si>
  <si>
    <t xml:space="preserve">CECILIA</t>
  </si>
  <si>
    <t xml:space="preserve">58448546A</t>
  </si>
  <si>
    <t xml:space="preserve">56A</t>
  </si>
  <si>
    <t xml:space="preserve">RAFAEL</t>
  </si>
  <si>
    <t xml:space="preserve">MARTÍN</t>
  </si>
  <si>
    <t xml:space="preserve">3410321L</t>
  </si>
  <si>
    <t xml:space="preserve">C/</t>
  </si>
  <si>
    <t xml:space="preserve">EZCURDIA</t>
  </si>
  <si>
    <t xml:space="preserve">1ºB</t>
  </si>
  <si>
    <t xml:space="preserve">LOZOYAMX@GMAIL.COM</t>
  </si>
  <si>
    <t xml:space="preserve">ES79</t>
  </si>
  <si>
    <t xml:space="preserve">0001006704</t>
  </si>
  <si>
    <t xml:space="preserve">56B</t>
  </si>
  <si>
    <t xml:space="preserve">MERCEDES</t>
  </si>
  <si>
    <t xml:space="preserve">ARRIBAS</t>
  </si>
  <si>
    <t xml:space="preserve">3415832X</t>
  </si>
  <si>
    <t xml:space="preserve">MERCEVAK@TELECABLE.ES</t>
  </si>
  <si>
    <t xml:space="preserve">57A</t>
  </si>
  <si>
    <t xml:space="preserve">FRANCISCO</t>
  </si>
  <si>
    <t xml:space="preserve">71503106Q</t>
  </si>
  <si>
    <t xml:space="preserve">JOSE REMIS OVALLE</t>
  </si>
  <si>
    <t xml:space="preserve">3ºF</t>
  </si>
  <si>
    <t xml:space="preserve">FRANGGARCI@HOTMAIL.COM</t>
  </si>
  <si>
    <t xml:space="preserve">ES04</t>
  </si>
  <si>
    <t xml:space="preserve">00</t>
  </si>
  <si>
    <t xml:space="preserve">0001061511</t>
  </si>
  <si>
    <t xml:space="preserve">57B</t>
  </si>
  <si>
    <t xml:space="preserve">CRISTINA</t>
  </si>
  <si>
    <t xml:space="preserve">BELLO</t>
  </si>
  <si>
    <t xml:space="preserve">DÍEZ</t>
  </si>
  <si>
    <t xml:space="preserve">44426522K</t>
  </si>
  <si>
    <t xml:space="preserve">CRISBELLOD@HOTMAIL.COM</t>
  </si>
  <si>
    <t xml:space="preserve">57C</t>
  </si>
  <si>
    <t xml:space="preserve">58A</t>
  </si>
  <si>
    <t xml:space="preserve">ZITRON JUB</t>
  </si>
  <si>
    <t xml:space="preserve">JORGE LUIS </t>
  </si>
  <si>
    <t xml:space="preserve">10806440M</t>
  </si>
  <si>
    <t xml:space="preserve">PUEBLO</t>
  </si>
  <si>
    <t xml:space="preserve">SAN JUAN DEL OBISPO</t>
  </si>
  <si>
    <t xml:space="preserve">MERES(SIERO)</t>
  </si>
  <si>
    <t xml:space="preserve">0120</t>
  </si>
  <si>
    <t xml:space="preserve">05</t>
  </si>
  <si>
    <t xml:space="preserve">58B</t>
  </si>
  <si>
    <t xml:space="preserve">MARÍA ANTONIA</t>
  </si>
  <si>
    <t xml:space="preserve">LORDA </t>
  </si>
  <si>
    <t xml:space="preserve">10580042L</t>
  </si>
  <si>
    <t xml:space="preserve">59A</t>
  </si>
  <si>
    <t xml:space="preserve">MARÍA CARMEN</t>
  </si>
  <si>
    <t xml:space="preserve">10563894V</t>
  </si>
  <si>
    <t xml:space="preserve">ROSALIA DE CASTRO</t>
  </si>
  <si>
    <t xml:space="preserve">ES02</t>
  </si>
  <si>
    <t xml:space="preserve">0001379845</t>
  </si>
  <si>
    <t xml:space="preserve">59B</t>
  </si>
  <si>
    <t xml:space="preserve">MARIO </t>
  </si>
  <si>
    <t xml:space="preserve">VILLADEMOROS</t>
  </si>
  <si>
    <t xml:space="preserve">71849510V</t>
  </si>
  <si>
    <t xml:space="preserve">60A</t>
  </si>
  <si>
    <t xml:space="preserve">MARÍA TERESA</t>
  </si>
  <si>
    <t xml:space="preserve">10821803G</t>
  </si>
  <si>
    <t xml:space="preserve">JUAN CARLOS I</t>
  </si>
  <si>
    <t xml:space="preserve">10ºP</t>
  </si>
  <si>
    <t xml:space="preserve">0001137418</t>
  </si>
  <si>
    <t xml:space="preserve">EVA LARA</t>
  </si>
  <si>
    <t xml:space="preserve">53675517A</t>
  </si>
  <si>
    <t xml:space="preserve">61A</t>
  </si>
  <si>
    <t xml:space="preserve">S15</t>
  </si>
  <si>
    <t xml:space="preserve">NOELIA MARÍA</t>
  </si>
  <si>
    <t xml:space="preserve">53529456S</t>
  </si>
  <si>
    <t xml:space="preserve">CL</t>
  </si>
  <si>
    <t xml:space="preserve">AMPURDAN</t>
  </si>
  <si>
    <t xml:space="preserve">5ºD</t>
  </si>
  <si>
    <t xml:space="preserve">NOFERTRA@HOTMAIL.COM</t>
  </si>
  <si>
    <t xml:space="preserve">ES68</t>
  </si>
  <si>
    <t xml:space="preserve">0006418548</t>
  </si>
  <si>
    <t xml:space="preserve">62A</t>
  </si>
  <si>
    <t xml:space="preserve">JOSÉ LUIS</t>
  </si>
  <si>
    <t xml:space="preserve">ASPIROZ</t>
  </si>
  <si>
    <t xml:space="preserve">MELCÓN</t>
  </si>
  <si>
    <t xml:space="preserve">10806574R</t>
  </si>
  <si>
    <t xml:space="preserve">CERIÑOLA</t>
  </si>
  <si>
    <t xml:space="preserve">3ºB</t>
  </si>
  <si>
    <t xml:space="preserve">ASPIMEL@GMAIL.COM</t>
  </si>
  <si>
    <t xml:space="preserve">ES64</t>
  </si>
  <si>
    <t xml:space="preserve">0028</t>
  </si>
  <si>
    <t xml:space="preserve">63A</t>
  </si>
  <si>
    <t xml:space="preserve">NOEMÍ</t>
  </si>
  <si>
    <t xml:space="preserve">53537322S</t>
  </si>
  <si>
    <t xml:space="preserve">ARQUITECTO MARÍANO MEDARDE</t>
  </si>
  <si>
    <t xml:space="preserve">1 C</t>
  </si>
  <si>
    <t xml:space="preserve">NOEMIDE6@GMAIL.COM</t>
  </si>
  <si>
    <t xml:space="preserve">ES56</t>
  </si>
  <si>
    <t xml:space="preserve">64A</t>
  </si>
  <si>
    <t xml:space="preserve">ANT2011</t>
  </si>
  <si>
    <t xml:space="preserve">LUIS JAVIER</t>
  </si>
  <si>
    <t xml:space="preserve">53527470F</t>
  </si>
  <si>
    <t xml:space="preserve">GREGORIO MARAÑON</t>
  </si>
  <si>
    <t xml:space="preserve">4</t>
  </si>
  <si>
    <t xml:space="preserve">1 D</t>
  </si>
  <si>
    <t xml:space="preserve">33203</t>
  </si>
  <si>
    <t xml:space="preserve">LUISJA@ZITRON.COM</t>
  </si>
  <si>
    <t xml:space="preserve">ES94</t>
  </si>
  <si>
    <t xml:space="preserve">0602</t>
  </si>
  <si>
    <t xml:space="preserve">0208556745</t>
  </si>
  <si>
    <t xml:space="preserve">65A</t>
  </si>
  <si>
    <t xml:space="preserve">COVADONGA</t>
  </si>
  <si>
    <t xml:space="preserve">9412172C</t>
  </si>
  <si>
    <t xml:space="preserve">ALBÉNIZ</t>
  </si>
  <si>
    <t xml:space="preserve">COVITIN@HOTMAIL.COM</t>
  </si>
  <si>
    <t xml:space="preserve">ES73</t>
  </si>
  <si>
    <t xml:space="preserve">06</t>
  </si>
  <si>
    <t xml:space="preserve">0330276607</t>
  </si>
  <si>
    <t xml:space="preserve">66A</t>
  </si>
  <si>
    <t xml:space="preserve">JUAN JESÚS</t>
  </si>
  <si>
    <t xml:space="preserve">10468899N</t>
  </si>
  <si>
    <t xml:space="preserve">ES55</t>
  </si>
  <si>
    <t xml:space="preserve">0077</t>
  </si>
  <si>
    <t xml:space="preserve">67A</t>
  </si>
  <si>
    <t xml:space="preserve">LAURA ESPERANZA</t>
  </si>
  <si>
    <t xml:space="preserve">9439300P</t>
  </si>
  <si>
    <t xml:space="preserve">3ºA</t>
  </si>
  <si>
    <t xml:space="preserve">LMR4765@ICAOVIEDO.ES</t>
  </si>
  <si>
    <t xml:space="preserve">ES46</t>
  </si>
  <si>
    <t xml:space="preserve">ES89 3059 0001 1328 8609 0022 </t>
  </si>
  <si>
    <t xml:space="preserve">68A</t>
  </si>
  <si>
    <t xml:space="preserve">10900827T</t>
  </si>
  <si>
    <t xml:space="preserve">LOS MIRACALES, CARBAYIN BAJO (STA. MARTA)</t>
  </si>
  <si>
    <t xml:space="preserve">A</t>
  </si>
  <si>
    <t xml:space="preserve">JAVIMA666@GMAIL.COM</t>
  </si>
  <si>
    <t xml:space="preserve">0096</t>
  </si>
  <si>
    <t xml:space="preserve">68B</t>
  </si>
  <si>
    <t xml:space="preserve">LORENZO</t>
  </si>
  <si>
    <t xml:space="preserve">VÁZQUEZ</t>
  </si>
  <si>
    <t xml:space="preserve">10876142V</t>
  </si>
  <si>
    <t xml:space="preserve">69A</t>
  </si>
  <si>
    <t xml:space="preserve">S16</t>
  </si>
  <si>
    <t xml:space="preserve">ANGELES</t>
  </si>
  <si>
    <t xml:space="preserve">GUERRA</t>
  </si>
  <si>
    <t xml:space="preserve">11349800J</t>
  </si>
  <si>
    <t xml:space="preserve">PEREZ DE LA SALA </t>
  </si>
  <si>
    <t xml:space="preserve">ESC A 1º C</t>
  </si>
  <si>
    <t xml:space="preserve">0360</t>
  </si>
  <si>
    <t xml:space="preserve">70A</t>
  </si>
  <si>
    <t xml:space="preserve">RAMONA</t>
  </si>
  <si>
    <t xml:space="preserve">11316542J</t>
  </si>
  <si>
    <t xml:space="preserve">ARGÜELLES </t>
  </si>
  <si>
    <t xml:space="preserve">3º F</t>
  </si>
  <si>
    <t xml:space="preserve">0007510960</t>
  </si>
  <si>
    <t xml:space="preserve">70B</t>
  </si>
  <si>
    <t xml:space="preserve">ROSARIO </t>
  </si>
  <si>
    <t xml:space="preserve">11316563B</t>
  </si>
  <si>
    <t xml:space="preserve">71A</t>
  </si>
  <si>
    <t xml:space="preserve">DELFIN</t>
  </si>
  <si>
    <t xml:space="preserve">RIESGO</t>
  </si>
  <si>
    <t xml:space="preserve">10892023M</t>
  </si>
  <si>
    <t xml:space="preserve">PANADES</t>
  </si>
  <si>
    <t xml:space="preserve">2ºA</t>
  </si>
  <si>
    <t xml:space="preserve">ES57</t>
  </si>
  <si>
    <t xml:space="preserve">0387271273</t>
  </si>
  <si>
    <t xml:space="preserve">71B</t>
  </si>
  <si>
    <t xml:space="preserve">PENDAS</t>
  </si>
  <si>
    <t xml:space="preserve">10885859M</t>
  </si>
  <si>
    <t xml:space="preserve">PATRICIAPENMAR@HOTMAIL.ES</t>
  </si>
  <si>
    <t xml:space="preserve">71C</t>
  </si>
  <si>
    <t xml:space="preserve">DANA</t>
  </si>
  <si>
    <t xml:space="preserve">58432903T</t>
  </si>
  <si>
    <t xml:space="preserve">72A</t>
  </si>
  <si>
    <t xml:space="preserve">NAYARA</t>
  </si>
  <si>
    <t xml:space="preserve">53647653S</t>
  </si>
  <si>
    <t xml:space="preserve">PICASSO</t>
  </si>
  <si>
    <t xml:space="preserve">5ºIZ</t>
  </si>
  <si>
    <t xml:space="preserve">NAYARAMS1987@GMAIL.COM</t>
  </si>
  <si>
    <t xml:space="preserve">ES23</t>
  </si>
  <si>
    <t xml:space="preserve">73A</t>
  </si>
  <si>
    <t xml:space="preserve">10545709W</t>
  </si>
  <si>
    <t xml:space="preserve">1º B</t>
  </si>
  <si>
    <t xml:space="preserve">MARISAFERVAL@GMAIL.COM</t>
  </si>
  <si>
    <t xml:space="preserve">ES18</t>
  </si>
  <si>
    <t xml:space="preserve">73B</t>
  </si>
  <si>
    <t xml:space="preserve">9711115D</t>
  </si>
  <si>
    <t xml:space="preserve">73C</t>
  </si>
  <si>
    <t xml:space="preserve">76959478 Y</t>
  </si>
  <si>
    <t xml:space="preserve">74A</t>
  </si>
  <si>
    <t xml:space="preserve">ZITRON DPL</t>
  </si>
  <si>
    <t xml:space="preserve">CARLOS</t>
  </si>
  <si>
    <t xml:space="preserve">53536737M</t>
  </si>
  <si>
    <t xml:space="preserve">MARQUES DE URQUIJO</t>
  </si>
  <si>
    <t xml:space="preserve">CARLOSASTUR11@GMAIL.COM</t>
  </si>
  <si>
    <t xml:space="preserve">ES78</t>
  </si>
  <si>
    <t xml:space="preserve">0201559627</t>
  </si>
  <si>
    <t xml:space="preserve">74B</t>
  </si>
  <si>
    <t xml:space="preserve">ANDRES </t>
  </si>
  <si>
    <t xml:space="preserve">10763646Z</t>
  </si>
  <si>
    <t xml:space="preserve">74C</t>
  </si>
  <si>
    <t xml:space="preserve">MARÍA DEL MAR</t>
  </si>
  <si>
    <t xml:space="preserve">ANIA</t>
  </si>
  <si>
    <t xml:space="preserve">71692121V</t>
  </si>
  <si>
    <t xml:space="preserve">75A</t>
  </si>
  <si>
    <t xml:space="preserve">VILLAR</t>
  </si>
  <si>
    <t xml:space="preserve">71646736B</t>
  </si>
  <si>
    <t xml:space="preserve">CABO PEÑAS</t>
  </si>
  <si>
    <t xml:space="preserve">6ª P6</t>
  </si>
  <si>
    <t xml:space="preserve">JMVCOKE@HOTMAIL.COM</t>
  </si>
  <si>
    <t xml:space="preserve">0100137009</t>
  </si>
  <si>
    <t xml:space="preserve">76A</t>
  </si>
  <si>
    <t xml:space="preserve">09429950L</t>
  </si>
  <si>
    <t xml:space="preserve">PASEO</t>
  </si>
  <si>
    <t xml:space="preserve">DE LA FLORIDA </t>
  </si>
  <si>
    <t xml:space="preserve">4ºA</t>
  </si>
  <si>
    <t xml:space="preserve">MARMARF2@GMAIL.COM</t>
  </si>
  <si>
    <t xml:space="preserve">ES74</t>
  </si>
  <si>
    <t xml:space="preserve">0051</t>
  </si>
  <si>
    <t xml:space="preserve">76B</t>
  </si>
  <si>
    <t xml:space="preserve">ROSA</t>
  </si>
  <si>
    <t xml:space="preserve">09425388B</t>
  </si>
  <si>
    <t xml:space="preserve">76C</t>
  </si>
  <si>
    <t xml:space="preserve">77A</t>
  </si>
  <si>
    <t xml:space="preserve">09809366G</t>
  </si>
  <si>
    <t xml:space="preserve">EL SABINAR</t>
  </si>
  <si>
    <t xml:space="preserve">5ºA</t>
  </si>
  <si>
    <t xml:space="preserve">LEÓN</t>
  </si>
  <si>
    <t xml:space="preserve">SUSU152@HOTMAIL.ES</t>
  </si>
  <si>
    <t xml:space="preserve">ES05</t>
  </si>
  <si>
    <t xml:space="preserve">0201689878</t>
  </si>
  <si>
    <t xml:space="preserve">78A</t>
  </si>
  <si>
    <t xml:space="preserve">JOSÉ DANIEL</t>
  </si>
  <si>
    <t xml:space="preserve">71594645S</t>
  </si>
  <si>
    <t xml:space="preserve">JUAN ALVARGONZALEZ</t>
  </si>
  <si>
    <t xml:space="preserve">12ºB</t>
  </si>
  <si>
    <t xml:space="preserve">JDANIELSUAREZGARCIA@GMAIL.COM </t>
  </si>
  <si>
    <t xml:space="preserve">ES86</t>
  </si>
  <si>
    <t xml:space="preserve">0142</t>
  </si>
  <si>
    <t xml:space="preserve">78B</t>
  </si>
  <si>
    <t xml:space="preserve">10826637P</t>
  </si>
  <si>
    <t xml:space="preserve">79A</t>
  </si>
  <si>
    <t xml:space="preserve">JOSÉ GABRIEL</t>
  </si>
  <si>
    <t xml:space="preserve">10865788J</t>
  </si>
  <si>
    <t xml:space="preserve">CUSTODIA</t>
  </si>
  <si>
    <t xml:space="preserve">GABROALDI@GMAIL.COM</t>
  </si>
  <si>
    <t xml:space="preserve">ES71</t>
  </si>
  <si>
    <t xml:space="preserve">0365</t>
  </si>
  <si>
    <t xml:space="preserve">79B</t>
  </si>
  <si>
    <t xml:space="preserve">NATALIA</t>
  </si>
  <si>
    <t xml:space="preserve">BIBIANO</t>
  </si>
  <si>
    <t xml:space="preserve">FUEYO</t>
  </si>
  <si>
    <t xml:space="preserve">10903564T</t>
  </si>
  <si>
    <t xml:space="preserve">79C</t>
  </si>
  <si>
    <t xml:space="preserve">58456315K</t>
  </si>
  <si>
    <t xml:space="preserve">80A</t>
  </si>
  <si>
    <t xml:space="preserve">SORIANO</t>
  </si>
  <si>
    <t xml:space="preserve">10857676C</t>
  </si>
  <si>
    <t xml:space="preserve">JUANIN DE MIERES</t>
  </si>
  <si>
    <t xml:space="preserve">5ºE</t>
  </si>
  <si>
    <t xml:space="preserve">LAASTURIANA37@HOTMAIL.COM</t>
  </si>
  <si>
    <t xml:space="preserve">ES47</t>
  </si>
  <si>
    <t xml:space="preserve">0100087632</t>
  </si>
  <si>
    <t xml:space="preserve">80B</t>
  </si>
  <si>
    <t xml:space="preserve">ANTONIO</t>
  </si>
  <si>
    <t xml:space="preserve">VALLE</t>
  </si>
  <si>
    <t xml:space="preserve">AGUILAR</t>
  </si>
  <si>
    <t xml:space="preserve">73383647P</t>
  </si>
  <si>
    <t xml:space="preserve">80C</t>
  </si>
  <si>
    <t xml:space="preserve">20480401M</t>
  </si>
  <si>
    <t xml:space="preserve">81A</t>
  </si>
  <si>
    <t xml:space="preserve">ALEJANDRA</t>
  </si>
  <si>
    <t xml:space="preserve">TRAVIESA</t>
  </si>
  <si>
    <t xml:space="preserve">71641207W</t>
  </si>
  <si>
    <t xml:space="preserve">SOR JUANA INES DE LA CRUZ</t>
  </si>
  <si>
    <t xml:space="preserve">2 D</t>
  </si>
  <si>
    <t xml:space="preserve">BRICIA1977@GMAIL.COM</t>
  </si>
  <si>
    <t xml:space="preserve">5665</t>
  </si>
  <si>
    <t xml:space="preserve">25</t>
  </si>
  <si>
    <t xml:space="preserve">0001109015</t>
  </si>
  <si>
    <t xml:space="preserve">82A</t>
  </si>
  <si>
    <t xml:space="preserve">FRANCISCO JOSÉ</t>
  </si>
  <si>
    <t xml:space="preserve">BARROS</t>
  </si>
  <si>
    <t xml:space="preserve">11071222B</t>
  </si>
  <si>
    <t xml:space="preserve">SANTA CRISTINA</t>
  </si>
  <si>
    <t xml:space="preserve">1º IZQ.</t>
  </si>
  <si>
    <t xml:space="preserve">POLA DE LENA</t>
  </si>
  <si>
    <t xml:space="preserve">FBARROSPALACIOS@GMAIL.COM</t>
  </si>
  <si>
    <t xml:space="preserve">0031</t>
  </si>
  <si>
    <t xml:space="preserve">82B</t>
  </si>
  <si>
    <t xml:space="preserve">LIDIA</t>
  </si>
  <si>
    <t xml:space="preserve">FARPÓN</t>
  </si>
  <si>
    <t xml:space="preserve">11075890X</t>
  </si>
  <si>
    <t xml:space="preserve">83A</t>
  </si>
  <si>
    <t xml:space="preserve">CARMEN</t>
  </si>
  <si>
    <t xml:space="preserve">LÓPEZ</t>
  </si>
  <si>
    <t xml:space="preserve">9414719Z</t>
  </si>
  <si>
    <t xml:space="preserve">ARZOBISPO LAUZURICA</t>
  </si>
  <si>
    <t xml:space="preserve">3ºDCHA</t>
  </si>
  <si>
    <t xml:space="preserve">CARMEN@GRUPOINDECO.ES</t>
  </si>
  <si>
    <t xml:space="preserve">ES77</t>
  </si>
  <si>
    <t xml:space="preserve">0076</t>
  </si>
  <si>
    <t xml:space="preserve">07</t>
  </si>
  <si>
    <t xml:space="preserve">84A</t>
  </si>
  <si>
    <t xml:space="preserve">RAQUEL</t>
  </si>
  <si>
    <t xml:space="preserve">ROJO</t>
  </si>
  <si>
    <t xml:space="preserve">53540850R</t>
  </si>
  <si>
    <t xml:space="preserve">MAR CANTABRICO</t>
  </si>
  <si>
    <t xml:space="preserve">RASIDRI@HOTMAIL.COM</t>
  </si>
  <si>
    <t xml:space="preserve">ES85</t>
  </si>
  <si>
    <t xml:space="preserve">0106</t>
  </si>
  <si>
    <t xml:space="preserve">85A</t>
  </si>
  <si>
    <t xml:space="preserve">S83</t>
  </si>
  <si>
    <t xml:space="preserve">RUISANCHEZ</t>
  </si>
  <si>
    <t xml:space="preserve">9399703V</t>
  </si>
  <si>
    <t xml:space="preserve">(LOCALIDAD)</t>
  </si>
  <si>
    <t xml:space="preserve">RIENSENA</t>
  </si>
  <si>
    <t xml:space="preserve">NUEVA,  LLANES</t>
  </si>
  <si>
    <t xml:space="preserve">639 29 25 58</t>
  </si>
  <si>
    <t xml:space="preserve">CARMENGEMELOS@TELECABLE.ES</t>
  </si>
  <si>
    <t xml:space="preserve">ES31</t>
  </si>
  <si>
    <t xml:space="preserve">86A</t>
  </si>
  <si>
    <t xml:space="preserve">GUTIÉRREZ</t>
  </si>
  <si>
    <t xml:space="preserve">SECADES</t>
  </si>
  <si>
    <t xml:space="preserve">11420374T</t>
  </si>
  <si>
    <t xml:space="preserve">CARRETERA DE RUBIN</t>
  </si>
  <si>
    <t xml:space="preserve">SADAJCMA@YAHOO.ES</t>
  </si>
  <si>
    <t xml:space="preserve">87A</t>
  </si>
  <si>
    <t xml:space="preserve">ROBERTO</t>
  </si>
  <si>
    <t xml:space="preserve">71701721A</t>
  </si>
  <si>
    <t xml:space="preserve">SIERRA@AST-INGENIERIA.COM</t>
  </si>
  <si>
    <t xml:space="preserve">0006233936</t>
  </si>
  <si>
    <t xml:space="preserve">87B</t>
  </si>
  <si>
    <t xml:space="preserve">JUNCAL</t>
  </si>
  <si>
    <t xml:space="preserve">GUERRERO</t>
  </si>
  <si>
    <t xml:space="preserve">MUÑOZ</t>
  </si>
  <si>
    <t xml:space="preserve">71701350T</t>
  </si>
  <si>
    <t xml:space="preserve">87C</t>
  </si>
  <si>
    <t xml:space="preserve">ALEJANDRO </t>
  </si>
  <si>
    <t xml:space="preserve">88A</t>
  </si>
  <si>
    <t xml:space="preserve">SANTIAGO</t>
  </si>
  <si>
    <t xml:space="preserve">72065905M</t>
  </si>
  <si>
    <t xml:space="preserve">LA TENDERINA ALTA</t>
  </si>
  <si>
    <t xml:space="preserve">4ºDCH</t>
  </si>
  <si>
    <t xml:space="preserve">ASKDEMAC@GMAIL.COM</t>
  </si>
  <si>
    <t xml:space="preserve">ES90</t>
  </si>
  <si>
    <t xml:space="preserve">0681</t>
  </si>
  <si>
    <t xml:space="preserve">0201601546</t>
  </si>
  <si>
    <t xml:space="preserve">89A</t>
  </si>
  <si>
    <t xml:space="preserve">ALBA</t>
  </si>
  <si>
    <t xml:space="preserve">71664232G</t>
  </si>
  <si>
    <t xml:space="preserve">ANTONIO MAURA</t>
  </si>
  <si>
    <t xml:space="preserve">1º A</t>
  </si>
  <si>
    <t xml:space="preserve">EVAMAR1985@GMAIL.COM</t>
  </si>
  <si>
    <t xml:space="preserve">ES40</t>
  </si>
  <si>
    <t xml:space="preserve">90A</t>
  </si>
  <si>
    <t xml:space="preserve">SONIA</t>
  </si>
  <si>
    <t xml:space="preserve">11437169M</t>
  </si>
  <si>
    <t xml:space="preserve">ALAVA</t>
  </si>
  <si>
    <t xml:space="preserve">4ºJ</t>
  </si>
  <si>
    <t xml:space="preserve">S_ALVAREZ2001@HOTMAIL.COM</t>
  </si>
  <si>
    <t xml:space="preserve">0092</t>
  </si>
  <si>
    <t xml:space="preserve">91A</t>
  </si>
  <si>
    <t xml:space="preserve">ALVARO</t>
  </si>
  <si>
    <t xml:space="preserve">9409269S</t>
  </si>
  <si>
    <t xml:space="preserve">PLAZA</t>
  </si>
  <si>
    <t xml:space="preserve">FAMILIA TOLLOS</t>
  </si>
  <si>
    <t xml:space="preserve">4ºD</t>
  </si>
  <si>
    <t xml:space="preserve">ALGARPER@HOTMAIL.COM</t>
  </si>
  <si>
    <t xml:space="preserve">ES38</t>
  </si>
  <si>
    <t xml:space="preserve">0189</t>
  </si>
  <si>
    <t xml:space="preserve">92A</t>
  </si>
  <si>
    <t xml:space="preserve">S35</t>
  </si>
  <si>
    <t xml:space="preserve">ROSARIO</t>
  </si>
  <si>
    <t xml:space="preserve">71627940Y</t>
  </si>
  <si>
    <t xml:space="preserve">PEDRO MIÑOR</t>
  </si>
  <si>
    <t xml:space="preserve">1ºC</t>
  </si>
  <si>
    <t xml:space="preserve">SARISF3@GMAIL.COM</t>
  </si>
  <si>
    <t xml:space="preserve">93A</t>
  </si>
  <si>
    <t xml:space="preserve">ABEL</t>
  </si>
  <si>
    <t xml:space="preserve">GIRÓN</t>
  </si>
  <si>
    <t xml:space="preserve">02271649-P</t>
  </si>
  <si>
    <t xml:space="preserve">SACROMONTE</t>
  </si>
  <si>
    <t xml:space="preserve">1ºDCHA</t>
  </si>
  <si>
    <t xml:space="preserve">ABELGIRONMARTIN@GMAIL.COM</t>
  </si>
  <si>
    <t xml:space="preserve">94A</t>
  </si>
  <si>
    <t xml:space="preserve">JOAQUIN</t>
  </si>
  <si>
    <t xml:space="preserve">09420008J</t>
  </si>
  <si>
    <t xml:space="preserve">PRIERO</t>
  </si>
  <si>
    <t xml:space="preserve">SALAS</t>
  </si>
  <si>
    <t xml:space="preserve">ES67</t>
  </si>
  <si>
    <t xml:space="preserve">0006</t>
  </si>
  <si>
    <t xml:space="preserve">94B</t>
  </si>
  <si>
    <t xml:space="preserve">ISABEL</t>
  </si>
  <si>
    <t xml:space="preserve">09446050L</t>
  </si>
  <si>
    <t xml:space="preserve">95A</t>
  </si>
  <si>
    <t xml:space="preserve">VANESSA</t>
  </si>
  <si>
    <t xml:space="preserve">SALADRIGAS</t>
  </si>
  <si>
    <t xml:space="preserve">ALFÉREZ</t>
  </si>
  <si>
    <t xml:space="preserve">52307852X</t>
  </si>
  <si>
    <t xml:space="preserve">URBANIZACION</t>
  </si>
  <si>
    <t xml:space="preserve">GUARDAMOLINOS</t>
  </si>
  <si>
    <t xml:space="preserve">11</t>
  </si>
  <si>
    <t xml:space="preserve">GUADARRAMA</t>
  </si>
  <si>
    <t xml:space="preserve">28440</t>
  </si>
  <si>
    <t xml:space="preserve">NESSANISHA@GMAIL.COM</t>
  </si>
  <si>
    <t xml:space="preserve">ES41</t>
  </si>
  <si>
    <t xml:space="preserve">0705</t>
  </si>
  <si>
    <t xml:space="preserve">95B</t>
  </si>
  <si>
    <t xml:space="preserve">EDDNAH</t>
  </si>
  <si>
    <t xml:space="preserve">09081489P</t>
  </si>
  <si>
    <t xml:space="preserve">96A</t>
  </si>
  <si>
    <t xml:space="preserve">BENITO</t>
  </si>
  <si>
    <t xml:space="preserve">ARIAS</t>
  </si>
  <si>
    <t xml:space="preserve">GALBAN</t>
  </si>
  <si>
    <t xml:space="preserve">71517680P</t>
  </si>
  <si>
    <t xml:space="preserve">PABLO NERUDA</t>
  </si>
  <si>
    <t xml:space="preserve">EB1TK@EB1TK.COM</t>
  </si>
  <si>
    <t xml:space="preserve">97A</t>
  </si>
  <si>
    <t xml:space="preserve">ORTIZ</t>
  </si>
  <si>
    <t xml:space="preserve">REY</t>
  </si>
  <si>
    <t xml:space="preserve">9366355L</t>
  </si>
  <si>
    <t xml:space="preserve">MONTECERRAU</t>
  </si>
  <si>
    <t xml:space="preserve">CORTIZREY@GMAIL.COM</t>
  </si>
  <si>
    <t xml:space="preserve">0330151047</t>
  </si>
  <si>
    <t xml:space="preserve">98A</t>
  </si>
  <si>
    <t xml:space="preserve">9363283Y </t>
  </si>
  <si>
    <t xml:space="preserve">FRANCISCO BANCES CANDAMO </t>
  </si>
  <si>
    <t xml:space="preserve">ESC2-3ºD</t>
  </si>
  <si>
    <t xml:space="preserve">MORTIZRE@HOTMAIL.COM</t>
  </si>
  <si>
    <t xml:space="preserve">ES36</t>
  </si>
  <si>
    <t xml:space="preserve">0271</t>
  </si>
  <si>
    <t xml:space="preserve">99A</t>
  </si>
  <si>
    <t xml:space="preserve">JACOBO</t>
  </si>
  <si>
    <t xml:space="preserve">76952372F</t>
  </si>
  <si>
    <t xml:space="preserve">CLAUDIO SANCHEZ ALBORNOZ</t>
  </si>
  <si>
    <t xml:space="preserve">P05</t>
  </si>
  <si>
    <t xml:space="preserve">JACOBO@ZITRON.COM</t>
  </si>
  <si>
    <t xml:space="preserve">0865</t>
  </si>
  <si>
    <t xml:space="preserve">99B</t>
  </si>
  <si>
    <t xml:space="preserve">JOSÉ</t>
  </si>
  <si>
    <t xml:space="preserve">24070342Z</t>
  </si>
  <si>
    <t xml:space="preserve">99C</t>
  </si>
  <si>
    <t xml:space="preserve">MARÍA BELEN</t>
  </si>
  <si>
    <t xml:space="preserve">71618922G</t>
  </si>
  <si>
    <t xml:space="preserve">100A</t>
  </si>
  <si>
    <t xml:space="preserve">53549078H</t>
  </si>
  <si>
    <t xml:space="preserve">MARTIN.DOHA@ZITRON.COM</t>
  </si>
  <si>
    <t xml:space="preserve">ES72</t>
  </si>
  <si>
    <t xml:space="preserve">5660</t>
  </si>
  <si>
    <t xml:space="preserve">16</t>
  </si>
  <si>
    <t xml:space="preserve">0006321245</t>
  </si>
  <si>
    <t xml:space="preserve">101A</t>
  </si>
  <si>
    <t xml:space="preserve">OLIVER DAVID</t>
  </si>
  <si>
    <t xml:space="preserve">GUARDADO</t>
  </si>
  <si>
    <t xml:space="preserve">53540044T</t>
  </si>
  <si>
    <t xml:space="preserve">CESAR MAESE ALONSO</t>
  </si>
  <si>
    <t xml:space="preserve">OLIVERMG@GMAIL.COM</t>
  </si>
  <si>
    <t xml:space="preserve">101B</t>
  </si>
  <si>
    <t xml:space="preserve">PELAYO</t>
  </si>
  <si>
    <t xml:space="preserve">BARRAGÁN</t>
  </si>
  <si>
    <t xml:space="preserve">58436927E</t>
  </si>
  <si>
    <t xml:space="preserve">101C</t>
  </si>
  <si>
    <t xml:space="preserve">NIEVES</t>
  </si>
  <si>
    <t xml:space="preserve">10797719R</t>
  </si>
  <si>
    <t xml:space="preserve">101D</t>
  </si>
  <si>
    <t xml:space="preserve">HERMAN@</t>
  </si>
  <si>
    <t xml:space="preserve">HECTOR</t>
  </si>
  <si>
    <t xml:space="preserve">53540045R</t>
  </si>
  <si>
    <t xml:space="preserve">102A</t>
  </si>
  <si>
    <t xml:space="preserve">S101</t>
  </si>
  <si>
    <t xml:space="preserve">MARÍA LAURA</t>
  </si>
  <si>
    <t xml:space="preserve">VICTORERO</t>
  </si>
  <si>
    <t xml:space="preserve">CARAVIA</t>
  </si>
  <si>
    <t xml:space="preserve">10811555Z</t>
  </si>
  <si>
    <t xml:space="preserve">GRUPO 1500</t>
  </si>
  <si>
    <t xml:space="preserve">BLOQUE 15 </t>
  </si>
  <si>
    <t xml:space="preserve">PORTAL2 4-IZD</t>
  </si>
  <si>
    <t xml:space="preserve">SARA.30996@GMAIL.COM</t>
  </si>
  <si>
    <t xml:space="preserve">5646</t>
  </si>
  <si>
    <t xml:space="preserve">0001103412</t>
  </si>
  <si>
    <t xml:space="preserve">102B</t>
  </si>
  <si>
    <t xml:space="preserve">VITORERO</t>
  </si>
  <si>
    <t xml:space="preserve">58435975J</t>
  </si>
  <si>
    <t xml:space="preserve">103A</t>
  </si>
  <si>
    <t xml:space="preserve">LETICIA</t>
  </si>
  <si>
    <t xml:space="preserve">PRIDA</t>
  </si>
  <si>
    <t xml:space="preserve">15505525Y</t>
  </si>
  <si>
    <t xml:space="preserve">SANTA EMILIA</t>
  </si>
  <si>
    <t xml:space="preserve">BAJO</t>
  </si>
  <si>
    <t xml:space="preserve">LETIBOOP2000@GMAIL.COM</t>
  </si>
  <si>
    <t xml:space="preserve">0373</t>
  </si>
  <si>
    <t xml:space="preserve">103B</t>
  </si>
  <si>
    <t xml:space="preserve">CANEL</t>
  </si>
  <si>
    <t xml:space="preserve">71885576L</t>
  </si>
  <si>
    <t xml:space="preserve">104A</t>
  </si>
  <si>
    <t xml:space="preserve">REMIGIO</t>
  </si>
  <si>
    <t xml:space="preserve">09366485B</t>
  </si>
  <si>
    <t xml:space="preserve">SANZ CRESPO</t>
  </si>
  <si>
    <t xml:space="preserve">3º DCHA.</t>
  </si>
  <si>
    <t xml:space="preserve">REMIVELASCO@HOTMAIL.COM</t>
  </si>
  <si>
    <t xml:space="preserve">0006093119</t>
  </si>
  <si>
    <t xml:space="preserve">104B</t>
  </si>
  <si>
    <t xml:space="preserve">AZUCENA</t>
  </si>
  <si>
    <t xml:space="preserve">PEREDA</t>
  </si>
  <si>
    <t xml:space="preserve">CASTRO</t>
  </si>
  <si>
    <t xml:space="preserve">09361305Y</t>
  </si>
  <si>
    <t xml:space="preserve">RIUMEDIU@GMAIL.COM</t>
  </si>
  <si>
    <t xml:space="preserve">105A</t>
  </si>
  <si>
    <t xml:space="preserve">BASTIAN</t>
  </si>
  <si>
    <t xml:space="preserve">71702060C</t>
  </si>
  <si>
    <t xml:space="preserve">PEÑA DE LOS CUATRO JUECES</t>
  </si>
  <si>
    <t xml:space="preserve">DAVBASTIK@GMAIL.COM</t>
  </si>
  <si>
    <t xml:space="preserve">0769</t>
  </si>
  <si>
    <t xml:space="preserve">105B</t>
  </si>
  <si>
    <t xml:space="preserve">ARÁNTZAZU</t>
  </si>
  <si>
    <t xml:space="preserve">COLUNGA</t>
  </si>
  <si>
    <t xml:space="preserve">53546412C</t>
  </si>
  <si>
    <t xml:space="preserve">TXANTXINA@GMAIL.COM</t>
  </si>
  <si>
    <t xml:space="preserve">106A</t>
  </si>
  <si>
    <t xml:space="preserve">JULIO </t>
  </si>
  <si>
    <t xml:space="preserve">11022109A</t>
  </si>
  <si>
    <t xml:space="preserve">DE LA LLOMBA </t>
  </si>
  <si>
    <t xml:space="preserve">JULIOGGG@YAHOO.ES</t>
  </si>
  <si>
    <t xml:space="preserve">ES75</t>
  </si>
  <si>
    <t xml:space="preserve">106B</t>
  </si>
  <si>
    <t xml:space="preserve">CIURANA</t>
  </si>
  <si>
    <t xml:space="preserve">10795695R</t>
  </si>
  <si>
    <t xml:space="preserve">MAITE@MAITECIURANA.COM</t>
  </si>
  <si>
    <t xml:space="preserve">107A</t>
  </si>
  <si>
    <t xml:space="preserve">10805838R</t>
  </si>
  <si>
    <t xml:space="preserve">MARISOBIA@GMAIL.COM</t>
  </si>
  <si>
    <t xml:space="preserve">ES89</t>
  </si>
  <si>
    <t xml:space="preserve">0201553484</t>
  </si>
  <si>
    <t xml:space="preserve">108A</t>
  </si>
  <si>
    <t xml:space="preserve">10886100Q</t>
  </si>
  <si>
    <t xml:space="preserve">FUENTE DEL REAL</t>
  </si>
  <si>
    <t xml:space="preserve">7º E</t>
  </si>
  <si>
    <t xml:space="preserve">S_D_F@HOTMAIL.COM</t>
  </si>
  <si>
    <t xml:space="preserve">109A</t>
  </si>
  <si>
    <t xml:space="preserve">LOPEZ</t>
  </si>
  <si>
    <t xml:space="preserve">10547035V</t>
  </si>
  <si>
    <t xml:space="preserve">3ºC</t>
  </si>
  <si>
    <t xml:space="preserve">110</t>
  </si>
  <si>
    <t xml:space="preserve">110A</t>
  </si>
  <si>
    <t xml:space="preserve">12/01/2018</t>
  </si>
  <si>
    <t xml:space="preserve">SUSANA</t>
  </si>
  <si>
    <t xml:space="preserve">09427961P</t>
  </si>
  <si>
    <t xml:space="preserve">BUENAVISTA</t>
  </si>
  <si>
    <t xml:space="preserve">10</t>
  </si>
  <si>
    <t xml:space="preserve">1ºA</t>
  </si>
  <si>
    <t xml:space="preserve">33006</t>
  </si>
  <si>
    <t xml:space="preserve">618728421</t>
  </si>
  <si>
    <t xml:space="preserve">SURODIAZ@GMAIL.COM</t>
  </si>
  <si>
    <t xml:space="preserve">5312</t>
  </si>
  <si>
    <t xml:space="preserve">0006106719</t>
  </si>
  <si>
    <t xml:space="preserve">111</t>
  </si>
  <si>
    <t xml:space="preserve">111A</t>
  </si>
  <si>
    <t xml:space="preserve">15/01/2018</t>
  </si>
  <si>
    <t xml:space="preserve">JORGE LUIS</t>
  </si>
  <si>
    <t xml:space="preserve">BERICUA</t>
  </si>
  <si>
    <t xml:space="preserve">10892517Q</t>
  </si>
  <si>
    <t xml:space="preserve">DAOIZ Y VELARDE</t>
  </si>
  <si>
    <t xml:space="preserve">33212</t>
  </si>
  <si>
    <t xml:space="preserve">668577513</t>
  </si>
  <si>
    <t xml:space="preserve">JORGEBERICUA@GMAIL.COM</t>
  </si>
  <si>
    <t xml:space="preserve">ES82</t>
  </si>
  <si>
    <t xml:space="preserve">0601</t>
  </si>
  <si>
    <t xml:space="preserve">0208522217</t>
  </si>
  <si>
    <t xml:space="preserve">112A</t>
  </si>
  <si>
    <t xml:space="preserve">S4</t>
  </si>
  <si>
    <t xml:space="preserve">JULIA</t>
  </si>
  <si>
    <t xml:space="preserve">ZHURAVLOVA</t>
  </si>
  <si>
    <t xml:space="preserve">X7784410Z</t>
  </si>
  <si>
    <t xml:space="preserve">MANUEL HEVIA CARRILES</t>
  </si>
  <si>
    <t xml:space="preserve">VALERA.VLADOVYCH@LIST.RU</t>
  </si>
  <si>
    <t xml:space="preserve">55</t>
  </si>
  <si>
    <t xml:space="preserve">0201597308</t>
  </si>
  <si>
    <t xml:space="preserve">113A</t>
  </si>
  <si>
    <t xml:space="preserve">PELÁEZ</t>
  </si>
  <si>
    <t xml:space="preserve">MANCISIDOR</t>
  </si>
  <si>
    <t xml:space="preserve">10877751Q</t>
  </si>
  <si>
    <t xml:space="preserve">PRINCIPAL</t>
  </si>
  <si>
    <t xml:space="preserve">2º C</t>
  </si>
  <si>
    <t xml:space="preserve">PIEDRAS BLANCAS</t>
  </si>
  <si>
    <t xml:space="preserve">IPELAEZ.ZITRON@GMAIL.COM</t>
  </si>
  <si>
    <t xml:space="preserve">5010</t>
  </si>
  <si>
    <t xml:space="preserve">57</t>
  </si>
  <si>
    <t xml:space="preserve">0201548541</t>
  </si>
  <si>
    <t xml:space="preserve">113B</t>
  </si>
  <si>
    <t xml:space="preserve">BEATRIZ</t>
  </si>
  <si>
    <t xml:space="preserve">MORO</t>
  </si>
  <si>
    <t xml:space="preserve">11444811B</t>
  </si>
  <si>
    <t xml:space="preserve">BEAMSUAREZ@GMAIL.COM</t>
  </si>
  <si>
    <t xml:space="preserve">114A</t>
  </si>
  <si>
    <t xml:space="preserve">NAOMI</t>
  </si>
  <si>
    <t xml:space="preserve">ORDIALES</t>
  </si>
  <si>
    <t xml:space="preserve">CÓRDOBA</t>
  </si>
  <si>
    <t xml:space="preserve">53508155N</t>
  </si>
  <si>
    <t xml:space="preserve">EL REBOLLAR</t>
  </si>
  <si>
    <t xml:space="preserve">NAOMIORDIALES@GMAIL.COM</t>
  </si>
  <si>
    <t xml:space="preserve">ES06</t>
  </si>
  <si>
    <t xml:space="preserve">5284</t>
  </si>
  <si>
    <t xml:space="preserve">30</t>
  </si>
  <si>
    <t xml:space="preserve">2893329960</t>
  </si>
  <si>
    <t xml:space="preserve">115A</t>
  </si>
  <si>
    <t xml:space="preserve">MARÍA EUGENIA</t>
  </si>
  <si>
    <t xml:space="preserve">POMAR</t>
  </si>
  <si>
    <t xml:space="preserve">9415000L</t>
  </si>
  <si>
    <t xml:space="preserve">MENENDEZ Y PELAYO</t>
  </si>
  <si>
    <t xml:space="preserve">2048</t>
  </si>
  <si>
    <t xml:space="preserve">0062</t>
  </si>
  <si>
    <t xml:space="preserve">56</t>
  </si>
  <si>
    <t xml:space="preserve">3004011643</t>
  </si>
  <si>
    <t xml:space="preserve">116A</t>
  </si>
  <si>
    <t xml:space="preserve">VALERIANO ANTONIO</t>
  </si>
  <si>
    <t xml:space="preserve">ROCHO</t>
  </si>
  <si>
    <t xml:space="preserve">PINIELLA</t>
  </si>
  <si>
    <t xml:space="preserve">9383260L</t>
  </si>
  <si>
    <t xml:space="preserve">CARRETERA</t>
  </si>
  <si>
    <t xml:space="preserve">DE SANTANDER</t>
  </si>
  <si>
    <t xml:space="preserve">130B</t>
  </si>
  <si>
    <t xml:space="preserve">3ºE</t>
  </si>
  <si>
    <t xml:space="preserve">TONIROCHO@GMAIL.COM</t>
  </si>
  <si>
    <t xml:space="preserve">117A</t>
  </si>
  <si>
    <t xml:space="preserve">PILAR</t>
  </si>
  <si>
    <t xml:space="preserve">IGLESIAS</t>
  </si>
  <si>
    <t xml:space="preserve">NAVARRO</t>
  </si>
  <si>
    <t xml:space="preserve">10077092X</t>
  </si>
  <si>
    <t xml:space="preserve">VICENTE MIRANDA</t>
  </si>
  <si>
    <t xml:space="preserve">PIGLENA@GMAIL.COM</t>
  </si>
  <si>
    <t xml:space="preserve">0457</t>
  </si>
  <si>
    <t xml:space="preserve">75</t>
  </si>
  <si>
    <t xml:space="preserve">4010025294</t>
  </si>
  <si>
    <t xml:space="preserve">118A</t>
  </si>
  <si>
    <t xml:space="preserve">NURIA</t>
  </si>
  <si>
    <t xml:space="preserve">GARZÓN</t>
  </si>
  <si>
    <t xml:space="preserve">MIERES</t>
  </si>
  <si>
    <t xml:space="preserve">10893910Y</t>
  </si>
  <si>
    <t xml:space="preserve">PANAMÁ</t>
  </si>
  <si>
    <t xml:space="preserve">ATICO</t>
  </si>
  <si>
    <t xml:space="preserve">GIJON</t>
  </si>
  <si>
    <t xml:space="preserve">MUYISOYYO@GMAIL.COM</t>
  </si>
  <si>
    <t xml:space="preserve">53</t>
  </si>
  <si>
    <t xml:space="preserve">3404002422</t>
  </si>
  <si>
    <t xml:space="preserve">119A</t>
  </si>
  <si>
    <t xml:space="preserve">9391168S</t>
  </si>
  <si>
    <t xml:space="preserve">PLAZA </t>
  </si>
  <si>
    <t xml:space="preserve">EDUARDO URCULO</t>
  </si>
  <si>
    <t xml:space="preserve">CARANAS3@HOTMAIL.COM</t>
  </si>
  <si>
    <t xml:space="preserve">ES27</t>
  </si>
  <si>
    <t xml:space="preserve">5051</t>
  </si>
  <si>
    <t xml:space="preserve">0006207133</t>
  </si>
  <si>
    <t xml:space="preserve">120A</t>
  </si>
  <si>
    <t xml:space="preserve">JESÚS </t>
  </si>
  <si>
    <t xml:space="preserve">10902083Z</t>
  </si>
  <si>
    <t xml:space="preserve">JESUSMORANPANDO@GMAIL.COM</t>
  </si>
  <si>
    <t xml:space="preserve">0005</t>
  </si>
  <si>
    <t xml:space="preserve">98</t>
  </si>
  <si>
    <t xml:space="preserve">2014585612</t>
  </si>
  <si>
    <t xml:space="preserve">120B</t>
  </si>
  <si>
    <t xml:space="preserve">53541567M</t>
  </si>
  <si>
    <t xml:space="preserve">121A</t>
  </si>
  <si>
    <t xml:space="preserve">URIA</t>
  </si>
  <si>
    <t xml:space="preserve">71772986Z</t>
  </si>
  <si>
    <t xml:space="preserve">MONTE LLOSORIO</t>
  </si>
  <si>
    <t xml:space="preserve">5º IZDA</t>
  </si>
  <si>
    <t xml:space="preserve">ADRIAN_URIA@HOTMAIL.ES</t>
  </si>
  <si>
    <t xml:space="preserve">ES91</t>
  </si>
  <si>
    <t xml:space="preserve">0608</t>
  </si>
  <si>
    <t xml:space="preserve">71</t>
  </si>
  <si>
    <t xml:space="preserve">0201545313</t>
  </si>
  <si>
    <t xml:space="preserve">TOTALES</t>
  </si>
  <si>
    <t xml:space="preserve">ASOCIADOS</t>
  </si>
  <si>
    <t xml:space="preserve">PRECIO</t>
  </si>
  <si>
    <t xml:space="preserve">ZITRON-ASCAZ HOSPITALARIA</t>
  </si>
  <si>
    <t xml:space="preserve">ZITRON-ASCAZ AMBULATORIA</t>
  </si>
  <si>
    <t xml:space="preserve">ASCAZ HOSPITALARIA</t>
  </si>
  <si>
    <t xml:space="preserve">ASCAZ AMBULATORIA</t>
  </si>
  <si>
    <t xml:space="preserve">RANGO DE EDADES</t>
  </si>
  <si>
    <t xml:space="preserve">TOTAL</t>
  </si>
  <si>
    <t xml:space="preserve">&gt;65</t>
  </si>
  <si>
    <t xml:space="preserve">&gt;50-65</t>
  </si>
  <si>
    <t xml:space="preserve">&gt;40-50</t>
  </si>
  <si>
    <t xml:space="preserve">&gt;30-40</t>
  </si>
  <si>
    <t xml:space="preserve">&gt;20-30</t>
  </si>
  <si>
    <t xml:space="preserve">&gt;10-20</t>
  </si>
  <si>
    <t xml:space="preserve">0-10</t>
  </si>
  <si>
    <t xml:space="preserve">Edad media</t>
  </si>
  <si>
    <t xml:space="preserve">&gt;85</t>
  </si>
  <si>
    <t xml:space="preserve">&gt;80-85</t>
  </si>
  <si>
    <t xml:space="preserve">&gt;75-80</t>
  </si>
  <si>
    <t xml:space="preserve">&gt;70-75</t>
  </si>
  <si>
    <t xml:space="preserve">&gt;65-70</t>
  </si>
  <si>
    <t xml:space="preserve">&gt;60-65</t>
  </si>
  <si>
    <t xml:space="preserve">&gt;55-60</t>
  </si>
  <si>
    <t xml:space="preserve">&gt;50-55</t>
  </si>
  <si>
    <t xml:space="preserve">&gt;45-50</t>
  </si>
  <si>
    <t xml:space="preserve">&gt;40-45</t>
  </si>
  <si>
    <t xml:space="preserve">&gt;35-40</t>
  </si>
  <si>
    <t xml:space="preserve">&gt;30-35</t>
  </si>
  <si>
    <t xml:space="preserve">&gt;25-30</t>
  </si>
  <si>
    <t xml:space="preserve">&gt;20-25</t>
  </si>
  <si>
    <t xml:space="preserve">&gt;15-20</t>
  </si>
  <si>
    <t xml:space="preserve">&gt;10-15</t>
  </si>
  <si>
    <t xml:space="preserve">&gt;5-10</t>
  </si>
  <si>
    <t xml:space="preserve">0-5</t>
  </si>
  <si>
    <t xml:space="preserve">edad media</t>
  </si>
  <si>
    <t xml:space="preserve">&gt;80</t>
  </si>
  <si>
    <t xml:space="preserve">&gt;70-80</t>
  </si>
  <si>
    <t xml:space="preserve">&gt;60-70</t>
  </si>
  <si>
    <t xml:space="preserve">&gt;50-60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</si>
</sst>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YY"/>
    <numFmt numFmtId="166" formatCode="@"/>
    <numFmt numFmtId="167" formatCode="DD/MM/YYYY\ H:MM"/>
    <numFmt numFmtId="168" formatCode="_-* #,##0.00&quot; €&quot;_-;\-* #,##0.00&quot; €&quot;_-;_-* \-??&quot; €&quot;_-;_-@_-"/>
    <numFmt numFmtId="169" formatCode="0.0%"/>
    <numFmt numFmtId="170" formatCode="0.00\ %"/>
    <numFmt numFmtId="171" formatCode="MMM\-YY"/>
    <numFmt numFmtId="172" formatCode="0"/>
  </numFmts>
  <fonts count="4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9"/>
      <color rgb="FF5B9BD5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333333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5"/>
      <color rgb="FF44546A"/>
      <name val="Calibri"/>
      <family val="2"/>
      <charset val="1"/>
    </font>
    <font>
      <b val="true"/>
      <sz val="13"/>
      <color rgb="FF44546A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i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E2F0D9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6"/>
      <color rgb="FFAFABAB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2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C6EFCE"/>
        <bgColor rgb="FFE2F0D9"/>
      </patternFill>
    </fill>
    <fill>
      <patternFill patternType="solid">
        <fgColor rgb="FFBFBFBF"/>
        <bgColor rgb="FFAFABAB"/>
      </patternFill>
    </fill>
    <fill>
      <patternFill patternType="solid">
        <fgColor rgb="FF5B9BD5"/>
        <bgColor rgb="FF969696"/>
      </patternFill>
    </fill>
    <fill>
      <patternFill patternType="solid">
        <fgColor rgb="FFBDD7EE"/>
        <bgColor rgb="FFADCDEA"/>
      </patternFill>
    </fill>
    <fill>
      <patternFill patternType="solid">
        <fgColor rgb="FF70AD47"/>
        <bgColor rgb="FF969696"/>
      </patternFill>
    </fill>
    <fill>
      <patternFill patternType="solid">
        <fgColor rgb="FFFFFFFF"/>
        <bgColor rgb="FFE2F0D9"/>
      </patternFill>
    </fill>
    <fill>
      <patternFill patternType="solid">
        <fgColor rgb="FFFF0000"/>
        <bgColor rgb="FF993300"/>
      </patternFill>
    </fill>
    <fill>
      <patternFill patternType="solid">
        <fgColor rgb="FFF8CBAD"/>
        <bgColor rgb="FFD9D9D9"/>
      </patternFill>
    </fill>
    <fill>
      <patternFill patternType="solid">
        <fgColor rgb="FFE2F0D9"/>
        <bgColor rgb="FFDEEBF7"/>
      </patternFill>
    </fill>
    <fill>
      <patternFill patternType="solid">
        <fgColor rgb="FFA9D18E"/>
        <bgColor rgb="FFBFBFBF"/>
      </patternFill>
    </fill>
    <fill>
      <patternFill patternType="solid">
        <fgColor rgb="FF9DC3E6"/>
        <bgColor rgb="FFADCDEA"/>
      </patternFill>
    </fill>
    <fill>
      <patternFill patternType="solid">
        <fgColor rgb="FFD840C2"/>
        <bgColor rgb="FF993366"/>
      </patternFill>
    </fill>
    <fill>
      <patternFill patternType="solid">
        <fgColor rgb="FFD9D9D9"/>
        <bgColor rgb="FFBDD7EE"/>
      </patternFill>
    </fill>
    <fill>
      <patternFill patternType="solid">
        <fgColor rgb="FFDEEBF7"/>
        <bgColor rgb="FFE2F0D9"/>
      </patternFill>
    </fill>
    <fill>
      <patternFill patternType="solid">
        <fgColor rgb="FFFFC5FF"/>
        <bgColor rgb="FFF8CBAD"/>
      </patternFill>
    </fill>
  </fills>
  <borders count="40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5B9BD5"/>
      </bottom>
      <diagonal/>
    </border>
    <border diagonalUp="false" diagonalDown="false">
      <left/>
      <right/>
      <top/>
      <bottom style="thick">
        <color rgb="FFADCDEA"/>
      </bottom>
      <diagonal/>
    </border>
    <border diagonalUp="false" diagonalDown="false">
      <left/>
      <right/>
      <top style="thin">
        <color rgb="FF5B9BD5"/>
      </top>
      <bottom style="double">
        <color rgb="FF5B9BD5"/>
      </bottom>
      <diagonal/>
    </border>
    <border diagonalUp="false" diagonalDown="false">
      <left style="dotted">
        <color rgb="FF969696"/>
      </left>
      <right style="dotted">
        <color rgb="FF969696"/>
      </right>
      <top style="medium">
        <color rgb="FF969696"/>
      </top>
      <bottom style="medium">
        <color rgb="FF969696"/>
      </bottom>
      <diagonal/>
    </border>
    <border diagonalUp="false" diagonalDown="false">
      <left style="dotted">
        <color rgb="FF969696"/>
      </left>
      <right/>
      <top style="medium">
        <color rgb="FF969696"/>
      </top>
      <bottom style="medium">
        <color rgb="FF969696"/>
      </bottom>
      <diagonal/>
    </border>
    <border diagonalUp="false" diagonalDown="false">
      <left/>
      <right style="dotted">
        <color rgb="FF969696"/>
      </right>
      <top style="medium">
        <color rgb="FF969696"/>
      </top>
      <bottom style="medium">
        <color rgb="FF969696"/>
      </bottom>
      <diagonal/>
    </border>
    <border diagonalUp="false" diagonalDown="false">
      <left style="thick">
        <color rgb="FFBDD7EE"/>
      </left>
      <right/>
      <top style="thick">
        <color rgb="FFBDD7EE"/>
      </top>
      <bottom style="thick">
        <color rgb="FFBDD7EE"/>
      </bottom>
      <diagonal/>
    </border>
    <border diagonalUp="false" diagonalDown="false">
      <left/>
      <right/>
      <top style="thick">
        <color rgb="FFBDD7EE"/>
      </top>
      <bottom style="thick">
        <color rgb="FFBDD7EE"/>
      </bottom>
      <diagonal/>
    </border>
    <border diagonalUp="false" diagonalDown="false">
      <left/>
      <right style="thick">
        <color rgb="FFBDD7EE"/>
      </right>
      <top style="thick">
        <color rgb="FFBDD7EE"/>
      </top>
      <bottom style="thick">
        <color rgb="FFBDD7EE"/>
      </bottom>
      <diagonal/>
    </border>
    <border diagonalUp="false" diagonalDown="false">
      <left style="thick">
        <color rgb="FFBDD7EE"/>
      </left>
      <right style="thick">
        <color rgb="FFBDD7EE"/>
      </right>
      <top style="thick">
        <color rgb="FFBDD7EE"/>
      </top>
      <bottom style="dashed">
        <color rgb="FFBDD7EE"/>
      </bottom>
      <diagonal/>
    </border>
    <border diagonalUp="false" diagonalDown="false">
      <left style="thick">
        <color rgb="FFBDD7EE"/>
      </left>
      <right/>
      <top style="thick">
        <color rgb="FFBDD7EE"/>
      </top>
      <bottom style="dashed">
        <color rgb="FFBDD7EE"/>
      </bottom>
      <diagonal/>
    </border>
    <border diagonalUp="false" diagonalDown="false">
      <left/>
      <right style="dashed">
        <color rgb="FFBDD7EE"/>
      </right>
      <top style="thick">
        <color rgb="FFBDD7EE"/>
      </top>
      <bottom style="dashed">
        <color rgb="FFBDD7EE"/>
      </bottom>
      <diagonal/>
    </border>
    <border diagonalUp="false" diagonalDown="false">
      <left style="dashed">
        <color rgb="FFBDD7EE"/>
      </left>
      <right style="dashed">
        <color rgb="FFBDD7EE"/>
      </right>
      <top style="thick">
        <color rgb="FFBDD7EE"/>
      </top>
      <bottom style="dashed">
        <color rgb="FFBDD7EE"/>
      </bottom>
      <diagonal/>
    </border>
    <border diagonalUp="false" diagonalDown="false">
      <left style="dashed">
        <color rgb="FFBDD7EE"/>
      </left>
      <right style="thick">
        <color rgb="FFBDD7EE"/>
      </right>
      <top style="thick">
        <color rgb="FFBDD7EE"/>
      </top>
      <bottom style="dashed">
        <color rgb="FFBDD7EE"/>
      </bottom>
      <diagonal/>
    </border>
    <border diagonalUp="false" diagonalDown="false">
      <left style="thick">
        <color rgb="FFBDD7EE"/>
      </left>
      <right/>
      <top/>
      <bottom/>
      <diagonal/>
    </border>
    <border diagonalUp="false" diagonalDown="false">
      <left style="thick">
        <color rgb="FFBDD7EE"/>
      </left>
      <right/>
      <top style="thick">
        <color rgb="FFBDD7EE"/>
      </top>
      <bottom style="thin">
        <color rgb="FFBDD7EE"/>
      </bottom>
      <diagonal/>
    </border>
    <border diagonalUp="false" diagonalDown="false">
      <left style="thick">
        <color rgb="FFBDD7EE"/>
      </left>
      <right style="thick">
        <color rgb="FFBDD7EE"/>
      </right>
      <top style="thick">
        <color rgb="FFBDD7EE"/>
      </top>
      <bottom style="thick">
        <color rgb="FFBDD7EE"/>
      </bottom>
      <diagonal/>
    </border>
    <border diagonalUp="false" diagonalDown="false">
      <left style="thick">
        <color rgb="FFBDD7EE"/>
      </left>
      <right style="thick">
        <color rgb="FFBDD7EE"/>
      </right>
      <top style="dashed">
        <color rgb="FFBDD7EE"/>
      </top>
      <bottom style="dashed">
        <color rgb="FFBDD7EE"/>
      </bottom>
      <diagonal/>
    </border>
    <border diagonalUp="false" diagonalDown="false">
      <left style="thick">
        <color rgb="FFBDD7EE"/>
      </left>
      <right/>
      <top style="dashed">
        <color rgb="FFBDD7EE"/>
      </top>
      <bottom style="dashed">
        <color rgb="FFBDD7EE"/>
      </bottom>
      <diagonal/>
    </border>
    <border diagonalUp="false" diagonalDown="false">
      <left/>
      <right style="dashed">
        <color rgb="FFBDD7EE"/>
      </right>
      <top style="dashed">
        <color rgb="FFBDD7EE"/>
      </top>
      <bottom style="dashed">
        <color rgb="FFBDD7EE"/>
      </bottom>
      <diagonal/>
    </border>
    <border diagonalUp="false" diagonalDown="false">
      <left style="dashed">
        <color rgb="FFBDD7EE"/>
      </left>
      <right style="dashed">
        <color rgb="FFBDD7EE"/>
      </right>
      <top style="dashed">
        <color rgb="FFBDD7EE"/>
      </top>
      <bottom style="dashed">
        <color rgb="FFBDD7EE"/>
      </bottom>
      <diagonal/>
    </border>
    <border diagonalUp="false" diagonalDown="false">
      <left style="dashed">
        <color rgb="FFBDD7EE"/>
      </left>
      <right style="thick">
        <color rgb="FFBDD7EE"/>
      </right>
      <top style="dashed">
        <color rgb="FFBDD7EE"/>
      </top>
      <bottom style="dashed">
        <color rgb="FFBDD7EE"/>
      </bottom>
      <diagonal/>
    </border>
    <border diagonalUp="false" diagonalDown="false">
      <left style="thick">
        <color rgb="FFBDD7EE"/>
      </left>
      <right/>
      <top style="thin">
        <color rgb="FFBDD7EE"/>
      </top>
      <bottom style="thick">
        <color rgb="FFBDD7EE"/>
      </bottom>
      <diagonal/>
    </border>
    <border diagonalUp="false" diagonalDown="false">
      <left style="thick">
        <color rgb="FFBDD7EE"/>
      </left>
      <right style="dashed">
        <color rgb="FFBDD7EE"/>
      </right>
      <top style="dashed">
        <color rgb="FFBDD7EE"/>
      </top>
      <bottom style="dashed">
        <color rgb="FFBDD7EE"/>
      </bottom>
      <diagonal/>
    </border>
    <border diagonalUp="false" diagonalDown="false">
      <left style="thick">
        <color rgb="FFBDD7EE"/>
      </left>
      <right style="thick">
        <color rgb="FFBDD7EE"/>
      </right>
      <top style="dashed">
        <color rgb="FFBDD7EE"/>
      </top>
      <bottom style="thick">
        <color rgb="FFBDD7EE"/>
      </bottom>
      <diagonal/>
    </border>
    <border diagonalUp="false" diagonalDown="false">
      <left style="thick">
        <color rgb="FFBDD7EE"/>
      </left>
      <right/>
      <top style="dashed">
        <color rgb="FFBDD7EE"/>
      </top>
      <bottom style="thick">
        <color rgb="FFBDD7EE"/>
      </bottom>
      <diagonal/>
    </border>
    <border diagonalUp="false" diagonalDown="false">
      <left/>
      <right style="dashed">
        <color rgb="FFBDD7EE"/>
      </right>
      <top style="dashed">
        <color rgb="FFBDD7EE"/>
      </top>
      <bottom style="thick">
        <color rgb="FFBDD7EE"/>
      </bottom>
      <diagonal/>
    </border>
    <border diagonalUp="false" diagonalDown="false">
      <left style="dashed">
        <color rgb="FFBDD7EE"/>
      </left>
      <right style="dashed">
        <color rgb="FFBDD7EE"/>
      </right>
      <top style="dashed">
        <color rgb="FFBDD7EE"/>
      </top>
      <bottom style="thick">
        <color rgb="FFBDD7EE"/>
      </bottom>
      <diagonal/>
    </border>
    <border diagonalUp="false" diagonalDown="false">
      <left style="dashed">
        <color rgb="FFBDD7EE"/>
      </left>
      <right style="thick">
        <color rgb="FFBDD7EE"/>
      </right>
      <top style="dashed">
        <color rgb="FFBDD7EE"/>
      </top>
      <bottom style="thick">
        <color rgb="FFBDD7EE"/>
      </bottom>
      <diagonal/>
    </border>
    <border diagonalUp="false" diagonalDown="false">
      <left/>
      <right/>
      <top/>
      <bottom style="double">
        <color rgb="FF5B9BD5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2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1" applyFont="true" applyBorder="true" applyAlignment="true" applyProtection="false">
      <alignment horizontal="general" vertical="bottom" textRotation="0" wrapText="false" indent="0" shrinkToFit="false"/>
    </xf>
    <xf numFmtId="164" fontId="26" fillId="0" borderId="2" applyFont="true" applyBorder="true" applyAlignment="true" applyProtection="false">
      <alignment horizontal="general" vertical="bottom" textRotation="0" wrapText="false" indent="0" shrinkToFit="false"/>
    </xf>
    <xf numFmtId="164" fontId="15" fillId="0" borderId="3" applyFont="true" applyBorder="true" applyAlignment="true" applyProtection="false">
      <alignment horizontal="general" vertical="bottom" textRotation="0" wrapText="false" indent="0" shrinkToFit="false"/>
    </xf>
  </cellStyleXfs>
  <cellXfs count="1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3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3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6" borderId="0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1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25" fillId="0" borderId="1" xfId="27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5" fillId="0" borderId="0" xfId="27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0" borderId="7" xfId="2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0" borderId="8" xfId="2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0" borderId="9" xfId="28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0" borderId="0" xfId="28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0" borderId="10" xfId="2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1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2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0" borderId="14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8" fontId="0" fillId="0" borderId="15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9" fontId="27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28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0" fillId="0" borderId="17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0" borderId="18" xfId="2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9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9" fillId="0" borderId="2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0" fillId="0" borderId="2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0" borderId="22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9" fontId="27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27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4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30" fillId="0" borderId="2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21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9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30" fillId="0" borderId="2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26" fillId="0" borderId="25" xfId="2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6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9" fillId="0" borderId="27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0" fillId="0" borderId="28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8" fontId="0" fillId="0" borderId="29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5" fillId="0" borderId="30" xfId="29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0" borderId="0" xfId="29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5" fillId="0" borderId="30" xfId="29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5" fillId="0" borderId="0" xfId="29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31" fillId="10" borderId="3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32" fillId="11" borderId="3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1" fillId="10" borderId="3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33" fillId="10" borderId="3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10" borderId="33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9" fontId="34" fillId="10" borderId="3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10" borderId="34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2" fillId="11" borderId="3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1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10" borderId="36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1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33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34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10" borderId="35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71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35" fillId="0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2" fontId="36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72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10" borderId="37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10" borderId="38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10" borderId="38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11" borderId="39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7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7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7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72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32" fillId="12" borderId="3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1" fillId="15" borderId="3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33" fillId="15" borderId="3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15" borderId="33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9" fontId="34" fillId="15" borderId="3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15" borderId="34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9" fontId="38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32" fillId="12" borderId="3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15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15" borderId="36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15" borderId="35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15" borderId="37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15" borderId="38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15" borderId="38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12" borderId="39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2" fillId="13" borderId="3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1" fillId="16" borderId="3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33" fillId="16" borderId="3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16" borderId="33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9" fontId="34" fillId="16" borderId="3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16" borderId="34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9" fontId="39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32" fillId="13" borderId="3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16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16" borderId="36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16" borderId="35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16" borderId="37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16" borderId="38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16" borderId="38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13" borderId="39" xfId="0" applyFont="false" applyBorder="true" applyAlignment="false" applyProtection="true">
      <alignment horizontal="general" vertical="bottom" textRotation="0" wrapText="false" indent="0" shrinkToFit="false"/>
      <protection locked="true" hidden="true"/>
    </xf>
  </cellXfs>
  <cellStyles count="1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ipervínculo 2" xfId="21" builtinId="53" customBuiltin="true"/>
    <cellStyle name="Hipervínculo 3" xfId="22" builtinId="53" customBuiltin="true"/>
    <cellStyle name="Normal 2 5 2" xfId="23" builtinId="53" customBuiltin="true"/>
    <cellStyle name="Normal 4" xfId="24" builtinId="53" customBuiltin="true"/>
    <cellStyle name="Normal 7" xfId="25" builtinId="53" customBuiltin="true"/>
    <cellStyle name="*unknown*" xfId="20" builtinId="8" customBuiltin="false"/>
    <cellStyle name="Excel Built-in Good" xfId="26" builtinId="53" customBuiltin="true"/>
    <cellStyle name="Excel Built-in Heading 1" xfId="27" builtinId="53" customBuiltin="true"/>
    <cellStyle name="Excel Built-in Heading 2" xfId="28" builtinId="53" customBuiltin="true"/>
    <cellStyle name="Excel Built-in Total" xfId="29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FBFBF"/>
      <rgbColor rgb="FF5B9BD5"/>
      <rgbColor rgb="FFAFABAB"/>
      <rgbColor rgb="FFD840C2"/>
      <rgbColor rgb="FFE2F0D9"/>
      <rgbColor rgb="FFDEEBF7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6EFCE"/>
      <rgbColor rgb="FFFFFF99"/>
      <rgbColor rgb="FF9DC3E6"/>
      <rgbColor rgb="FFFFC5FF"/>
      <rgbColor rgb="FFADCDEA"/>
      <rgbColor rgb="FFF8CBAD"/>
      <rgbColor rgb="FF3366FF"/>
      <rgbColor rgb="FF33CCCC"/>
      <rgbColor rgb="FFA9D18E"/>
      <rgbColor rgb="FFFFCC00"/>
      <rgbColor rgb="FFFF9900"/>
      <rgbColor rgb="FFFF6600"/>
      <rgbColor rgb="FF44546A"/>
      <rgbColor rgb="FF969696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3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90" activePane="bottomLeft" state="frozen"/>
      <selection pane="topLeft" activeCell="A1" activeCellId="0" sqref="A1"/>
      <selection pane="bottomLeft" activeCell="I290" activeCellId="0" sqref="I290"/>
    </sheetView>
  </sheetViews>
  <sheetFormatPr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2" width="6.15"/>
    <col collapsed="false" customWidth="true" hidden="false" outlineLevel="0" max="3" min="3" style="2" width="5.14"/>
    <col collapsed="false" customWidth="true" hidden="false" outlineLevel="0" max="4" min="4" style="2" width="5.86"/>
    <col collapsed="false" customWidth="true" hidden="false" outlineLevel="0" max="5" min="5" style="2" width="7.15"/>
    <col collapsed="false" customWidth="true" hidden="false" outlineLevel="0" max="6" min="6" style="2" width="12.14"/>
    <col collapsed="false" customWidth="true" hidden="false" outlineLevel="0" max="7" min="7" style="2" width="10.71"/>
    <col collapsed="false" customWidth="true" hidden="false" outlineLevel="0" max="8" min="8" style="3" width="10.71"/>
    <col collapsed="false" customWidth="true" hidden="false" outlineLevel="0" max="9" min="9" style="2" width="6.57"/>
    <col collapsed="false" customWidth="true" hidden="false" outlineLevel="0" max="10" min="10" style="2" width="9.71"/>
    <col collapsed="false" customWidth="true" hidden="false" outlineLevel="0" max="11" min="11" style="2" width="14.57"/>
    <col collapsed="false" customWidth="true" hidden="false" outlineLevel="0" max="12" min="12" style="2" width="24.71"/>
    <col collapsed="false" customWidth="true" hidden="false" outlineLevel="0" max="13" min="13" style="2" width="28.42"/>
    <col collapsed="false" customWidth="true" hidden="false" outlineLevel="0" max="14" min="14" style="2" width="16.57"/>
    <col collapsed="false" customWidth="true" hidden="false" outlineLevel="0" max="17" min="15" style="4" width="20.71"/>
    <col collapsed="false" customWidth="true" hidden="false" outlineLevel="0" max="18" min="18" style="2" width="8.14"/>
    <col collapsed="false" customWidth="false" hidden="false" outlineLevel="0" max="19" min="19" style="2" width="11.42"/>
    <col collapsed="false" customWidth="true" hidden="false" outlineLevel="0" max="20" min="20" style="2" width="5.57"/>
    <col collapsed="false" customWidth="true" hidden="false" outlineLevel="0" max="21" min="21" style="3" width="15.15"/>
    <col collapsed="false" customWidth="true" hidden="false" outlineLevel="0" max="22" min="22" style="2" width="4.29"/>
    <col collapsed="false" customWidth="true" hidden="false" outlineLevel="0" max="23" min="23" style="2" width="12.42"/>
    <col collapsed="false" customWidth="true" hidden="false" outlineLevel="0" max="24" min="24" style="4" width="45.71"/>
    <col collapsed="false" customWidth="true" hidden="false" outlineLevel="0" max="25" min="25" style="2" width="11.86"/>
    <col collapsed="false" customWidth="true" hidden="false" outlineLevel="0" max="26" min="26" style="2" width="20.71"/>
    <col collapsed="false" customWidth="true" hidden="false" outlineLevel="0" max="27" min="27" style="2" width="10.71"/>
    <col collapsed="false" customWidth="true" hidden="false" outlineLevel="0" max="28" min="28" style="2" width="19.14"/>
    <col collapsed="false" customWidth="true" hidden="false" outlineLevel="0" max="29" min="29" style="2" width="9.14"/>
    <col collapsed="false" customWidth="true" hidden="false" outlineLevel="0" max="30" min="30" style="2" width="11.71"/>
    <col collapsed="false" customWidth="true" hidden="false" outlineLevel="0" max="31" min="31" style="5" width="40.86"/>
    <col collapsed="false" customWidth="true" hidden="false" outlineLevel="0" max="35" min="32" style="6" width="9.71"/>
    <col collapsed="false" customWidth="true" hidden="false" outlineLevel="0" max="36" min="36" style="6" width="20.86"/>
    <col collapsed="false" customWidth="true" hidden="false" outlineLevel="0" max="37" min="37" style="2" width="2.99"/>
    <col collapsed="false" customWidth="true" hidden="false" outlineLevel="0" max="39" min="38" style="2" width="12.71"/>
    <col collapsed="false" customWidth="false" hidden="false" outlineLevel="0" max="40" min="40" style="7" width="11.42"/>
    <col collapsed="false" customWidth="false" hidden="false" outlineLevel="0" max="1022" min="41" style="2" width="11.42"/>
    <col collapsed="false" customWidth="false" hidden="false" outlineLevel="0" max="1025" min="1023" style="0" width="11.52"/>
  </cols>
  <sheetData>
    <row r="1" customFormat="false" ht="15" hidden="false" customHeight="true" outlineLevel="0" collapsed="false">
      <c r="A1" s="8" t="n">
        <v>1</v>
      </c>
      <c r="B1" s="9" t="s">
        <v>0</v>
      </c>
      <c r="C1" s="10" t="s">
        <v>1</v>
      </c>
      <c r="D1" s="11"/>
      <c r="E1" s="12" t="s">
        <v>2</v>
      </c>
      <c r="F1" s="12" t="s">
        <v>3</v>
      </c>
      <c r="G1" s="12" t="s">
        <v>4</v>
      </c>
      <c r="H1" s="13" t="s">
        <v>5</v>
      </c>
      <c r="I1" s="12" t="s">
        <v>6</v>
      </c>
      <c r="J1" s="12" t="s">
        <v>7</v>
      </c>
      <c r="K1" s="14" t="s">
        <v>8</v>
      </c>
      <c r="L1" s="14"/>
      <c r="M1" s="14"/>
      <c r="N1" s="12" t="s">
        <v>9</v>
      </c>
      <c r="O1" s="15" t="s">
        <v>10</v>
      </c>
      <c r="P1" s="15" t="s">
        <v>11</v>
      </c>
      <c r="Q1" s="15" t="s">
        <v>12</v>
      </c>
      <c r="R1" s="12" t="s">
        <v>13</v>
      </c>
      <c r="S1" s="12" t="s">
        <v>14</v>
      </c>
      <c r="T1" s="12" t="s">
        <v>15</v>
      </c>
      <c r="U1" s="16" t="s">
        <v>16</v>
      </c>
      <c r="V1" s="17" t="n">
        <f aca="true">NOW()</f>
        <v>43169.9303602773</v>
      </c>
      <c r="W1" s="12" t="s">
        <v>17</v>
      </c>
      <c r="X1" s="15" t="s">
        <v>18</v>
      </c>
      <c r="Y1" s="12" t="s">
        <v>19</v>
      </c>
      <c r="Z1" s="12" t="s">
        <v>20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8" t="s">
        <v>26</v>
      </c>
      <c r="AG1" s="18" t="s">
        <v>27</v>
      </c>
      <c r="AH1" s="18" t="s">
        <v>28</v>
      </c>
      <c r="AI1" s="18" t="s">
        <v>29</v>
      </c>
      <c r="AJ1" s="18" t="s">
        <v>30</v>
      </c>
      <c r="AK1" s="19"/>
      <c r="AL1" s="14" t="s">
        <v>31</v>
      </c>
      <c r="AM1" s="12" t="n">
        <v>2018</v>
      </c>
      <c r="AN1" s="12" t="str">
        <f aca="false">C1</f>
        <v>Nº SOCIO</v>
      </c>
    </row>
    <row r="2" customFormat="false" ht="15" hidden="false" customHeight="true" outlineLevel="0" collapsed="false">
      <c r="A2" s="8" t="n">
        <v>2</v>
      </c>
      <c r="B2" s="20"/>
      <c r="C2" s="21" t="n">
        <v>1</v>
      </c>
      <c r="D2" s="22"/>
      <c r="E2" s="22"/>
      <c r="F2" s="22"/>
      <c r="G2" s="22"/>
      <c r="H2" s="23"/>
      <c r="I2" s="22"/>
      <c r="J2" s="22"/>
      <c r="K2" s="22"/>
      <c r="L2" s="22"/>
      <c r="M2" s="22"/>
      <c r="N2" s="22"/>
      <c r="O2" s="24"/>
      <c r="P2" s="24"/>
      <c r="Q2" s="24"/>
      <c r="R2" s="22"/>
      <c r="S2" s="22"/>
      <c r="T2" s="22"/>
      <c r="U2" s="25"/>
      <c r="V2" s="26"/>
      <c r="W2" s="22"/>
      <c r="X2" s="24"/>
      <c r="Y2" s="22"/>
      <c r="Z2" s="22"/>
      <c r="AA2" s="22"/>
      <c r="AB2" s="22"/>
      <c r="AC2" s="22"/>
      <c r="AD2" s="22"/>
      <c r="AE2" s="27"/>
      <c r="AF2" s="28"/>
      <c r="AG2" s="28"/>
      <c r="AH2" s="28"/>
      <c r="AI2" s="28"/>
      <c r="AJ2" s="28"/>
      <c r="AK2" s="29"/>
      <c r="AL2" s="30" t="n">
        <v>0</v>
      </c>
      <c r="AM2" s="31"/>
      <c r="AN2" s="32" t="n">
        <f aca="false">C2</f>
        <v>1</v>
      </c>
      <c r="AO2" s="2" t="str">
        <f aca="false">CONCATENATE(AF2,AG2,AH2,AI2,AJ2)</f>
        <v/>
      </c>
    </row>
    <row r="3" customFormat="false" ht="15" hidden="false" customHeight="true" outlineLevel="0" collapsed="false">
      <c r="A3" s="8" t="n">
        <v>3</v>
      </c>
      <c r="B3" s="20"/>
      <c r="C3" s="33"/>
      <c r="D3" s="34" t="s">
        <v>32</v>
      </c>
      <c r="E3" s="34" t="s">
        <v>33</v>
      </c>
      <c r="F3" s="34" t="s">
        <v>2</v>
      </c>
      <c r="G3" s="34" t="s">
        <v>34</v>
      </c>
      <c r="H3" s="35"/>
      <c r="I3" s="36"/>
      <c r="J3" s="34" t="s">
        <v>33</v>
      </c>
      <c r="K3" s="34" t="s">
        <v>35</v>
      </c>
      <c r="L3" s="34" t="s">
        <v>36</v>
      </c>
      <c r="M3" s="34" t="str">
        <f aca="false">CONCATENATE(K3," ",L3)</f>
        <v>ZITRON-ASCAZ HOSPITALARIA</v>
      </c>
      <c r="N3" s="34" t="s">
        <v>37</v>
      </c>
      <c r="O3" s="37" t="s">
        <v>38</v>
      </c>
      <c r="P3" s="37" t="s">
        <v>39</v>
      </c>
      <c r="Q3" s="37" t="s">
        <v>40</v>
      </c>
      <c r="R3" s="34" t="s">
        <v>41</v>
      </c>
      <c r="S3" s="34" t="s">
        <v>42</v>
      </c>
      <c r="T3" s="34" t="s">
        <v>43</v>
      </c>
      <c r="U3" s="35" t="n">
        <v>28670</v>
      </c>
      <c r="V3" s="38" t="n">
        <f aca="false">YEAR($V$1)-YEAR(U3)</f>
        <v>40</v>
      </c>
      <c r="W3" s="34" t="s">
        <v>44</v>
      </c>
      <c r="X3" s="37" t="s">
        <v>45</v>
      </c>
      <c r="Y3" s="34" t="n">
        <v>5</v>
      </c>
      <c r="Z3" s="34" t="s">
        <v>32</v>
      </c>
      <c r="AA3" s="34" t="s">
        <v>46</v>
      </c>
      <c r="AB3" s="34" t="s">
        <v>47</v>
      </c>
      <c r="AC3" s="34" t="n">
        <v>33204</v>
      </c>
      <c r="AD3" s="34" t="n">
        <v>626080685</v>
      </c>
      <c r="AE3" s="39" t="s">
        <v>48</v>
      </c>
      <c r="AF3" s="40" t="s">
        <v>49</v>
      </c>
      <c r="AG3" s="40" t="s">
        <v>50</v>
      </c>
      <c r="AH3" s="40" t="s">
        <v>51</v>
      </c>
      <c r="AI3" s="40" t="n">
        <v>49</v>
      </c>
      <c r="AJ3" s="40" t="s">
        <v>52</v>
      </c>
      <c r="AK3" s="29"/>
      <c r="AL3" s="33"/>
      <c r="AM3" s="41" t="n">
        <v>10</v>
      </c>
      <c r="AO3" s="2" t="str">
        <f aca="false">CONCATENATE(AF3,AG3,AH3,AI3,AJ3)</f>
        <v>ES1000750752490600294495</v>
      </c>
    </row>
    <row r="4" customFormat="false" ht="15" hidden="false" customHeight="true" outlineLevel="0" collapsed="false">
      <c r="A4" s="8" t="n">
        <v>4</v>
      </c>
      <c r="B4" s="20"/>
      <c r="C4" s="33"/>
      <c r="D4" s="34" t="s">
        <v>53</v>
      </c>
      <c r="E4" s="34" t="s">
        <v>33</v>
      </c>
      <c r="F4" s="34" t="s">
        <v>2</v>
      </c>
      <c r="G4" s="34" t="s">
        <v>34</v>
      </c>
      <c r="H4" s="35"/>
      <c r="I4" s="36"/>
      <c r="J4" s="34" t="s">
        <v>33</v>
      </c>
      <c r="K4" s="34" t="s">
        <v>35</v>
      </c>
      <c r="L4" s="34" t="s">
        <v>36</v>
      </c>
      <c r="M4" s="34" t="str">
        <f aca="false">CONCATENATE(K4," ",L4)</f>
        <v>ZITRON-ASCAZ HOSPITALARIA</v>
      </c>
      <c r="N4" s="34" t="s">
        <v>54</v>
      </c>
      <c r="O4" s="37" t="s">
        <v>55</v>
      </c>
      <c r="P4" s="37" t="s">
        <v>56</v>
      </c>
      <c r="Q4" s="37" t="s">
        <v>57</v>
      </c>
      <c r="R4" s="34" t="s">
        <v>41</v>
      </c>
      <c r="S4" s="34" t="s">
        <v>58</v>
      </c>
      <c r="T4" s="34" t="s">
        <v>59</v>
      </c>
      <c r="U4" s="35" t="n">
        <v>30005</v>
      </c>
      <c r="V4" s="38" t="n">
        <f aca="false">YEAR($V$1)-YEAR(U4)</f>
        <v>36</v>
      </c>
      <c r="W4" s="34"/>
      <c r="X4" s="37"/>
      <c r="Y4" s="34"/>
      <c r="Z4" s="34"/>
      <c r="AA4" s="34"/>
      <c r="AB4" s="34"/>
      <c r="AC4" s="34"/>
      <c r="AD4" s="34"/>
      <c r="AE4" s="39"/>
      <c r="AF4" s="40"/>
      <c r="AG4" s="40"/>
      <c r="AH4" s="40"/>
      <c r="AI4" s="40"/>
      <c r="AJ4" s="40"/>
      <c r="AK4" s="29"/>
      <c r="AL4" s="33"/>
      <c r="AM4" s="41" t="n">
        <v>10</v>
      </c>
      <c r="AO4" s="2" t="str">
        <f aca="false">CONCATENATE(AF4,AG4,AH4,AI4,AJ4)</f>
        <v/>
      </c>
    </row>
    <row r="5" customFormat="false" ht="15" hidden="false" customHeight="true" outlineLevel="0" collapsed="false">
      <c r="A5" s="8" t="n">
        <v>5</v>
      </c>
      <c r="B5" s="20"/>
      <c r="C5" s="33"/>
      <c r="D5" s="34" t="s">
        <v>60</v>
      </c>
      <c r="E5" s="34" t="s">
        <v>33</v>
      </c>
      <c r="F5" s="34" t="s">
        <v>2</v>
      </c>
      <c r="G5" s="34" t="n">
        <v>2016</v>
      </c>
      <c r="H5" s="35"/>
      <c r="I5" s="36"/>
      <c r="J5" s="34" t="s">
        <v>33</v>
      </c>
      <c r="K5" s="34" t="s">
        <v>35</v>
      </c>
      <c r="L5" s="34" t="s">
        <v>61</v>
      </c>
      <c r="M5" s="34" t="str">
        <f aca="false">CONCATENATE(K5," ",L5)</f>
        <v>ZITRON-ASCAZ AMBULATORIA</v>
      </c>
      <c r="N5" s="34" t="s">
        <v>62</v>
      </c>
      <c r="O5" s="37" t="s">
        <v>63</v>
      </c>
      <c r="P5" s="37" t="s">
        <v>39</v>
      </c>
      <c r="Q5" s="37" t="s">
        <v>56</v>
      </c>
      <c r="R5" s="34" t="s">
        <v>41</v>
      </c>
      <c r="S5" s="34" t="s">
        <v>64</v>
      </c>
      <c r="T5" s="34" t="s">
        <v>43</v>
      </c>
      <c r="U5" s="35" t="n">
        <v>42435</v>
      </c>
      <c r="V5" s="38" t="n">
        <f aca="false">YEAR($V$1)-YEAR(U5)</f>
        <v>2</v>
      </c>
      <c r="W5" s="34"/>
      <c r="X5" s="37"/>
      <c r="Y5" s="34"/>
      <c r="Z5" s="34"/>
      <c r="AA5" s="34"/>
      <c r="AB5" s="34"/>
      <c r="AC5" s="34"/>
      <c r="AD5" s="34"/>
      <c r="AE5" s="39"/>
      <c r="AF5" s="40"/>
      <c r="AG5" s="40"/>
      <c r="AH5" s="40"/>
      <c r="AI5" s="40"/>
      <c r="AJ5" s="40"/>
      <c r="AK5" s="29"/>
      <c r="AL5" s="33"/>
      <c r="AM5" s="41" t="n">
        <v>10</v>
      </c>
      <c r="AO5" s="2" t="str">
        <f aca="false">CONCATENATE(AF5,AG5,AH5,AI5,AJ5)</f>
        <v/>
      </c>
    </row>
    <row r="6" customFormat="false" ht="15" hidden="false" customHeight="true" outlineLevel="0" collapsed="false">
      <c r="A6" s="8" t="n">
        <v>6</v>
      </c>
      <c r="B6" s="20"/>
      <c r="C6" s="33"/>
      <c r="D6" s="34" t="s">
        <v>65</v>
      </c>
      <c r="E6" s="34" t="s">
        <v>33</v>
      </c>
      <c r="F6" s="34" t="s">
        <v>2</v>
      </c>
      <c r="G6" s="34" t="n">
        <v>2017</v>
      </c>
      <c r="H6" s="35"/>
      <c r="I6" s="36"/>
      <c r="J6" s="34" t="s">
        <v>33</v>
      </c>
      <c r="K6" s="34" t="s">
        <v>35</v>
      </c>
      <c r="L6" s="34" t="s">
        <v>61</v>
      </c>
      <c r="M6" s="34" t="str">
        <f aca="false">CONCATENATE(K6," ",L6)</f>
        <v>ZITRON-ASCAZ AMBULATORIA</v>
      </c>
      <c r="N6" s="34" t="s">
        <v>62</v>
      </c>
      <c r="O6" s="37" t="s">
        <v>66</v>
      </c>
      <c r="P6" s="37" t="s">
        <v>39</v>
      </c>
      <c r="Q6" s="37" t="s">
        <v>56</v>
      </c>
      <c r="R6" s="34" t="s">
        <v>41</v>
      </c>
      <c r="S6" s="34"/>
      <c r="T6" s="34" t="s">
        <v>43</v>
      </c>
      <c r="U6" s="35" t="n">
        <v>42849</v>
      </c>
      <c r="V6" s="38" t="n">
        <f aca="false">YEAR($V$1)-YEAR(U6)</f>
        <v>1</v>
      </c>
      <c r="W6" s="34"/>
      <c r="X6" s="37"/>
      <c r="Y6" s="34"/>
      <c r="Z6" s="34"/>
      <c r="AA6" s="34"/>
      <c r="AB6" s="34"/>
      <c r="AC6" s="34"/>
      <c r="AD6" s="34"/>
      <c r="AE6" s="39"/>
      <c r="AF6" s="40"/>
      <c r="AG6" s="40"/>
      <c r="AH6" s="40"/>
      <c r="AI6" s="40"/>
      <c r="AJ6" s="40"/>
      <c r="AK6" s="29"/>
      <c r="AL6" s="33"/>
      <c r="AM6" s="41" t="n">
        <v>10</v>
      </c>
      <c r="AO6" s="2" t="str">
        <f aca="false">CONCATENATE(AF6,AG6,AH6,AI6,AJ6)</f>
        <v/>
      </c>
    </row>
    <row r="7" customFormat="false" ht="15" hidden="false" customHeight="true" outlineLevel="0" collapsed="false">
      <c r="A7" s="8" t="n">
        <v>7</v>
      </c>
      <c r="B7" s="20"/>
      <c r="C7" s="33"/>
      <c r="D7" s="34" t="s">
        <v>67</v>
      </c>
      <c r="E7" s="34" t="s">
        <v>68</v>
      </c>
      <c r="F7" s="34" t="s">
        <v>2</v>
      </c>
      <c r="G7" s="34" t="n">
        <v>2017</v>
      </c>
      <c r="H7" s="35"/>
      <c r="I7" s="36"/>
      <c r="J7" s="34" t="s">
        <v>33</v>
      </c>
      <c r="K7" s="34" t="s">
        <v>69</v>
      </c>
      <c r="L7" s="34" t="s">
        <v>36</v>
      </c>
      <c r="M7" s="34" t="str">
        <f aca="false">CONCATENATE(K7," ",L7)</f>
        <v>ASCAZ HOSPITALARIA</v>
      </c>
      <c r="N7" s="34" t="s">
        <v>70</v>
      </c>
      <c r="O7" s="37" t="s">
        <v>71</v>
      </c>
      <c r="P7" s="37" t="s">
        <v>40</v>
      </c>
      <c r="Q7" s="37" t="s">
        <v>40</v>
      </c>
      <c r="R7" s="34" t="s">
        <v>41</v>
      </c>
      <c r="S7" s="34" t="s">
        <v>72</v>
      </c>
      <c r="T7" s="34" t="s">
        <v>59</v>
      </c>
      <c r="U7" s="35" t="n">
        <v>19887</v>
      </c>
      <c r="V7" s="38" t="n">
        <f aca="false">YEAR($V$1)-YEAR(U7)</f>
        <v>64</v>
      </c>
      <c r="W7" s="34" t="s">
        <v>73</v>
      </c>
      <c r="X7" s="37" t="s">
        <v>74</v>
      </c>
      <c r="Y7" s="34" t="n">
        <v>29</v>
      </c>
      <c r="Z7" s="34" t="s">
        <v>75</v>
      </c>
      <c r="AA7" s="34" t="s">
        <v>46</v>
      </c>
      <c r="AB7" s="34" t="s">
        <v>47</v>
      </c>
      <c r="AC7" s="34" t="n">
        <v>33203</v>
      </c>
      <c r="AD7" s="34" t="n">
        <v>616098171</v>
      </c>
      <c r="AE7" s="39" t="s">
        <v>76</v>
      </c>
      <c r="AF7" s="40"/>
      <c r="AG7" s="40"/>
      <c r="AH7" s="40"/>
      <c r="AI7" s="40"/>
      <c r="AJ7" s="40"/>
      <c r="AK7" s="29"/>
      <c r="AL7" s="33"/>
      <c r="AM7" s="41" t="n">
        <v>10</v>
      </c>
      <c r="AO7" s="2" t="str">
        <f aca="false">CONCATENATE(AF7,AG7,AH7,AI7,AJ7)</f>
        <v/>
      </c>
    </row>
    <row r="8" customFormat="false" ht="15" hidden="false" customHeight="true" outlineLevel="0" collapsed="false">
      <c r="A8" s="8" t="n">
        <v>8</v>
      </c>
      <c r="B8" s="20"/>
      <c r="C8" s="21" t="n">
        <v>2</v>
      </c>
      <c r="D8" s="22"/>
      <c r="E8" s="26"/>
      <c r="F8" s="26"/>
      <c r="G8" s="26"/>
      <c r="H8" s="42"/>
      <c r="I8" s="26"/>
      <c r="J8" s="26"/>
      <c r="K8" s="26"/>
      <c r="L8" s="26"/>
      <c r="M8" s="26"/>
      <c r="N8" s="26"/>
      <c r="O8" s="43"/>
      <c r="P8" s="43"/>
      <c r="Q8" s="43"/>
      <c r="R8" s="26"/>
      <c r="S8" s="26"/>
      <c r="T8" s="26"/>
      <c r="U8" s="42"/>
      <c r="V8" s="26"/>
      <c r="W8" s="26"/>
      <c r="X8" s="43"/>
      <c r="Y8" s="26"/>
      <c r="Z8" s="26"/>
      <c r="AA8" s="26"/>
      <c r="AB8" s="26"/>
      <c r="AC8" s="26"/>
      <c r="AD8" s="26"/>
      <c r="AE8" s="44"/>
      <c r="AF8" s="28"/>
      <c r="AG8" s="28"/>
      <c r="AH8" s="28"/>
      <c r="AI8" s="28"/>
      <c r="AJ8" s="28"/>
      <c r="AK8" s="29"/>
      <c r="AL8" s="30" t="n">
        <v>0</v>
      </c>
      <c r="AM8" s="30"/>
      <c r="AN8" s="32" t="e">
        <f aca="false">#REF!</f>
        <v>#REF!</v>
      </c>
      <c r="AO8" s="2" t="str">
        <f aca="false">CONCATENATE(AF8,AG8,AH8,AI8,AJ8)</f>
        <v/>
      </c>
    </row>
    <row r="9" customFormat="false" ht="15" hidden="false" customHeight="true" outlineLevel="0" collapsed="false">
      <c r="A9" s="8" t="n">
        <v>9</v>
      </c>
      <c r="B9" s="20"/>
      <c r="C9" s="33"/>
      <c r="D9" s="34" t="s">
        <v>77</v>
      </c>
      <c r="E9" s="34" t="s">
        <v>33</v>
      </c>
      <c r="F9" s="34" t="s">
        <v>2</v>
      </c>
      <c r="G9" s="34" t="s">
        <v>34</v>
      </c>
      <c r="H9" s="35"/>
      <c r="I9" s="36"/>
      <c r="J9" s="34" t="s">
        <v>33</v>
      </c>
      <c r="K9" s="34" t="s">
        <v>35</v>
      </c>
      <c r="L9" s="34" t="s">
        <v>36</v>
      </c>
      <c r="M9" s="34" t="str">
        <f aca="false">CONCATENATE(K9," ",L9)</f>
        <v>ZITRON-ASCAZ HOSPITALARIA</v>
      </c>
      <c r="N9" s="34" t="s">
        <v>37</v>
      </c>
      <c r="O9" s="37" t="s">
        <v>78</v>
      </c>
      <c r="P9" s="37" t="s">
        <v>79</v>
      </c>
      <c r="Q9" s="37" t="s">
        <v>40</v>
      </c>
      <c r="R9" s="34" t="s">
        <v>41</v>
      </c>
      <c r="S9" s="34" t="s">
        <v>80</v>
      </c>
      <c r="T9" s="34" t="s">
        <v>43</v>
      </c>
      <c r="U9" s="35" t="n">
        <v>27210</v>
      </c>
      <c r="V9" s="38" t="n">
        <f aca="false">YEAR($V$1)-YEAR(U9)</f>
        <v>44</v>
      </c>
      <c r="W9" s="34" t="s">
        <v>44</v>
      </c>
      <c r="X9" s="37" t="s">
        <v>81</v>
      </c>
      <c r="Y9" s="34" t="n">
        <v>31</v>
      </c>
      <c r="Z9" s="34" t="s">
        <v>32</v>
      </c>
      <c r="AA9" s="34" t="s">
        <v>46</v>
      </c>
      <c r="AB9" s="34" t="s">
        <v>47</v>
      </c>
      <c r="AC9" s="34" t="n">
        <v>33207</v>
      </c>
      <c r="AD9" s="34" t="n">
        <v>659453468</v>
      </c>
      <c r="AE9" s="39" t="s">
        <v>82</v>
      </c>
      <c r="AF9" s="40" t="s">
        <v>83</v>
      </c>
      <c r="AG9" s="40" t="s">
        <v>84</v>
      </c>
      <c r="AH9" s="40" t="s">
        <v>85</v>
      </c>
      <c r="AI9" s="40" t="s">
        <v>86</v>
      </c>
      <c r="AJ9" s="40" t="s">
        <v>87</v>
      </c>
      <c r="AK9" s="29"/>
      <c r="AL9" s="33"/>
      <c r="AM9" s="41" t="n">
        <v>10</v>
      </c>
      <c r="AO9" s="2" t="str">
        <f aca="false">CONCATENATE(AF9,AG9,AH9,AI9,AJ9)</f>
        <v>ES0721084779820033054856</v>
      </c>
    </row>
    <row r="10" customFormat="false" ht="15" hidden="false" customHeight="true" outlineLevel="0" collapsed="false">
      <c r="A10" s="8" t="n">
        <v>10</v>
      </c>
      <c r="B10" s="20"/>
      <c r="C10" s="33"/>
      <c r="D10" s="34" t="s">
        <v>88</v>
      </c>
      <c r="E10" s="34" t="s">
        <v>33</v>
      </c>
      <c r="F10" s="34" t="s">
        <v>2</v>
      </c>
      <c r="G10" s="34" t="s">
        <v>34</v>
      </c>
      <c r="H10" s="35"/>
      <c r="I10" s="36"/>
      <c r="J10" s="34" t="s">
        <v>33</v>
      </c>
      <c r="K10" s="34" t="s">
        <v>35</v>
      </c>
      <c r="L10" s="34" t="s">
        <v>36</v>
      </c>
      <c r="M10" s="34" t="str">
        <f aca="false">CONCATENATE(K10," ",L10)</f>
        <v>ZITRON-ASCAZ HOSPITALARIA</v>
      </c>
      <c r="N10" s="34" t="s">
        <v>54</v>
      </c>
      <c r="O10" s="37" t="s">
        <v>89</v>
      </c>
      <c r="P10" s="37" t="s">
        <v>90</v>
      </c>
      <c r="Q10" s="37" t="s">
        <v>91</v>
      </c>
      <c r="R10" s="34" t="s">
        <v>41</v>
      </c>
      <c r="S10" s="34" t="s">
        <v>92</v>
      </c>
      <c r="T10" s="34" t="s">
        <v>59</v>
      </c>
      <c r="U10" s="35" t="n">
        <v>29128</v>
      </c>
      <c r="V10" s="38" t="n">
        <f aca="false">YEAR($V$1)-YEAR(U10)</f>
        <v>39</v>
      </c>
      <c r="W10" s="34"/>
      <c r="X10" s="37"/>
      <c r="Y10" s="34"/>
      <c r="Z10" s="34"/>
      <c r="AA10" s="34"/>
      <c r="AB10" s="34"/>
      <c r="AC10" s="34"/>
      <c r="AD10" s="34"/>
      <c r="AE10" s="39"/>
      <c r="AF10" s="40"/>
      <c r="AG10" s="40"/>
      <c r="AH10" s="40"/>
      <c r="AI10" s="40"/>
      <c r="AJ10" s="40"/>
      <c r="AK10" s="29"/>
      <c r="AL10" s="33"/>
      <c r="AM10" s="41" t="n">
        <v>10</v>
      </c>
      <c r="AO10" s="2" t="str">
        <f aca="false">CONCATENATE(AF10,AG10,AH10,AI10,AJ10)</f>
        <v/>
      </c>
    </row>
    <row r="11" customFormat="false" ht="15" hidden="false" customHeight="true" outlineLevel="0" collapsed="false">
      <c r="A11" s="8" t="n">
        <v>11</v>
      </c>
      <c r="B11" s="20"/>
      <c r="C11" s="33"/>
      <c r="D11" s="34" t="s">
        <v>93</v>
      </c>
      <c r="E11" s="34" t="s">
        <v>33</v>
      </c>
      <c r="F11" s="34" t="s">
        <v>2</v>
      </c>
      <c r="G11" s="34" t="s">
        <v>34</v>
      </c>
      <c r="H11" s="35"/>
      <c r="I11" s="36"/>
      <c r="J11" s="34" t="s">
        <v>33</v>
      </c>
      <c r="K11" s="34" t="s">
        <v>35</v>
      </c>
      <c r="L11" s="34" t="s">
        <v>36</v>
      </c>
      <c r="M11" s="34" t="str">
        <f aca="false">CONCATENATE(K11," ",L11)</f>
        <v>ZITRON-ASCAZ HOSPITALARIA</v>
      </c>
      <c r="N11" s="34" t="s">
        <v>62</v>
      </c>
      <c r="O11" s="37" t="s">
        <v>94</v>
      </c>
      <c r="P11" s="37" t="s">
        <v>79</v>
      </c>
      <c r="Q11" s="37" t="s">
        <v>90</v>
      </c>
      <c r="R11" s="34" t="s">
        <v>41</v>
      </c>
      <c r="S11" s="34" t="s">
        <v>95</v>
      </c>
      <c r="T11" s="34" t="s">
        <v>59</v>
      </c>
      <c r="U11" s="35" t="n">
        <v>36280</v>
      </c>
      <c r="V11" s="38" t="n">
        <f aca="false">YEAR($V$1)-YEAR(U11)</f>
        <v>19</v>
      </c>
      <c r="W11" s="34"/>
      <c r="X11" s="37"/>
      <c r="Y11" s="34"/>
      <c r="Z11" s="34"/>
      <c r="AA11" s="34"/>
      <c r="AB11" s="34"/>
      <c r="AC11" s="34"/>
      <c r="AD11" s="34"/>
      <c r="AE11" s="39"/>
      <c r="AF11" s="40"/>
      <c r="AG11" s="40"/>
      <c r="AH11" s="40"/>
      <c r="AI11" s="40"/>
      <c r="AJ11" s="40"/>
      <c r="AK11" s="29"/>
      <c r="AL11" s="33"/>
      <c r="AM11" s="41" t="n">
        <v>10</v>
      </c>
      <c r="AO11" s="2" t="str">
        <f aca="false">CONCATENATE(AF11,AG11,AH11,AI11,AJ11)</f>
        <v/>
      </c>
    </row>
    <row r="12" customFormat="false" ht="15" hidden="false" customHeight="true" outlineLevel="0" collapsed="false">
      <c r="A12" s="8" t="n">
        <v>12</v>
      </c>
      <c r="B12" s="20"/>
      <c r="C12" s="33"/>
      <c r="D12" s="34" t="s">
        <v>96</v>
      </c>
      <c r="E12" s="34" t="s">
        <v>33</v>
      </c>
      <c r="F12" s="34" t="s">
        <v>2</v>
      </c>
      <c r="G12" s="34" t="s">
        <v>34</v>
      </c>
      <c r="H12" s="35"/>
      <c r="I12" s="36"/>
      <c r="J12" s="34" t="s">
        <v>33</v>
      </c>
      <c r="K12" s="34" t="s">
        <v>35</v>
      </c>
      <c r="L12" s="34" t="s">
        <v>61</v>
      </c>
      <c r="M12" s="34" t="str">
        <f aca="false">CONCATENATE(K12," ",L12)</f>
        <v>ZITRON-ASCAZ AMBULATORIA</v>
      </c>
      <c r="N12" s="34" t="s">
        <v>62</v>
      </c>
      <c r="O12" s="37" t="s">
        <v>97</v>
      </c>
      <c r="P12" s="37" t="s">
        <v>79</v>
      </c>
      <c r="Q12" s="37" t="s">
        <v>90</v>
      </c>
      <c r="R12" s="34" t="s">
        <v>41</v>
      </c>
      <c r="S12" s="34" t="s">
        <v>98</v>
      </c>
      <c r="T12" s="34" t="s">
        <v>59</v>
      </c>
      <c r="U12" s="35" t="n">
        <v>39384</v>
      </c>
      <c r="V12" s="38" t="n">
        <f aca="false">YEAR($V$1)-YEAR(U12)</f>
        <v>11</v>
      </c>
      <c r="W12" s="34"/>
      <c r="X12" s="37"/>
      <c r="Y12" s="34"/>
      <c r="Z12" s="34"/>
      <c r="AA12" s="34"/>
      <c r="AB12" s="34"/>
      <c r="AC12" s="34"/>
      <c r="AD12" s="34"/>
      <c r="AE12" s="45"/>
      <c r="AF12" s="40"/>
      <c r="AG12" s="40"/>
      <c r="AH12" s="40"/>
      <c r="AI12" s="40"/>
      <c r="AJ12" s="40"/>
      <c r="AK12" s="29"/>
      <c r="AL12" s="33"/>
      <c r="AM12" s="41" t="n">
        <v>10</v>
      </c>
      <c r="AO12" s="2" t="str">
        <f aca="false">CONCATENATE(AF12,AG12,AH12,AI12,AJ12)</f>
        <v/>
      </c>
    </row>
    <row r="13" customFormat="false" ht="15" hidden="false" customHeight="true" outlineLevel="0" collapsed="false">
      <c r="A13" s="8" t="n">
        <v>13</v>
      </c>
      <c r="B13" s="20"/>
      <c r="C13" s="33"/>
      <c r="D13" s="34" t="s">
        <v>99</v>
      </c>
      <c r="E13" s="34" t="s">
        <v>33</v>
      </c>
      <c r="F13" s="34" t="s">
        <v>2</v>
      </c>
      <c r="G13" s="34" t="n">
        <v>2012</v>
      </c>
      <c r="H13" s="35"/>
      <c r="I13" s="36"/>
      <c r="J13" s="34" t="s">
        <v>33</v>
      </c>
      <c r="K13" s="34" t="s">
        <v>35</v>
      </c>
      <c r="L13" s="34" t="s">
        <v>61</v>
      </c>
      <c r="M13" s="34" t="str">
        <f aca="false">CONCATENATE(K13," ",L13)</f>
        <v>ZITRON-ASCAZ AMBULATORIA</v>
      </c>
      <c r="N13" s="34" t="s">
        <v>62</v>
      </c>
      <c r="O13" s="37" t="s">
        <v>100</v>
      </c>
      <c r="P13" s="37" t="s">
        <v>79</v>
      </c>
      <c r="Q13" s="37" t="s">
        <v>90</v>
      </c>
      <c r="R13" s="34" t="s">
        <v>41</v>
      </c>
      <c r="S13" s="34" t="s">
        <v>101</v>
      </c>
      <c r="T13" s="34" t="s">
        <v>59</v>
      </c>
      <c r="U13" s="35" t="n">
        <v>41243</v>
      </c>
      <c r="V13" s="38" t="n">
        <f aca="false">YEAR($V$1)-YEAR(U13)</f>
        <v>6</v>
      </c>
      <c r="W13" s="34"/>
      <c r="X13" s="37"/>
      <c r="Y13" s="34"/>
      <c r="Z13" s="34"/>
      <c r="AA13" s="34"/>
      <c r="AB13" s="34"/>
      <c r="AC13" s="34"/>
      <c r="AD13" s="34"/>
      <c r="AE13" s="39"/>
      <c r="AF13" s="40"/>
      <c r="AG13" s="40"/>
      <c r="AH13" s="40"/>
      <c r="AI13" s="40"/>
      <c r="AJ13" s="40"/>
      <c r="AK13" s="29"/>
      <c r="AL13" s="33"/>
      <c r="AM13" s="41" t="n">
        <v>10</v>
      </c>
      <c r="AO13" s="2" t="str">
        <f aca="false">CONCATENATE(AF13,AG13,AH13,AI13,AJ13)</f>
        <v/>
      </c>
    </row>
    <row r="14" customFormat="false" ht="15" hidden="false" customHeight="true" outlineLevel="0" collapsed="false">
      <c r="A14" s="8" t="n">
        <v>14</v>
      </c>
      <c r="B14" s="20"/>
      <c r="C14" s="21" t="n">
        <v>3</v>
      </c>
      <c r="D14" s="22"/>
      <c r="E14" s="26"/>
      <c r="F14" s="26"/>
      <c r="G14" s="26"/>
      <c r="H14" s="42"/>
      <c r="I14" s="26"/>
      <c r="J14" s="26"/>
      <c r="K14" s="26"/>
      <c r="L14" s="26"/>
      <c r="M14" s="26"/>
      <c r="N14" s="26"/>
      <c r="O14" s="43"/>
      <c r="P14" s="43"/>
      <c r="Q14" s="43"/>
      <c r="R14" s="26"/>
      <c r="S14" s="26"/>
      <c r="T14" s="26"/>
      <c r="U14" s="42"/>
      <c r="V14" s="26"/>
      <c r="W14" s="26"/>
      <c r="X14" s="43"/>
      <c r="Y14" s="26"/>
      <c r="Z14" s="26"/>
      <c r="AA14" s="26"/>
      <c r="AB14" s="26"/>
      <c r="AC14" s="26"/>
      <c r="AD14" s="26"/>
      <c r="AE14" s="44"/>
      <c r="AF14" s="28"/>
      <c r="AG14" s="28"/>
      <c r="AH14" s="28"/>
      <c r="AI14" s="28"/>
      <c r="AJ14" s="28"/>
      <c r="AK14" s="29"/>
      <c r="AL14" s="30" t="n">
        <v>0</v>
      </c>
      <c r="AM14" s="30"/>
      <c r="AN14" s="32" t="e">
        <f aca="false">#REF!</f>
        <v>#REF!</v>
      </c>
      <c r="AO14" s="2" t="str">
        <f aca="false">CONCATENATE(AF14,AG14,AH14,AI14,AJ14)</f>
        <v/>
      </c>
    </row>
    <row r="15" customFormat="false" ht="15" hidden="false" customHeight="true" outlineLevel="0" collapsed="false">
      <c r="A15" s="8" t="n">
        <v>15</v>
      </c>
      <c r="B15" s="20"/>
      <c r="C15" s="33"/>
      <c r="D15" s="34" t="s">
        <v>75</v>
      </c>
      <c r="E15" s="34" t="s">
        <v>33</v>
      </c>
      <c r="F15" s="34" t="s">
        <v>2</v>
      </c>
      <c r="G15" s="34" t="s">
        <v>34</v>
      </c>
      <c r="H15" s="35"/>
      <c r="I15" s="36"/>
      <c r="J15" s="34" t="s">
        <v>33</v>
      </c>
      <c r="K15" s="34" t="s">
        <v>35</v>
      </c>
      <c r="L15" s="34" t="s">
        <v>36</v>
      </c>
      <c r="M15" s="34" t="str">
        <f aca="false">CONCATENATE(K15," ",L15)</f>
        <v>ZITRON-ASCAZ HOSPITALARIA</v>
      </c>
      <c r="N15" s="34" t="s">
        <v>102</v>
      </c>
      <c r="O15" s="37" t="s">
        <v>103</v>
      </c>
      <c r="P15" s="37" t="s">
        <v>104</v>
      </c>
      <c r="Q15" s="37" t="s">
        <v>105</v>
      </c>
      <c r="R15" s="34" t="s">
        <v>41</v>
      </c>
      <c r="S15" s="34" t="s">
        <v>106</v>
      </c>
      <c r="T15" s="34" t="s">
        <v>59</v>
      </c>
      <c r="U15" s="35" t="n">
        <v>27457</v>
      </c>
      <c r="V15" s="38" t="n">
        <f aca="false">YEAR($V$1)-YEAR(U15)</f>
        <v>43</v>
      </c>
      <c r="W15" s="34" t="s">
        <v>44</v>
      </c>
      <c r="X15" s="37" t="s">
        <v>107</v>
      </c>
      <c r="Y15" s="34" t="n">
        <v>38</v>
      </c>
      <c r="Z15" s="34" t="s">
        <v>88</v>
      </c>
      <c r="AA15" s="34" t="s">
        <v>46</v>
      </c>
      <c r="AB15" s="34" t="s">
        <v>47</v>
      </c>
      <c r="AC15" s="34" t="n">
        <v>33209</v>
      </c>
      <c r="AD15" s="34"/>
      <c r="AE15" s="39" t="s">
        <v>108</v>
      </c>
      <c r="AF15" s="40" t="s">
        <v>109</v>
      </c>
      <c r="AG15" s="40" t="s">
        <v>110</v>
      </c>
      <c r="AH15" s="40" t="s">
        <v>111</v>
      </c>
      <c r="AI15" s="40" t="s">
        <v>112</v>
      </c>
      <c r="AJ15" s="40" t="s">
        <v>113</v>
      </c>
      <c r="AK15" s="29"/>
      <c r="AL15" s="33"/>
      <c r="AM15" s="41" t="n">
        <v>10</v>
      </c>
      <c r="AO15" s="2" t="str">
        <f aca="false">CONCATENATE(AF15,AG15,AH15,AI15,AJ15)</f>
        <v>ES0900491752352190017253</v>
      </c>
    </row>
    <row r="16" customFormat="false" ht="15" hidden="false" customHeight="true" outlineLevel="0" collapsed="false">
      <c r="A16" s="8" t="n">
        <v>16</v>
      </c>
      <c r="B16" s="20"/>
      <c r="C16" s="33"/>
      <c r="D16" s="34" t="s">
        <v>114</v>
      </c>
      <c r="E16" s="34" t="s">
        <v>33</v>
      </c>
      <c r="F16" s="34" t="s">
        <v>2</v>
      </c>
      <c r="G16" s="34" t="s">
        <v>34</v>
      </c>
      <c r="H16" s="35"/>
      <c r="I16" s="36"/>
      <c r="J16" s="34" t="s">
        <v>33</v>
      </c>
      <c r="K16" s="34" t="s">
        <v>35</v>
      </c>
      <c r="L16" s="34" t="s">
        <v>36</v>
      </c>
      <c r="M16" s="34" t="str">
        <f aca="false">CONCATENATE(K16," ",L16)</f>
        <v>ZITRON-ASCAZ HOSPITALARIA</v>
      </c>
      <c r="N16" s="34" t="s">
        <v>62</v>
      </c>
      <c r="O16" s="37" t="s">
        <v>115</v>
      </c>
      <c r="P16" s="37" t="s">
        <v>116</v>
      </c>
      <c r="Q16" s="37" t="s">
        <v>104</v>
      </c>
      <c r="R16" s="34"/>
      <c r="S16" s="34"/>
      <c r="T16" s="34" t="s">
        <v>59</v>
      </c>
      <c r="U16" s="35" t="n">
        <v>40708</v>
      </c>
      <c r="V16" s="38" t="n">
        <f aca="false">YEAR($V$1)-YEAR(U16)</f>
        <v>7</v>
      </c>
      <c r="W16" s="34"/>
      <c r="X16" s="37"/>
      <c r="Y16" s="34"/>
      <c r="Z16" s="34"/>
      <c r="AA16" s="34"/>
      <c r="AB16" s="34"/>
      <c r="AC16" s="34"/>
      <c r="AD16" s="34"/>
      <c r="AE16" s="39"/>
      <c r="AF16" s="40"/>
      <c r="AG16" s="40"/>
      <c r="AH16" s="40"/>
      <c r="AI16" s="40"/>
      <c r="AJ16" s="40"/>
      <c r="AK16" s="29"/>
      <c r="AL16" s="33"/>
      <c r="AM16" s="41" t="n">
        <v>10</v>
      </c>
      <c r="AO16" s="2" t="str">
        <f aca="false">CONCATENATE(AF16,AG16,AH16,AI16,AJ16)</f>
        <v/>
      </c>
    </row>
    <row r="17" customFormat="false" ht="15" hidden="false" customHeight="true" outlineLevel="0" collapsed="false">
      <c r="A17" s="8" t="n">
        <v>17</v>
      </c>
      <c r="B17" s="20"/>
      <c r="C17" s="21" t="n">
        <v>4</v>
      </c>
      <c r="D17" s="22"/>
      <c r="E17" s="26"/>
      <c r="F17" s="26"/>
      <c r="G17" s="26"/>
      <c r="H17" s="42"/>
      <c r="I17" s="26"/>
      <c r="J17" s="26"/>
      <c r="K17" s="26"/>
      <c r="L17" s="26"/>
      <c r="M17" s="26"/>
      <c r="N17" s="26"/>
      <c r="O17" s="43"/>
      <c r="P17" s="43"/>
      <c r="Q17" s="43"/>
      <c r="R17" s="26"/>
      <c r="S17" s="26"/>
      <c r="T17" s="26"/>
      <c r="U17" s="42"/>
      <c r="V17" s="26"/>
      <c r="W17" s="26"/>
      <c r="X17" s="43"/>
      <c r="Y17" s="26"/>
      <c r="Z17" s="26"/>
      <c r="AA17" s="26"/>
      <c r="AB17" s="26"/>
      <c r="AC17" s="26"/>
      <c r="AD17" s="26"/>
      <c r="AE17" s="44"/>
      <c r="AF17" s="28"/>
      <c r="AG17" s="28"/>
      <c r="AH17" s="28"/>
      <c r="AI17" s="28"/>
      <c r="AJ17" s="28"/>
      <c r="AK17" s="29"/>
      <c r="AL17" s="30" t="n">
        <v>30</v>
      </c>
      <c r="AM17" s="30"/>
      <c r="AN17" s="32" t="e">
        <f aca="false">#REF!</f>
        <v>#REF!</v>
      </c>
      <c r="AO17" s="2" t="str">
        <f aca="false">CONCATENATE(AF17,AG17,AH17,AI17,AJ17)</f>
        <v/>
      </c>
    </row>
    <row r="18" customFormat="false" ht="15" hidden="false" customHeight="true" outlineLevel="0" collapsed="false">
      <c r="A18" s="8" t="n">
        <v>18</v>
      </c>
      <c r="B18" s="20"/>
      <c r="C18" s="33"/>
      <c r="D18" s="34" t="s">
        <v>117</v>
      </c>
      <c r="E18" s="34" t="s">
        <v>33</v>
      </c>
      <c r="F18" s="34" t="s">
        <v>2</v>
      </c>
      <c r="G18" s="34" t="s">
        <v>118</v>
      </c>
      <c r="H18" s="35"/>
      <c r="I18" s="36"/>
      <c r="J18" s="34" t="s">
        <v>33</v>
      </c>
      <c r="K18" s="34" t="s">
        <v>35</v>
      </c>
      <c r="L18" s="34" t="s">
        <v>36</v>
      </c>
      <c r="M18" s="34" t="str">
        <f aca="false">CONCATENATE(K18," ",L18)</f>
        <v>ZITRON-ASCAZ HOSPITALARIA</v>
      </c>
      <c r="N18" s="34" t="s">
        <v>102</v>
      </c>
      <c r="O18" s="37" t="s">
        <v>119</v>
      </c>
      <c r="P18" s="37" t="s">
        <v>120</v>
      </c>
      <c r="Q18" s="37"/>
      <c r="R18" s="34" t="s">
        <v>121</v>
      </c>
      <c r="S18" s="34" t="s">
        <v>122</v>
      </c>
      <c r="T18" s="34" t="s">
        <v>43</v>
      </c>
      <c r="U18" s="35" t="n">
        <v>26955</v>
      </c>
      <c r="V18" s="38" t="n">
        <f aca="false">YEAR($V$1)-YEAR(U18)</f>
        <v>45</v>
      </c>
      <c r="W18" s="34" t="s">
        <v>123</v>
      </c>
      <c r="X18" s="37" t="s">
        <v>124</v>
      </c>
      <c r="Y18" s="34" t="n">
        <v>24</v>
      </c>
      <c r="Z18" s="34"/>
      <c r="AA18" s="34" t="s">
        <v>46</v>
      </c>
      <c r="AB18" s="34" t="s">
        <v>125</v>
      </c>
      <c r="AC18" s="34" t="n">
        <v>33429</v>
      </c>
      <c r="AD18" s="34" t="n">
        <v>677308875</v>
      </c>
      <c r="AE18" s="39" t="s">
        <v>126</v>
      </c>
      <c r="AF18" s="40" t="s">
        <v>127</v>
      </c>
      <c r="AG18" s="40" t="s">
        <v>128</v>
      </c>
      <c r="AH18" s="40" t="s">
        <v>129</v>
      </c>
      <c r="AI18" s="40" t="s">
        <v>130</v>
      </c>
      <c r="AJ18" s="40" t="s">
        <v>131</v>
      </c>
      <c r="AK18" s="29"/>
      <c r="AL18" s="33"/>
      <c r="AM18" s="41" t="n">
        <v>10</v>
      </c>
      <c r="AO18" s="2" t="str">
        <f aca="false">CONCATENATE(AF18,AG18,AH18,AI18,AJ18)</f>
        <v>ES2400815189700001063012</v>
      </c>
    </row>
    <row r="19" customFormat="false" ht="15" hidden="false" customHeight="true" outlineLevel="0" collapsed="false">
      <c r="A19" s="8" t="n">
        <v>19</v>
      </c>
      <c r="B19" s="20"/>
      <c r="C19" s="33"/>
      <c r="D19" s="34" t="s">
        <v>132</v>
      </c>
      <c r="E19" s="34" t="s">
        <v>33</v>
      </c>
      <c r="F19" s="34" t="s">
        <v>2</v>
      </c>
      <c r="G19" s="34" t="s">
        <v>118</v>
      </c>
      <c r="H19" s="35"/>
      <c r="I19" s="36"/>
      <c r="J19" s="34" t="s">
        <v>33</v>
      </c>
      <c r="K19" s="34" t="s">
        <v>35</v>
      </c>
      <c r="L19" s="34" t="s">
        <v>36</v>
      </c>
      <c r="M19" s="34" t="str">
        <f aca="false">CONCATENATE(K19," ",L19)</f>
        <v>ZITRON-ASCAZ HOSPITALARIA</v>
      </c>
      <c r="N19" s="34" t="s">
        <v>54</v>
      </c>
      <c r="O19" s="37" t="s">
        <v>133</v>
      </c>
      <c r="P19" s="37" t="s">
        <v>134</v>
      </c>
      <c r="Q19" s="37" t="s">
        <v>135</v>
      </c>
      <c r="R19" s="34" t="s">
        <v>41</v>
      </c>
      <c r="S19" s="34" t="s">
        <v>136</v>
      </c>
      <c r="T19" s="34" t="s">
        <v>59</v>
      </c>
      <c r="U19" s="35" t="n">
        <v>24009</v>
      </c>
      <c r="V19" s="38" t="n">
        <f aca="false">YEAR($V$1)-YEAR(U19)</f>
        <v>53</v>
      </c>
      <c r="W19" s="34"/>
      <c r="X19" s="37"/>
      <c r="Y19" s="34"/>
      <c r="Z19" s="34"/>
      <c r="AA19" s="34"/>
      <c r="AB19" s="34"/>
      <c r="AC19" s="34"/>
      <c r="AD19" s="34"/>
      <c r="AE19" s="39"/>
      <c r="AF19" s="40"/>
      <c r="AG19" s="40"/>
      <c r="AH19" s="40"/>
      <c r="AI19" s="40"/>
      <c r="AJ19" s="40"/>
      <c r="AK19" s="29"/>
      <c r="AL19" s="33"/>
      <c r="AM19" s="41" t="n">
        <v>10</v>
      </c>
      <c r="AO19" s="2" t="str">
        <f aca="false">CONCATENATE(AF19,AG19,AH19,AI19,AJ19)</f>
        <v/>
      </c>
    </row>
    <row r="20" customFormat="false" ht="15" hidden="false" customHeight="true" outlineLevel="0" collapsed="false">
      <c r="A20" s="8" t="n">
        <v>20</v>
      </c>
      <c r="B20" s="20"/>
      <c r="C20" s="21" t="n">
        <v>5</v>
      </c>
      <c r="D20" s="22"/>
      <c r="E20" s="26"/>
      <c r="F20" s="26"/>
      <c r="G20" s="26"/>
      <c r="H20" s="42"/>
      <c r="I20" s="26"/>
      <c r="J20" s="26"/>
      <c r="K20" s="26"/>
      <c r="L20" s="26"/>
      <c r="M20" s="26"/>
      <c r="N20" s="26"/>
      <c r="O20" s="43"/>
      <c r="P20" s="43"/>
      <c r="Q20" s="43"/>
      <c r="R20" s="26"/>
      <c r="S20" s="26"/>
      <c r="T20" s="26"/>
      <c r="U20" s="42"/>
      <c r="V20" s="26"/>
      <c r="W20" s="26"/>
      <c r="X20" s="43"/>
      <c r="Y20" s="26"/>
      <c r="Z20" s="26"/>
      <c r="AA20" s="26"/>
      <c r="AB20" s="26"/>
      <c r="AC20" s="26"/>
      <c r="AD20" s="26"/>
      <c r="AE20" s="44"/>
      <c r="AF20" s="28"/>
      <c r="AG20" s="28"/>
      <c r="AH20" s="28"/>
      <c r="AI20" s="28"/>
      <c r="AJ20" s="28"/>
      <c r="AK20" s="29"/>
      <c r="AL20" s="30" t="n">
        <v>30</v>
      </c>
      <c r="AM20" s="30"/>
      <c r="AN20" s="32" t="e">
        <f aca="false">#REF!</f>
        <v>#REF!</v>
      </c>
      <c r="AO20" s="2" t="str">
        <f aca="false">CONCATENATE(AF20,AG20,AH20,AI20,AJ20)</f>
        <v/>
      </c>
    </row>
    <row r="21" customFormat="false" ht="15" hidden="false" customHeight="true" outlineLevel="0" collapsed="false">
      <c r="A21" s="8" t="n">
        <v>21</v>
      </c>
      <c r="B21" s="20"/>
      <c r="C21" s="33"/>
      <c r="D21" s="34" t="s">
        <v>137</v>
      </c>
      <c r="E21" s="34" t="s">
        <v>33</v>
      </c>
      <c r="F21" s="34" t="s">
        <v>2</v>
      </c>
      <c r="G21" s="34" t="s">
        <v>118</v>
      </c>
      <c r="H21" s="35"/>
      <c r="I21" s="36"/>
      <c r="J21" s="34" t="s">
        <v>33</v>
      </c>
      <c r="K21" s="34" t="s">
        <v>35</v>
      </c>
      <c r="L21" s="34" t="s">
        <v>36</v>
      </c>
      <c r="M21" s="34" t="str">
        <f aca="false">CONCATENATE(K21," ",L21)</f>
        <v>ZITRON-ASCAZ HOSPITALARIA</v>
      </c>
      <c r="N21" s="34" t="s">
        <v>102</v>
      </c>
      <c r="O21" s="37" t="s">
        <v>138</v>
      </c>
      <c r="P21" s="37" t="s">
        <v>139</v>
      </c>
      <c r="Q21" s="37" t="s">
        <v>140</v>
      </c>
      <c r="R21" s="34" t="s">
        <v>41</v>
      </c>
      <c r="S21" s="34" t="s">
        <v>141</v>
      </c>
      <c r="T21" s="34" t="s">
        <v>43</v>
      </c>
      <c r="U21" s="35" t="n">
        <v>26314</v>
      </c>
      <c r="V21" s="38" t="n">
        <f aca="false">YEAR($V$1)-YEAR(U21)</f>
        <v>46</v>
      </c>
      <c r="W21" s="34" t="s">
        <v>142</v>
      </c>
      <c r="X21" s="37" t="s">
        <v>143</v>
      </c>
      <c r="Y21" s="34" t="n">
        <v>47</v>
      </c>
      <c r="Z21" s="34" t="s">
        <v>144</v>
      </c>
      <c r="AA21" s="34" t="s">
        <v>46</v>
      </c>
      <c r="AB21" s="34" t="s">
        <v>47</v>
      </c>
      <c r="AC21" s="34" t="n">
        <v>33207</v>
      </c>
      <c r="AD21" s="34" t="n">
        <v>985095443</v>
      </c>
      <c r="AE21" s="39" t="s">
        <v>145</v>
      </c>
      <c r="AF21" s="40" t="s">
        <v>146</v>
      </c>
      <c r="AG21" s="40" t="s">
        <v>147</v>
      </c>
      <c r="AH21" s="40" t="s">
        <v>148</v>
      </c>
      <c r="AI21" s="40" t="s">
        <v>149</v>
      </c>
      <c r="AJ21" s="40" t="s">
        <v>150</v>
      </c>
      <c r="AK21" s="29"/>
      <c r="AL21" s="33"/>
      <c r="AM21" s="41" t="n">
        <v>10</v>
      </c>
      <c r="AO21" s="2" t="str">
        <f aca="false">CONCATENATE(AF21,AG21,AH21,AI21,AJ21)</f>
        <v>ES3021002899582200035830</v>
      </c>
    </row>
    <row r="22" customFormat="false" ht="15" hidden="false" customHeight="true" outlineLevel="0" collapsed="false">
      <c r="A22" s="8" t="n">
        <v>22</v>
      </c>
      <c r="B22" s="20"/>
      <c r="C22" s="33"/>
      <c r="D22" s="34" t="s">
        <v>151</v>
      </c>
      <c r="E22" s="34" t="s">
        <v>33</v>
      </c>
      <c r="F22" s="34" t="s">
        <v>2</v>
      </c>
      <c r="G22" s="34" t="s">
        <v>118</v>
      </c>
      <c r="H22" s="35"/>
      <c r="I22" s="36"/>
      <c r="J22" s="34" t="s">
        <v>33</v>
      </c>
      <c r="K22" s="34" t="s">
        <v>35</v>
      </c>
      <c r="L22" s="34" t="s">
        <v>36</v>
      </c>
      <c r="M22" s="34" t="str">
        <f aca="false">CONCATENATE(K22," ",L22)</f>
        <v>ZITRON-ASCAZ HOSPITALARIA</v>
      </c>
      <c r="N22" s="34" t="s">
        <v>54</v>
      </c>
      <c r="O22" s="37" t="s">
        <v>152</v>
      </c>
      <c r="P22" s="37" t="s">
        <v>153</v>
      </c>
      <c r="Q22" s="37" t="s">
        <v>154</v>
      </c>
      <c r="R22" s="34" t="s">
        <v>41</v>
      </c>
      <c r="S22" s="34" t="s">
        <v>155</v>
      </c>
      <c r="T22" s="34" t="s">
        <v>59</v>
      </c>
      <c r="U22" s="35" t="n">
        <v>25221</v>
      </c>
      <c r="V22" s="38" t="n">
        <f aca="false">YEAR($V$1)-YEAR(U22)</f>
        <v>49</v>
      </c>
      <c r="W22" s="34"/>
      <c r="X22" s="37"/>
      <c r="Y22" s="34"/>
      <c r="Z22" s="34"/>
      <c r="AA22" s="34"/>
      <c r="AB22" s="34"/>
      <c r="AC22" s="34"/>
      <c r="AD22" s="34"/>
      <c r="AE22" s="39"/>
      <c r="AF22" s="40"/>
      <c r="AG22" s="40"/>
      <c r="AH22" s="40"/>
      <c r="AI22" s="40"/>
      <c r="AJ22" s="40"/>
      <c r="AK22" s="29"/>
      <c r="AL22" s="33"/>
      <c r="AM22" s="41" t="n">
        <v>10</v>
      </c>
      <c r="AO22" s="2" t="str">
        <f aca="false">CONCATENATE(AF22,AG22,AH22,AI22,AJ22)</f>
        <v/>
      </c>
    </row>
    <row r="23" customFormat="false" ht="15" hidden="false" customHeight="true" outlineLevel="0" collapsed="false">
      <c r="A23" s="8" t="n">
        <v>23</v>
      </c>
      <c r="B23" s="20"/>
      <c r="C23" s="33"/>
      <c r="D23" s="34" t="s">
        <v>156</v>
      </c>
      <c r="E23" s="34" t="s">
        <v>33</v>
      </c>
      <c r="F23" s="34" t="s">
        <v>2</v>
      </c>
      <c r="G23" s="34" t="s">
        <v>118</v>
      </c>
      <c r="H23" s="35"/>
      <c r="I23" s="36"/>
      <c r="J23" s="34" t="s">
        <v>33</v>
      </c>
      <c r="K23" s="34" t="s">
        <v>35</v>
      </c>
      <c r="L23" s="34" t="s">
        <v>36</v>
      </c>
      <c r="M23" s="34" t="str">
        <f aca="false">CONCATENATE(K23," ",L23)</f>
        <v>ZITRON-ASCAZ HOSPITALARIA</v>
      </c>
      <c r="N23" s="34" t="s">
        <v>62</v>
      </c>
      <c r="O23" s="37" t="s">
        <v>157</v>
      </c>
      <c r="P23" s="37" t="s">
        <v>139</v>
      </c>
      <c r="Q23" s="37" t="s">
        <v>153</v>
      </c>
      <c r="R23" s="34" t="s">
        <v>41</v>
      </c>
      <c r="S23" s="34" t="s">
        <v>158</v>
      </c>
      <c r="T23" s="34" t="s">
        <v>59</v>
      </c>
      <c r="U23" s="35" t="n">
        <v>37908</v>
      </c>
      <c r="V23" s="38" t="n">
        <f aca="false">YEAR($V$1)-YEAR(U23)</f>
        <v>15</v>
      </c>
      <c r="W23" s="34"/>
      <c r="X23" s="37"/>
      <c r="Y23" s="34"/>
      <c r="Z23" s="34"/>
      <c r="AA23" s="34"/>
      <c r="AB23" s="34"/>
      <c r="AC23" s="34"/>
      <c r="AD23" s="34"/>
      <c r="AE23" s="39"/>
      <c r="AF23" s="40"/>
      <c r="AG23" s="40"/>
      <c r="AH23" s="40"/>
      <c r="AI23" s="40"/>
      <c r="AJ23" s="40"/>
      <c r="AK23" s="29"/>
      <c r="AL23" s="33"/>
      <c r="AM23" s="41" t="n">
        <v>10</v>
      </c>
      <c r="AO23" s="2" t="str">
        <f aca="false">CONCATENATE(AF23,AG23,AH23,AI23,AJ23)</f>
        <v/>
      </c>
    </row>
    <row r="24" customFormat="false" ht="15" hidden="false" customHeight="true" outlineLevel="0" collapsed="false">
      <c r="A24" s="8" t="n">
        <v>24</v>
      </c>
      <c r="B24" s="20"/>
      <c r="C24" s="21" t="n">
        <v>6</v>
      </c>
      <c r="D24" s="22"/>
      <c r="E24" s="26"/>
      <c r="F24" s="26"/>
      <c r="G24" s="26"/>
      <c r="H24" s="42"/>
      <c r="I24" s="26"/>
      <c r="J24" s="26"/>
      <c r="K24" s="26"/>
      <c r="L24" s="26"/>
      <c r="M24" s="26"/>
      <c r="N24" s="26"/>
      <c r="O24" s="43"/>
      <c r="P24" s="43"/>
      <c r="Q24" s="43"/>
      <c r="R24" s="26"/>
      <c r="S24" s="26"/>
      <c r="T24" s="26"/>
      <c r="U24" s="42"/>
      <c r="V24" s="26"/>
      <c r="W24" s="26"/>
      <c r="X24" s="43"/>
      <c r="Y24" s="26"/>
      <c r="Z24" s="26"/>
      <c r="AA24" s="26"/>
      <c r="AB24" s="26"/>
      <c r="AC24" s="26"/>
      <c r="AD24" s="26"/>
      <c r="AE24" s="44"/>
      <c r="AF24" s="28"/>
      <c r="AG24" s="28"/>
      <c r="AH24" s="28"/>
      <c r="AI24" s="28"/>
      <c r="AJ24" s="28"/>
      <c r="AK24" s="29"/>
      <c r="AL24" s="30" t="n">
        <v>30</v>
      </c>
      <c r="AM24" s="30"/>
      <c r="AN24" s="32" t="e">
        <f aca="false">#REF!</f>
        <v>#REF!</v>
      </c>
      <c r="AO24" s="2" t="str">
        <f aca="false">CONCATENATE(AF24,AG24,AH24,AI24,AJ24)</f>
        <v/>
      </c>
    </row>
    <row r="25" customFormat="false" ht="15" hidden="false" customHeight="true" outlineLevel="0" collapsed="false">
      <c r="A25" s="8" t="n">
        <v>25</v>
      </c>
      <c r="B25" s="20"/>
      <c r="C25" s="33"/>
      <c r="D25" s="34" t="s">
        <v>159</v>
      </c>
      <c r="E25" s="34" t="s">
        <v>33</v>
      </c>
      <c r="F25" s="34" t="s">
        <v>2</v>
      </c>
      <c r="G25" s="34" t="s">
        <v>118</v>
      </c>
      <c r="H25" s="35"/>
      <c r="I25" s="36"/>
      <c r="J25" s="34" t="s">
        <v>33</v>
      </c>
      <c r="K25" s="34" t="s">
        <v>35</v>
      </c>
      <c r="L25" s="34" t="s">
        <v>36</v>
      </c>
      <c r="M25" s="34" t="str">
        <f aca="false">CONCATENATE(K25," ",L25)</f>
        <v>ZITRON-ASCAZ HOSPITALARIA</v>
      </c>
      <c r="N25" s="34" t="s">
        <v>102</v>
      </c>
      <c r="O25" s="37" t="s">
        <v>160</v>
      </c>
      <c r="P25" s="37" t="s">
        <v>134</v>
      </c>
      <c r="Q25" s="37" t="s">
        <v>161</v>
      </c>
      <c r="R25" s="34" t="s">
        <v>41</v>
      </c>
      <c r="S25" s="34" t="s">
        <v>162</v>
      </c>
      <c r="T25" s="34" t="s">
        <v>43</v>
      </c>
      <c r="U25" s="35" t="n">
        <v>28024</v>
      </c>
      <c r="V25" s="38" t="n">
        <f aca="false">YEAR($V$1)-YEAR(U25)</f>
        <v>42</v>
      </c>
      <c r="W25" s="34" t="s">
        <v>44</v>
      </c>
      <c r="X25" s="37" t="s">
        <v>163</v>
      </c>
      <c r="Y25" s="34" t="n">
        <v>57</v>
      </c>
      <c r="Z25" s="34" t="s">
        <v>164</v>
      </c>
      <c r="AA25" s="34" t="s">
        <v>46</v>
      </c>
      <c r="AB25" s="34" t="s">
        <v>47</v>
      </c>
      <c r="AC25" s="34" t="n">
        <v>33210</v>
      </c>
      <c r="AD25" s="34" t="n">
        <v>655170001</v>
      </c>
      <c r="AE25" s="39" t="s">
        <v>165</v>
      </c>
      <c r="AF25" s="40" t="s">
        <v>166</v>
      </c>
      <c r="AG25" s="40" t="s">
        <v>128</v>
      </c>
      <c r="AH25" s="40" t="s">
        <v>167</v>
      </c>
      <c r="AI25" s="40" t="s">
        <v>168</v>
      </c>
      <c r="AJ25" s="40" t="s">
        <v>169</v>
      </c>
      <c r="AK25" s="29"/>
      <c r="AL25" s="33"/>
      <c r="AM25" s="41" t="n">
        <v>10</v>
      </c>
      <c r="AO25" s="2" t="str">
        <f aca="false">CONCATENATE(AF25,AG25,AH25,AI25,AJ25)</f>
        <v>ES8100815066510001102920</v>
      </c>
    </row>
    <row r="26" customFormat="false" ht="15" hidden="false" customHeight="true" outlineLevel="0" collapsed="false">
      <c r="A26" s="8" t="n">
        <v>26</v>
      </c>
      <c r="B26" s="20"/>
      <c r="C26" s="21" t="n">
        <v>7</v>
      </c>
      <c r="D26" s="22"/>
      <c r="E26" s="26"/>
      <c r="F26" s="26"/>
      <c r="G26" s="26"/>
      <c r="H26" s="42"/>
      <c r="I26" s="26"/>
      <c r="J26" s="26"/>
      <c r="K26" s="26"/>
      <c r="L26" s="26"/>
      <c r="M26" s="26"/>
      <c r="N26" s="26"/>
      <c r="O26" s="43"/>
      <c r="P26" s="43"/>
      <c r="Q26" s="43"/>
      <c r="R26" s="26"/>
      <c r="S26" s="26"/>
      <c r="T26" s="26"/>
      <c r="U26" s="42"/>
      <c r="V26" s="26"/>
      <c r="W26" s="26"/>
      <c r="X26" s="43"/>
      <c r="Y26" s="26"/>
      <c r="Z26" s="26"/>
      <c r="AA26" s="26"/>
      <c r="AB26" s="26"/>
      <c r="AC26" s="26"/>
      <c r="AD26" s="26"/>
      <c r="AE26" s="44"/>
      <c r="AF26" s="28"/>
      <c r="AG26" s="28"/>
      <c r="AH26" s="28"/>
      <c r="AI26" s="28"/>
      <c r="AJ26" s="28"/>
      <c r="AK26" s="29"/>
      <c r="AL26" s="30" t="n">
        <v>0</v>
      </c>
      <c r="AM26" s="30"/>
      <c r="AN26" s="32" t="e">
        <f aca="false">#REF!</f>
        <v>#REF!</v>
      </c>
      <c r="AO26" s="2" t="str">
        <f aca="false">CONCATENATE(AF26,AG26,AH26,AI26,AJ26)</f>
        <v/>
      </c>
    </row>
    <row r="27" customFormat="false" ht="15" hidden="false" customHeight="true" outlineLevel="0" collapsed="false">
      <c r="A27" s="8" t="n">
        <v>27</v>
      </c>
      <c r="B27" s="20"/>
      <c r="C27" s="33"/>
      <c r="D27" s="34" t="s">
        <v>170</v>
      </c>
      <c r="E27" s="34" t="s">
        <v>33</v>
      </c>
      <c r="F27" s="34" t="s">
        <v>171</v>
      </c>
      <c r="G27" s="34" t="s">
        <v>34</v>
      </c>
      <c r="H27" s="35"/>
      <c r="I27" s="36"/>
      <c r="J27" s="34" t="s">
        <v>33</v>
      </c>
      <c r="K27" s="34" t="s">
        <v>35</v>
      </c>
      <c r="L27" s="34" t="s">
        <v>36</v>
      </c>
      <c r="M27" s="34" t="str">
        <f aca="false">CONCATENATE(K27," ",L27)</f>
        <v>ZITRON-ASCAZ HOSPITALARIA</v>
      </c>
      <c r="N27" s="34" t="s">
        <v>102</v>
      </c>
      <c r="O27" s="37" t="s">
        <v>172</v>
      </c>
      <c r="P27" s="37" t="s">
        <v>134</v>
      </c>
      <c r="Q27" s="37" t="s">
        <v>173</v>
      </c>
      <c r="R27" s="34" t="s">
        <v>41</v>
      </c>
      <c r="S27" s="34" t="s">
        <v>174</v>
      </c>
      <c r="T27" s="34" t="s">
        <v>43</v>
      </c>
      <c r="U27" s="35" t="n">
        <v>20160</v>
      </c>
      <c r="V27" s="38" t="n">
        <f aca="false">YEAR($V$1)-YEAR(U27)</f>
        <v>63</v>
      </c>
      <c r="W27" s="34" t="s">
        <v>44</v>
      </c>
      <c r="X27" s="37" t="s">
        <v>175</v>
      </c>
      <c r="Y27" s="34" t="n">
        <v>12</v>
      </c>
      <c r="Z27" s="34" t="s">
        <v>176</v>
      </c>
      <c r="AA27" s="34" t="s">
        <v>46</v>
      </c>
      <c r="AB27" s="34" t="s">
        <v>47</v>
      </c>
      <c r="AC27" s="34" t="n">
        <v>33209</v>
      </c>
      <c r="AD27" s="34" t="n">
        <v>657038512</v>
      </c>
      <c r="AE27" s="39" t="s">
        <v>177</v>
      </c>
      <c r="AF27" s="40" t="s">
        <v>178</v>
      </c>
      <c r="AG27" s="40" t="s">
        <v>179</v>
      </c>
      <c r="AH27" s="40" t="s">
        <v>180</v>
      </c>
      <c r="AI27" s="40" t="s">
        <v>181</v>
      </c>
      <c r="AJ27" s="40" t="s">
        <v>182</v>
      </c>
      <c r="AK27" s="29"/>
      <c r="AL27" s="33"/>
      <c r="AM27" s="41" t="n">
        <v>10</v>
      </c>
      <c r="AO27" s="2" t="str">
        <f aca="false">CONCATENATE(AF27,AG27,AH27,AI27,AJ27)</f>
        <v>ES6930070003191579031210</v>
      </c>
    </row>
    <row r="28" customFormat="false" ht="15" hidden="false" customHeight="true" outlineLevel="0" collapsed="false">
      <c r="A28" s="8" t="n">
        <v>28</v>
      </c>
      <c r="B28" s="20"/>
      <c r="C28" s="33"/>
      <c r="D28" s="34" t="s">
        <v>183</v>
      </c>
      <c r="E28" s="34" t="s">
        <v>33</v>
      </c>
      <c r="F28" s="34" t="s">
        <v>171</v>
      </c>
      <c r="G28" s="34" t="s">
        <v>34</v>
      </c>
      <c r="H28" s="35"/>
      <c r="I28" s="36"/>
      <c r="J28" s="34" t="s">
        <v>33</v>
      </c>
      <c r="K28" s="34" t="s">
        <v>35</v>
      </c>
      <c r="L28" s="34" t="s">
        <v>36</v>
      </c>
      <c r="M28" s="34" t="str">
        <f aca="false">CONCATENATE(K28," ",L28)</f>
        <v>ZITRON-ASCAZ HOSPITALARIA</v>
      </c>
      <c r="N28" s="34" t="s">
        <v>54</v>
      </c>
      <c r="O28" s="37" t="s">
        <v>184</v>
      </c>
      <c r="P28" s="37" t="s">
        <v>161</v>
      </c>
      <c r="Q28" s="37" t="s">
        <v>185</v>
      </c>
      <c r="R28" s="34" t="s">
        <v>41</v>
      </c>
      <c r="S28" s="34" t="s">
        <v>186</v>
      </c>
      <c r="T28" s="34" t="s">
        <v>59</v>
      </c>
      <c r="U28" s="35" t="n">
        <v>21093</v>
      </c>
      <c r="V28" s="38" t="n">
        <f aca="false">YEAR($V$1)-YEAR(U28)</f>
        <v>61</v>
      </c>
      <c r="W28" s="34"/>
      <c r="X28" s="37"/>
      <c r="Y28" s="34"/>
      <c r="Z28" s="34"/>
      <c r="AA28" s="34"/>
      <c r="AB28" s="34"/>
      <c r="AC28" s="34"/>
      <c r="AD28" s="34"/>
      <c r="AE28" s="39"/>
      <c r="AF28" s="40"/>
      <c r="AG28" s="40"/>
      <c r="AH28" s="40"/>
      <c r="AI28" s="40"/>
      <c r="AJ28" s="40"/>
      <c r="AK28" s="29"/>
      <c r="AL28" s="33"/>
      <c r="AM28" s="41" t="n">
        <v>10</v>
      </c>
      <c r="AO28" s="2" t="str">
        <f aca="false">CONCATENATE(AF28,AG28,AH28,AI28,AJ28)</f>
        <v/>
      </c>
    </row>
    <row r="29" customFormat="false" ht="15" hidden="false" customHeight="true" outlineLevel="0" collapsed="false">
      <c r="A29" s="8" t="n">
        <v>29</v>
      </c>
      <c r="B29" s="20"/>
      <c r="C29" s="21" t="n">
        <v>8</v>
      </c>
      <c r="D29" s="22"/>
      <c r="E29" s="26"/>
      <c r="F29" s="26"/>
      <c r="G29" s="26"/>
      <c r="H29" s="42"/>
      <c r="I29" s="26"/>
      <c r="J29" s="26"/>
      <c r="K29" s="26"/>
      <c r="L29" s="26"/>
      <c r="M29" s="26"/>
      <c r="N29" s="26"/>
      <c r="O29" s="43"/>
      <c r="P29" s="43"/>
      <c r="Q29" s="43"/>
      <c r="R29" s="26"/>
      <c r="S29" s="26"/>
      <c r="T29" s="26"/>
      <c r="U29" s="42"/>
      <c r="V29" s="26"/>
      <c r="W29" s="26"/>
      <c r="X29" s="43"/>
      <c r="Y29" s="26"/>
      <c r="Z29" s="26"/>
      <c r="AA29" s="26"/>
      <c r="AB29" s="26"/>
      <c r="AC29" s="26"/>
      <c r="AD29" s="26"/>
      <c r="AE29" s="44"/>
      <c r="AF29" s="28"/>
      <c r="AG29" s="28"/>
      <c r="AH29" s="28"/>
      <c r="AI29" s="28"/>
      <c r="AJ29" s="28"/>
      <c r="AK29" s="29"/>
      <c r="AL29" s="30" t="n">
        <v>30</v>
      </c>
      <c r="AM29" s="30"/>
      <c r="AN29" s="32" t="e">
        <f aca="false">#REF!</f>
        <v>#REF!</v>
      </c>
      <c r="AO29" s="2" t="str">
        <f aca="false">CONCATENATE(AF29,AG29,AH29,AI29,AJ29)</f>
        <v/>
      </c>
    </row>
    <row r="30" customFormat="false" ht="15" hidden="false" customHeight="true" outlineLevel="0" collapsed="false">
      <c r="A30" s="8" t="n">
        <v>30</v>
      </c>
      <c r="B30" s="20"/>
      <c r="C30" s="33"/>
      <c r="D30" s="34" t="s">
        <v>187</v>
      </c>
      <c r="E30" s="34" t="s">
        <v>33</v>
      </c>
      <c r="F30" s="34" t="s">
        <v>2</v>
      </c>
      <c r="G30" s="34" t="s">
        <v>118</v>
      </c>
      <c r="H30" s="35"/>
      <c r="I30" s="36"/>
      <c r="J30" s="34" t="s">
        <v>33</v>
      </c>
      <c r="K30" s="34" t="s">
        <v>35</v>
      </c>
      <c r="L30" s="34" t="s">
        <v>36</v>
      </c>
      <c r="M30" s="34" t="str">
        <f aca="false">CONCATENATE(K30," ",L30)</f>
        <v>ZITRON-ASCAZ HOSPITALARIA</v>
      </c>
      <c r="N30" s="34" t="s">
        <v>102</v>
      </c>
      <c r="O30" s="37" t="s">
        <v>188</v>
      </c>
      <c r="P30" s="37" t="s">
        <v>189</v>
      </c>
      <c r="Q30" s="37" t="s">
        <v>190</v>
      </c>
      <c r="R30" s="34" t="s">
        <v>41</v>
      </c>
      <c r="S30" s="34" t="s">
        <v>191</v>
      </c>
      <c r="T30" s="34" t="s">
        <v>43</v>
      </c>
      <c r="U30" s="35" t="n">
        <v>26723</v>
      </c>
      <c r="V30" s="38" t="n">
        <f aca="false">YEAR($V$1)-YEAR(U30)</f>
        <v>45</v>
      </c>
      <c r="W30" s="34" t="s">
        <v>44</v>
      </c>
      <c r="X30" s="37" t="s">
        <v>192</v>
      </c>
      <c r="Y30" s="34" t="n">
        <v>4</v>
      </c>
      <c r="Z30" s="34" t="s">
        <v>193</v>
      </c>
      <c r="AA30" s="34" t="s">
        <v>46</v>
      </c>
      <c r="AB30" s="34" t="s">
        <v>47</v>
      </c>
      <c r="AC30" s="34" t="n">
        <v>33210</v>
      </c>
      <c r="AD30" s="34" t="n">
        <v>637974971</v>
      </c>
      <c r="AE30" s="39" t="s">
        <v>194</v>
      </c>
      <c r="AF30" s="40" t="s">
        <v>195</v>
      </c>
      <c r="AG30" s="40" t="n">
        <v>1465</v>
      </c>
      <c r="AH30" s="40" t="s">
        <v>196</v>
      </c>
      <c r="AI30" s="40" t="n">
        <v>96</v>
      </c>
      <c r="AJ30" s="40" t="s">
        <v>197</v>
      </c>
      <c r="AK30" s="29"/>
      <c r="AL30" s="33"/>
      <c r="AM30" s="41" t="n">
        <v>10</v>
      </c>
      <c r="AO30" s="2" t="str">
        <f aca="false">CONCATENATE(AF30,AG30,AH30,AI30,AJ30)</f>
        <v>ES3214650100961705666124</v>
      </c>
    </row>
    <row r="31" customFormat="false" ht="15" hidden="false" customHeight="true" outlineLevel="0" collapsed="false">
      <c r="A31" s="8" t="n">
        <v>31</v>
      </c>
      <c r="B31" s="20"/>
      <c r="C31" s="33"/>
      <c r="D31" s="34" t="s">
        <v>198</v>
      </c>
      <c r="E31" s="34" t="s">
        <v>33</v>
      </c>
      <c r="F31" s="34" t="s">
        <v>2</v>
      </c>
      <c r="G31" s="34" t="s">
        <v>118</v>
      </c>
      <c r="H31" s="35"/>
      <c r="I31" s="36"/>
      <c r="J31" s="34" t="s">
        <v>33</v>
      </c>
      <c r="K31" s="34" t="s">
        <v>35</v>
      </c>
      <c r="L31" s="34" t="s">
        <v>36</v>
      </c>
      <c r="M31" s="34" t="str">
        <f aca="false">CONCATENATE(K31," ",L31)</f>
        <v>ZITRON-ASCAZ HOSPITALARIA</v>
      </c>
      <c r="N31" s="34" t="s">
        <v>54</v>
      </c>
      <c r="O31" s="37" t="s">
        <v>199</v>
      </c>
      <c r="P31" s="37" t="s">
        <v>200</v>
      </c>
      <c r="Q31" s="37" t="s">
        <v>201</v>
      </c>
      <c r="R31" s="34" t="s">
        <v>41</v>
      </c>
      <c r="S31" s="34" t="s">
        <v>202</v>
      </c>
      <c r="T31" s="34" t="s">
        <v>59</v>
      </c>
      <c r="U31" s="35" t="n">
        <v>28393</v>
      </c>
      <c r="V31" s="38" t="n">
        <f aca="false">YEAR($V$1)-YEAR(U31)</f>
        <v>41</v>
      </c>
      <c r="W31" s="34"/>
      <c r="X31" s="37"/>
      <c r="Y31" s="34"/>
      <c r="Z31" s="34"/>
      <c r="AA31" s="34"/>
      <c r="AB31" s="34"/>
      <c r="AC31" s="34"/>
      <c r="AD31" s="34"/>
      <c r="AE31" s="39"/>
      <c r="AF31" s="40"/>
      <c r="AG31" s="40"/>
      <c r="AH31" s="40"/>
      <c r="AI31" s="40"/>
      <c r="AJ31" s="40"/>
      <c r="AK31" s="29"/>
      <c r="AL31" s="33"/>
      <c r="AM31" s="41" t="n">
        <v>10</v>
      </c>
      <c r="AO31" s="2" t="str">
        <f aca="false">CONCATENATE(AF31,AG31,AH31,AI31,AJ31)</f>
        <v/>
      </c>
    </row>
    <row r="32" customFormat="false" ht="15" hidden="false" customHeight="true" outlineLevel="0" collapsed="false">
      <c r="A32" s="8" t="n">
        <v>32</v>
      </c>
      <c r="B32" s="20"/>
      <c r="C32" s="21" t="n">
        <v>9</v>
      </c>
      <c r="D32" s="22"/>
      <c r="E32" s="26"/>
      <c r="F32" s="26"/>
      <c r="G32" s="26"/>
      <c r="H32" s="42"/>
      <c r="I32" s="26"/>
      <c r="J32" s="26"/>
      <c r="K32" s="26"/>
      <c r="L32" s="26"/>
      <c r="M32" s="26"/>
      <c r="N32" s="26"/>
      <c r="O32" s="43"/>
      <c r="P32" s="43"/>
      <c r="Q32" s="43"/>
      <c r="R32" s="26"/>
      <c r="S32" s="26"/>
      <c r="T32" s="26"/>
      <c r="U32" s="42"/>
      <c r="V32" s="26"/>
      <c r="W32" s="26"/>
      <c r="X32" s="43"/>
      <c r="Y32" s="26"/>
      <c r="Z32" s="26"/>
      <c r="AA32" s="26"/>
      <c r="AB32" s="26"/>
      <c r="AC32" s="26"/>
      <c r="AD32" s="26"/>
      <c r="AE32" s="44"/>
      <c r="AF32" s="28"/>
      <c r="AG32" s="28"/>
      <c r="AH32" s="28"/>
      <c r="AI32" s="28"/>
      <c r="AJ32" s="28"/>
      <c r="AK32" s="29"/>
      <c r="AL32" s="30" t="n">
        <v>0</v>
      </c>
      <c r="AM32" s="30"/>
      <c r="AN32" s="32" t="e">
        <f aca="false">#REF!</f>
        <v>#REF!</v>
      </c>
      <c r="AO32" s="2" t="str">
        <f aca="false">CONCATENATE(AF32,AG32,AH32,AI32,AJ32)</f>
        <v/>
      </c>
    </row>
    <row r="33" customFormat="false" ht="15" hidden="false" customHeight="true" outlineLevel="0" collapsed="false">
      <c r="A33" s="8" t="n">
        <v>33</v>
      </c>
      <c r="B33" s="20"/>
      <c r="C33" s="33"/>
      <c r="D33" s="34" t="s">
        <v>203</v>
      </c>
      <c r="E33" s="34" t="s">
        <v>33</v>
      </c>
      <c r="F33" s="34" t="s">
        <v>2</v>
      </c>
      <c r="G33" s="34" t="s">
        <v>34</v>
      </c>
      <c r="H33" s="35"/>
      <c r="I33" s="36"/>
      <c r="J33" s="34" t="s">
        <v>33</v>
      </c>
      <c r="K33" s="34" t="s">
        <v>35</v>
      </c>
      <c r="L33" s="34" t="s">
        <v>36</v>
      </c>
      <c r="M33" s="34" t="str">
        <f aca="false">CONCATENATE(K33," ",L33)</f>
        <v>ZITRON-ASCAZ HOSPITALARIA</v>
      </c>
      <c r="N33" s="34" t="s">
        <v>102</v>
      </c>
      <c r="O33" s="37" t="s">
        <v>66</v>
      </c>
      <c r="P33" s="37" t="s">
        <v>204</v>
      </c>
      <c r="Q33" s="37" t="s">
        <v>190</v>
      </c>
      <c r="R33" s="34" t="s">
        <v>41</v>
      </c>
      <c r="S33" s="34" t="s">
        <v>205</v>
      </c>
      <c r="T33" s="34" t="s">
        <v>43</v>
      </c>
      <c r="U33" s="35" t="n">
        <v>30087</v>
      </c>
      <c r="V33" s="38" t="n">
        <f aca="false">YEAR($V$1)-YEAR(U33)</f>
        <v>36</v>
      </c>
      <c r="W33" s="34" t="s">
        <v>44</v>
      </c>
      <c r="X33" s="37" t="s">
        <v>206</v>
      </c>
      <c r="Y33" s="34" t="n">
        <v>38</v>
      </c>
      <c r="Z33" s="34" t="s">
        <v>207</v>
      </c>
      <c r="AA33" s="34" t="s">
        <v>46</v>
      </c>
      <c r="AB33" s="34" t="s">
        <v>47</v>
      </c>
      <c r="AC33" s="34" t="n">
        <v>33204</v>
      </c>
      <c r="AD33" s="34" t="n">
        <v>606896192</v>
      </c>
      <c r="AE33" s="39" t="s">
        <v>208</v>
      </c>
      <c r="AF33" s="40" t="s">
        <v>209</v>
      </c>
      <c r="AG33" s="40" t="s">
        <v>110</v>
      </c>
      <c r="AH33" s="40" t="s">
        <v>210</v>
      </c>
      <c r="AI33" s="40" t="s">
        <v>211</v>
      </c>
      <c r="AJ33" s="40" t="s">
        <v>212</v>
      </c>
      <c r="AK33" s="29"/>
      <c r="AL33" s="33"/>
      <c r="AM33" s="41" t="n">
        <v>10</v>
      </c>
      <c r="AO33" s="2" t="str">
        <f aca="false">CONCATENATE(AF33,AG33,AH33,AI33,AJ33)</f>
        <v>ES2500496247172516068020</v>
      </c>
    </row>
    <row r="34" customFormat="false" ht="15" hidden="false" customHeight="true" outlineLevel="0" collapsed="false">
      <c r="A34" s="8" t="n">
        <v>34</v>
      </c>
      <c r="B34" s="20"/>
      <c r="C34" s="21" t="n">
        <v>10</v>
      </c>
      <c r="D34" s="22"/>
      <c r="E34" s="26"/>
      <c r="F34" s="26"/>
      <c r="G34" s="26"/>
      <c r="H34" s="42"/>
      <c r="I34" s="26"/>
      <c r="J34" s="26"/>
      <c r="K34" s="26"/>
      <c r="L34" s="26"/>
      <c r="M34" s="26"/>
      <c r="N34" s="26"/>
      <c r="O34" s="43"/>
      <c r="P34" s="43"/>
      <c r="Q34" s="43"/>
      <c r="R34" s="26"/>
      <c r="S34" s="26"/>
      <c r="T34" s="26"/>
      <c r="U34" s="42"/>
      <c r="V34" s="26"/>
      <c r="W34" s="26"/>
      <c r="X34" s="43"/>
      <c r="Y34" s="26"/>
      <c r="Z34" s="26"/>
      <c r="AA34" s="26"/>
      <c r="AB34" s="26"/>
      <c r="AC34" s="26"/>
      <c r="AD34" s="26"/>
      <c r="AE34" s="44"/>
      <c r="AF34" s="28"/>
      <c r="AG34" s="28"/>
      <c r="AH34" s="28"/>
      <c r="AI34" s="28"/>
      <c r="AJ34" s="28"/>
      <c r="AK34" s="29"/>
      <c r="AL34" s="30" t="n">
        <v>30</v>
      </c>
      <c r="AM34" s="30"/>
      <c r="AN34" s="32" t="e">
        <f aca="false">#REF!</f>
        <v>#REF!</v>
      </c>
      <c r="AO34" s="2" t="str">
        <f aca="false">CONCATENATE(AF34,AG34,AH34,AI34,AJ34)</f>
        <v/>
      </c>
    </row>
    <row r="35" customFormat="false" ht="15" hidden="false" customHeight="true" outlineLevel="0" collapsed="false">
      <c r="A35" s="8" t="n">
        <v>35</v>
      </c>
      <c r="B35" s="20"/>
      <c r="C35" s="33"/>
      <c r="D35" s="34" t="s">
        <v>213</v>
      </c>
      <c r="E35" s="34" t="s">
        <v>33</v>
      </c>
      <c r="F35" s="34" t="s">
        <v>2</v>
      </c>
      <c r="G35" s="34" t="s">
        <v>118</v>
      </c>
      <c r="H35" s="35"/>
      <c r="I35" s="36"/>
      <c r="J35" s="34" t="s">
        <v>33</v>
      </c>
      <c r="K35" s="34" t="s">
        <v>35</v>
      </c>
      <c r="L35" s="34" t="s">
        <v>36</v>
      </c>
      <c r="M35" s="34" t="str">
        <f aca="false">CONCATENATE(K35," ",L35)</f>
        <v>ZITRON-ASCAZ HOSPITALARIA</v>
      </c>
      <c r="N35" s="34" t="s">
        <v>37</v>
      </c>
      <c r="O35" s="37" t="s">
        <v>214</v>
      </c>
      <c r="P35" s="37" t="s">
        <v>215</v>
      </c>
      <c r="Q35" s="37" t="s">
        <v>216</v>
      </c>
      <c r="R35" s="34" t="s">
        <v>41</v>
      </c>
      <c r="S35" s="34" t="s">
        <v>217</v>
      </c>
      <c r="T35" s="34" t="s">
        <v>59</v>
      </c>
      <c r="U35" s="35" t="n">
        <v>30701</v>
      </c>
      <c r="V35" s="38" t="n">
        <f aca="false">YEAR($V$1)-YEAR(U35)</f>
        <v>34</v>
      </c>
      <c r="W35" s="34" t="s">
        <v>218</v>
      </c>
      <c r="X35" s="37" t="s">
        <v>219</v>
      </c>
      <c r="Y35" s="34" t="n">
        <v>1</v>
      </c>
      <c r="Z35" s="34" t="s">
        <v>220</v>
      </c>
      <c r="AA35" s="34" t="s">
        <v>221</v>
      </c>
      <c r="AB35" s="34" t="s">
        <v>222</v>
      </c>
      <c r="AC35" s="34" t="n">
        <v>33208</v>
      </c>
      <c r="AD35" s="34" t="n">
        <v>626169026</v>
      </c>
      <c r="AE35" s="39" t="s">
        <v>223</v>
      </c>
      <c r="AF35" s="40" t="s">
        <v>224</v>
      </c>
      <c r="AG35" s="40" t="s">
        <v>225</v>
      </c>
      <c r="AH35" s="40" t="s">
        <v>196</v>
      </c>
      <c r="AI35" s="40" t="s">
        <v>226</v>
      </c>
      <c r="AJ35" s="40" t="s">
        <v>227</v>
      </c>
      <c r="AK35" s="29"/>
      <c r="AL35" s="33"/>
      <c r="AM35" s="41" t="n">
        <v>10</v>
      </c>
      <c r="AO35" s="2" t="str">
        <f aca="false">CONCATENATE(AF35,AG35,AH35,AI35,AJ35)</f>
        <v>ES2214650100991718590631</v>
      </c>
    </row>
    <row r="36" customFormat="false" ht="15" hidden="false" customHeight="true" outlineLevel="0" collapsed="false">
      <c r="A36" s="8" t="n">
        <v>36</v>
      </c>
      <c r="B36" s="20"/>
      <c r="C36" s="21" t="n">
        <v>11</v>
      </c>
      <c r="D36" s="22"/>
      <c r="E36" s="26"/>
      <c r="F36" s="26"/>
      <c r="G36" s="26"/>
      <c r="H36" s="42"/>
      <c r="I36" s="26"/>
      <c r="J36" s="26"/>
      <c r="K36" s="26"/>
      <c r="L36" s="26"/>
      <c r="M36" s="26"/>
      <c r="N36" s="26"/>
      <c r="O36" s="43"/>
      <c r="P36" s="43"/>
      <c r="Q36" s="43"/>
      <c r="R36" s="26"/>
      <c r="S36" s="26"/>
      <c r="T36" s="26"/>
      <c r="U36" s="42"/>
      <c r="V36" s="26"/>
      <c r="W36" s="26"/>
      <c r="X36" s="43"/>
      <c r="Y36" s="26"/>
      <c r="Z36" s="26"/>
      <c r="AA36" s="26"/>
      <c r="AB36" s="26"/>
      <c r="AC36" s="26"/>
      <c r="AD36" s="26"/>
      <c r="AE36" s="44"/>
      <c r="AF36" s="28"/>
      <c r="AG36" s="28"/>
      <c r="AH36" s="28"/>
      <c r="AI36" s="28"/>
      <c r="AJ36" s="28"/>
      <c r="AK36" s="29"/>
      <c r="AL36" s="30" t="n">
        <v>30</v>
      </c>
      <c r="AM36" s="30"/>
      <c r="AN36" s="32" t="e">
        <f aca="false">#REF!</f>
        <v>#REF!</v>
      </c>
      <c r="AO36" s="2" t="str">
        <f aca="false">CONCATENATE(AF36,AG36,AH36,AI36,AJ36)</f>
        <v/>
      </c>
    </row>
    <row r="37" customFormat="false" ht="15" hidden="false" customHeight="true" outlineLevel="0" collapsed="false">
      <c r="A37" s="8" t="n">
        <v>37</v>
      </c>
      <c r="B37" s="20"/>
      <c r="C37" s="33"/>
      <c r="D37" s="34" t="s">
        <v>228</v>
      </c>
      <c r="E37" s="34" t="s">
        <v>33</v>
      </c>
      <c r="F37" s="34" t="s">
        <v>171</v>
      </c>
      <c r="G37" s="34" t="s">
        <v>118</v>
      </c>
      <c r="H37" s="35"/>
      <c r="I37" s="36"/>
      <c r="J37" s="34" t="s">
        <v>33</v>
      </c>
      <c r="K37" s="34" t="s">
        <v>35</v>
      </c>
      <c r="L37" s="34" t="s">
        <v>36</v>
      </c>
      <c r="M37" s="34" t="str">
        <f aca="false">CONCATENATE(K37," ",L37)</f>
        <v>ZITRON-ASCAZ HOSPITALARIA</v>
      </c>
      <c r="N37" s="34" t="s">
        <v>102</v>
      </c>
      <c r="O37" s="37" t="s">
        <v>66</v>
      </c>
      <c r="P37" s="37" t="s">
        <v>229</v>
      </c>
      <c r="Q37" s="37" t="s">
        <v>173</v>
      </c>
      <c r="R37" s="34" t="s">
        <v>41</v>
      </c>
      <c r="S37" s="34" t="s">
        <v>230</v>
      </c>
      <c r="T37" s="34" t="s">
        <v>43</v>
      </c>
      <c r="U37" s="35" t="n">
        <v>20583</v>
      </c>
      <c r="V37" s="38" t="n">
        <f aca="false">YEAR($V$1)-YEAR(U37)</f>
        <v>62</v>
      </c>
      <c r="W37" s="34" t="s">
        <v>231</v>
      </c>
      <c r="X37" s="37" t="s">
        <v>232</v>
      </c>
      <c r="Y37" s="34"/>
      <c r="Z37" s="34"/>
      <c r="AA37" s="34" t="s">
        <v>46</v>
      </c>
      <c r="AB37" s="34" t="s">
        <v>233</v>
      </c>
      <c r="AC37" s="34" t="s">
        <v>234</v>
      </c>
      <c r="AD37" s="34" t="n">
        <v>626635787</v>
      </c>
      <c r="AE37" s="39" t="s">
        <v>235</v>
      </c>
      <c r="AF37" s="40"/>
      <c r="AG37" s="40"/>
      <c r="AH37" s="40"/>
      <c r="AI37" s="40"/>
      <c r="AJ37" s="40"/>
      <c r="AK37" s="29"/>
      <c r="AL37" s="33"/>
      <c r="AM37" s="41" t="n">
        <v>10</v>
      </c>
      <c r="AO37" s="2" t="str">
        <f aca="false">CONCATENATE(AF37,AG37,AH37,AI37,AJ37)</f>
        <v/>
      </c>
    </row>
    <row r="38" customFormat="false" ht="15" hidden="false" customHeight="true" outlineLevel="0" collapsed="false">
      <c r="A38" s="8" t="n">
        <v>38</v>
      </c>
      <c r="B38" s="20"/>
      <c r="C38" s="33"/>
      <c r="D38" s="34" t="s">
        <v>236</v>
      </c>
      <c r="E38" s="34" t="s">
        <v>33</v>
      </c>
      <c r="F38" s="34" t="s">
        <v>171</v>
      </c>
      <c r="G38" s="34" t="s">
        <v>118</v>
      </c>
      <c r="H38" s="35"/>
      <c r="I38" s="36"/>
      <c r="J38" s="34" t="s">
        <v>33</v>
      </c>
      <c r="K38" s="34" t="s">
        <v>35</v>
      </c>
      <c r="L38" s="34" t="s">
        <v>36</v>
      </c>
      <c r="M38" s="34" t="str">
        <f aca="false">CONCATENATE(K38," ",L38)</f>
        <v>ZITRON-ASCAZ HOSPITALARIA</v>
      </c>
      <c r="N38" s="34" t="s">
        <v>54</v>
      </c>
      <c r="O38" s="37" t="s">
        <v>237</v>
      </c>
      <c r="P38" s="37" t="s">
        <v>238</v>
      </c>
      <c r="Q38" s="37" t="s">
        <v>134</v>
      </c>
      <c r="R38" s="34" t="s">
        <v>41</v>
      </c>
      <c r="S38" s="34" t="s">
        <v>239</v>
      </c>
      <c r="T38" s="34" t="s">
        <v>59</v>
      </c>
      <c r="U38" s="35" t="n">
        <v>20838</v>
      </c>
      <c r="V38" s="38" t="n">
        <f aca="false">YEAR($V$1)-YEAR(U38)</f>
        <v>61</v>
      </c>
      <c r="W38" s="34"/>
      <c r="X38" s="37"/>
      <c r="Y38" s="34"/>
      <c r="Z38" s="34"/>
      <c r="AA38" s="34"/>
      <c r="AB38" s="34"/>
      <c r="AC38" s="34"/>
      <c r="AD38" s="34" t="n">
        <v>656822067</v>
      </c>
      <c r="AE38" s="39"/>
      <c r="AF38" s="40"/>
      <c r="AG38" s="40"/>
      <c r="AH38" s="40"/>
      <c r="AI38" s="40"/>
      <c r="AJ38" s="40"/>
      <c r="AK38" s="29"/>
      <c r="AL38" s="33"/>
      <c r="AM38" s="41" t="n">
        <v>10</v>
      </c>
      <c r="AO38" s="2" t="str">
        <f aca="false">CONCATENATE(AF38,AG38,AH38,AI38,AJ38)</f>
        <v/>
      </c>
    </row>
    <row r="39" customFormat="false" ht="15" hidden="false" customHeight="true" outlineLevel="0" collapsed="false">
      <c r="A39" s="8" t="n">
        <v>39</v>
      </c>
      <c r="B39" s="20"/>
      <c r="C39" s="21" t="n">
        <v>12</v>
      </c>
      <c r="D39" s="22"/>
      <c r="E39" s="26"/>
      <c r="F39" s="26"/>
      <c r="G39" s="26"/>
      <c r="H39" s="42"/>
      <c r="I39" s="26"/>
      <c r="J39" s="26"/>
      <c r="K39" s="26"/>
      <c r="L39" s="26"/>
      <c r="M39" s="26"/>
      <c r="N39" s="26"/>
      <c r="O39" s="43"/>
      <c r="P39" s="43"/>
      <c r="Q39" s="43"/>
      <c r="R39" s="26"/>
      <c r="S39" s="26"/>
      <c r="T39" s="26"/>
      <c r="U39" s="42"/>
      <c r="V39" s="26"/>
      <c r="W39" s="26"/>
      <c r="X39" s="43"/>
      <c r="Y39" s="26"/>
      <c r="Z39" s="26"/>
      <c r="AA39" s="26"/>
      <c r="AB39" s="26"/>
      <c r="AC39" s="26"/>
      <c r="AD39" s="26"/>
      <c r="AE39" s="44"/>
      <c r="AF39" s="28"/>
      <c r="AG39" s="28"/>
      <c r="AH39" s="28"/>
      <c r="AI39" s="28"/>
      <c r="AJ39" s="28"/>
      <c r="AK39" s="29"/>
      <c r="AL39" s="30" t="n">
        <v>30</v>
      </c>
      <c r="AM39" s="30"/>
      <c r="AN39" s="32" t="e">
        <f aca="false">#REF!</f>
        <v>#REF!</v>
      </c>
      <c r="AO39" s="2" t="str">
        <f aca="false">CONCATENATE(AF39,AG39,AH39,AI39,AJ39)</f>
        <v/>
      </c>
    </row>
    <row r="40" customFormat="false" ht="15" hidden="false" customHeight="true" outlineLevel="0" collapsed="false">
      <c r="A40" s="8" t="n">
        <v>40</v>
      </c>
      <c r="B40" s="20"/>
      <c r="C40" s="33"/>
      <c r="D40" s="34" t="s">
        <v>240</v>
      </c>
      <c r="E40" s="34" t="s">
        <v>33</v>
      </c>
      <c r="F40" s="34" t="s">
        <v>2</v>
      </c>
      <c r="G40" s="34" t="s">
        <v>118</v>
      </c>
      <c r="H40" s="35"/>
      <c r="I40" s="36"/>
      <c r="J40" s="34" t="s">
        <v>33</v>
      </c>
      <c r="K40" s="34" t="s">
        <v>35</v>
      </c>
      <c r="L40" s="34" t="s">
        <v>36</v>
      </c>
      <c r="M40" s="34" t="str">
        <f aca="false">CONCATENATE(K40," ",L40)</f>
        <v>ZITRON-ASCAZ HOSPITALARIA</v>
      </c>
      <c r="N40" s="34" t="s">
        <v>102</v>
      </c>
      <c r="O40" s="37" t="s">
        <v>241</v>
      </c>
      <c r="P40" s="37" t="s">
        <v>242</v>
      </c>
      <c r="Q40" s="37" t="s">
        <v>243</v>
      </c>
      <c r="R40" s="34" t="s">
        <v>41</v>
      </c>
      <c r="S40" s="34" t="s">
        <v>244</v>
      </c>
      <c r="T40" s="34" t="s">
        <v>59</v>
      </c>
      <c r="U40" s="35" t="n">
        <v>31179</v>
      </c>
      <c r="V40" s="38" t="n">
        <f aca="false">YEAR($V$1)-YEAR(U40)</f>
        <v>33</v>
      </c>
      <c r="W40" s="34" t="s">
        <v>44</v>
      </c>
      <c r="X40" s="37" t="s">
        <v>245</v>
      </c>
      <c r="Y40" s="34" t="n">
        <v>12</v>
      </c>
      <c r="Z40" s="34" t="s">
        <v>246</v>
      </c>
      <c r="AA40" s="34" t="s">
        <v>46</v>
      </c>
      <c r="AB40" s="34" t="s">
        <v>47</v>
      </c>
      <c r="AC40" s="34" t="n">
        <v>33212</v>
      </c>
      <c r="AD40" s="34" t="n">
        <v>625028284</v>
      </c>
      <c r="AE40" s="39" t="s">
        <v>247</v>
      </c>
      <c r="AF40" s="40"/>
      <c r="AG40" s="40"/>
      <c r="AH40" s="40"/>
      <c r="AI40" s="40"/>
      <c r="AJ40" s="40"/>
      <c r="AK40" s="29"/>
      <c r="AL40" s="33"/>
      <c r="AM40" s="41" t="n">
        <v>10</v>
      </c>
      <c r="AO40" s="2" t="str">
        <f aca="false">CONCATENATE(AF40,AG40,AH40,AI40,AJ40)</f>
        <v/>
      </c>
    </row>
    <row r="41" customFormat="false" ht="15" hidden="false" customHeight="true" outlineLevel="0" collapsed="false">
      <c r="A41" s="8" t="n">
        <v>41</v>
      </c>
      <c r="B41" s="20"/>
      <c r="C41" s="21" t="n">
        <v>13</v>
      </c>
      <c r="D41" s="22"/>
      <c r="E41" s="26"/>
      <c r="F41" s="26"/>
      <c r="G41" s="26"/>
      <c r="H41" s="42"/>
      <c r="I41" s="26"/>
      <c r="J41" s="26"/>
      <c r="K41" s="26"/>
      <c r="L41" s="26"/>
      <c r="M41" s="26"/>
      <c r="N41" s="26"/>
      <c r="O41" s="43"/>
      <c r="P41" s="43"/>
      <c r="Q41" s="43"/>
      <c r="R41" s="26"/>
      <c r="S41" s="26"/>
      <c r="T41" s="26"/>
      <c r="U41" s="42"/>
      <c r="V41" s="26"/>
      <c r="W41" s="26"/>
      <c r="X41" s="43"/>
      <c r="Y41" s="26"/>
      <c r="Z41" s="26"/>
      <c r="AA41" s="26"/>
      <c r="AB41" s="26"/>
      <c r="AC41" s="26"/>
      <c r="AD41" s="26"/>
      <c r="AE41" s="44"/>
      <c r="AF41" s="28"/>
      <c r="AG41" s="28"/>
      <c r="AH41" s="28"/>
      <c r="AI41" s="28"/>
      <c r="AJ41" s="28"/>
      <c r="AK41" s="29"/>
      <c r="AL41" s="30" t="n">
        <v>30</v>
      </c>
      <c r="AM41" s="30"/>
      <c r="AN41" s="32" t="e">
        <f aca="false">#REF!</f>
        <v>#REF!</v>
      </c>
      <c r="AO41" s="2" t="str">
        <f aca="false">CONCATENATE(AF41,AG41,AH41,AI41,AJ41)</f>
        <v/>
      </c>
    </row>
    <row r="42" customFormat="false" ht="15" hidden="false" customHeight="true" outlineLevel="0" collapsed="false">
      <c r="A42" s="8" t="n">
        <v>42</v>
      </c>
      <c r="B42" s="20"/>
      <c r="C42" s="33"/>
      <c r="D42" s="34" t="s">
        <v>248</v>
      </c>
      <c r="E42" s="34" t="s">
        <v>33</v>
      </c>
      <c r="F42" s="34" t="s">
        <v>2</v>
      </c>
      <c r="G42" s="34" t="s">
        <v>118</v>
      </c>
      <c r="H42" s="35"/>
      <c r="I42" s="36"/>
      <c r="J42" s="34" t="s">
        <v>33</v>
      </c>
      <c r="K42" s="34" t="s">
        <v>35</v>
      </c>
      <c r="L42" s="34" t="s">
        <v>36</v>
      </c>
      <c r="M42" s="34" t="str">
        <f aca="false">CONCATENATE(K42," ",L42)</f>
        <v>ZITRON-ASCAZ HOSPITALARIA</v>
      </c>
      <c r="N42" s="34" t="s">
        <v>102</v>
      </c>
      <c r="O42" s="37" t="s">
        <v>249</v>
      </c>
      <c r="P42" s="37" t="s">
        <v>250</v>
      </c>
      <c r="Q42" s="37" t="s">
        <v>251</v>
      </c>
      <c r="R42" s="34" t="s">
        <v>41</v>
      </c>
      <c r="S42" s="34" t="s">
        <v>252</v>
      </c>
      <c r="T42" s="34" t="s">
        <v>43</v>
      </c>
      <c r="U42" s="35" t="n">
        <v>21886</v>
      </c>
      <c r="V42" s="38" t="n">
        <f aca="false">YEAR($V$1)-YEAR(U42)</f>
        <v>59</v>
      </c>
      <c r="W42" s="34" t="s">
        <v>44</v>
      </c>
      <c r="X42" s="37" t="s">
        <v>253</v>
      </c>
      <c r="Y42" s="34" t="n">
        <v>31</v>
      </c>
      <c r="Z42" s="34" t="s">
        <v>193</v>
      </c>
      <c r="AA42" s="34" t="s">
        <v>46</v>
      </c>
      <c r="AB42" s="34" t="s">
        <v>47</v>
      </c>
      <c r="AC42" s="34" t="n">
        <v>33209</v>
      </c>
      <c r="AD42" s="34" t="n">
        <v>615991504</v>
      </c>
      <c r="AE42" s="39" t="s">
        <v>254</v>
      </c>
      <c r="AF42" s="40"/>
      <c r="AG42" s="40"/>
      <c r="AH42" s="40"/>
      <c r="AI42" s="40"/>
      <c r="AJ42" s="40"/>
      <c r="AK42" s="29"/>
      <c r="AL42" s="33"/>
      <c r="AM42" s="41" t="n">
        <v>10</v>
      </c>
      <c r="AO42" s="2" t="str">
        <f aca="false">CONCATENATE(AF42,AG42,AH42,AI42,AJ42)</f>
        <v/>
      </c>
    </row>
    <row r="43" customFormat="false" ht="15" hidden="false" customHeight="true" outlineLevel="0" collapsed="false">
      <c r="A43" s="8" t="n">
        <v>43</v>
      </c>
      <c r="B43" s="20"/>
      <c r="C43" s="33"/>
      <c r="D43" s="34" t="s">
        <v>255</v>
      </c>
      <c r="E43" s="34" t="s">
        <v>33</v>
      </c>
      <c r="F43" s="34" t="s">
        <v>2</v>
      </c>
      <c r="G43" s="34" t="s">
        <v>118</v>
      </c>
      <c r="H43" s="35"/>
      <c r="I43" s="36"/>
      <c r="J43" s="34" t="s">
        <v>33</v>
      </c>
      <c r="K43" s="34" t="s">
        <v>35</v>
      </c>
      <c r="L43" s="34" t="s">
        <v>36</v>
      </c>
      <c r="M43" s="34" t="str">
        <f aca="false">CONCATENATE(K43," ",L43)</f>
        <v>ZITRON-ASCAZ HOSPITALARIA</v>
      </c>
      <c r="N43" s="34" t="s">
        <v>54</v>
      </c>
      <c r="O43" s="37" t="s">
        <v>256</v>
      </c>
      <c r="P43" s="37" t="s">
        <v>257</v>
      </c>
      <c r="Q43" s="37" t="s">
        <v>258</v>
      </c>
      <c r="R43" s="34" t="s">
        <v>41</v>
      </c>
      <c r="S43" s="34" t="s">
        <v>259</v>
      </c>
      <c r="T43" s="34" t="s">
        <v>59</v>
      </c>
      <c r="U43" s="35" t="n">
        <v>23788</v>
      </c>
      <c r="V43" s="38" t="n">
        <f aca="false">YEAR($V$1)-YEAR(U43)</f>
        <v>53</v>
      </c>
      <c r="W43" s="34"/>
      <c r="X43" s="37"/>
      <c r="Y43" s="34"/>
      <c r="Z43" s="34"/>
      <c r="AA43" s="34"/>
      <c r="AB43" s="34"/>
      <c r="AC43" s="34"/>
      <c r="AD43" s="34"/>
      <c r="AE43" s="39"/>
      <c r="AF43" s="40"/>
      <c r="AG43" s="40"/>
      <c r="AH43" s="40"/>
      <c r="AI43" s="40"/>
      <c r="AJ43" s="40"/>
      <c r="AK43" s="29"/>
      <c r="AL43" s="33"/>
      <c r="AM43" s="41" t="n">
        <v>10</v>
      </c>
      <c r="AO43" s="2" t="str">
        <f aca="false">CONCATENATE(AF43,AG43,AH43,AI43,AJ43)</f>
        <v/>
      </c>
    </row>
    <row r="44" customFormat="false" ht="15" hidden="false" customHeight="true" outlineLevel="0" collapsed="false">
      <c r="A44" s="8" t="n">
        <v>44</v>
      </c>
      <c r="B44" s="20"/>
      <c r="C44" s="33"/>
      <c r="D44" s="34" t="s">
        <v>260</v>
      </c>
      <c r="E44" s="34" t="s">
        <v>33</v>
      </c>
      <c r="F44" s="34" t="s">
        <v>2</v>
      </c>
      <c r="G44" s="34" t="s">
        <v>118</v>
      </c>
      <c r="H44" s="35"/>
      <c r="I44" s="36"/>
      <c r="J44" s="34" t="s">
        <v>33</v>
      </c>
      <c r="K44" s="34" t="s">
        <v>35</v>
      </c>
      <c r="L44" s="34" t="s">
        <v>36</v>
      </c>
      <c r="M44" s="34" t="str">
        <f aca="false">CONCATENATE(K44," ",L44)</f>
        <v>ZITRON-ASCAZ HOSPITALARIA</v>
      </c>
      <c r="N44" s="34" t="s">
        <v>62</v>
      </c>
      <c r="O44" s="37" t="s">
        <v>261</v>
      </c>
      <c r="P44" s="37" t="s">
        <v>250</v>
      </c>
      <c r="Q44" s="37" t="s">
        <v>257</v>
      </c>
      <c r="R44" s="34" t="s">
        <v>41</v>
      </c>
      <c r="S44" s="34" t="s">
        <v>262</v>
      </c>
      <c r="T44" s="34" t="s">
        <v>43</v>
      </c>
      <c r="U44" s="35" t="n">
        <v>34721</v>
      </c>
      <c r="V44" s="38" t="n">
        <f aca="false">YEAR($V$1)-YEAR(U44)</f>
        <v>23</v>
      </c>
      <c r="W44" s="34"/>
      <c r="X44" s="37"/>
      <c r="Y44" s="34"/>
      <c r="Z44" s="34"/>
      <c r="AA44" s="34"/>
      <c r="AB44" s="34"/>
      <c r="AC44" s="34"/>
      <c r="AD44" s="34"/>
      <c r="AE44" s="39"/>
      <c r="AF44" s="40"/>
      <c r="AG44" s="40"/>
      <c r="AH44" s="40"/>
      <c r="AI44" s="40"/>
      <c r="AJ44" s="40"/>
      <c r="AK44" s="29"/>
      <c r="AL44" s="33"/>
      <c r="AM44" s="41" t="n">
        <v>10</v>
      </c>
      <c r="AO44" s="2" t="str">
        <f aca="false">CONCATENATE(AF44,AG44,AH44,AI44,AJ44)</f>
        <v/>
      </c>
    </row>
    <row r="45" customFormat="false" ht="15" hidden="false" customHeight="true" outlineLevel="0" collapsed="false">
      <c r="A45" s="8" t="n">
        <v>45</v>
      </c>
      <c r="B45" s="20"/>
      <c r="C45" s="21" t="n">
        <v>14</v>
      </c>
      <c r="D45" s="22"/>
      <c r="E45" s="26"/>
      <c r="F45" s="26"/>
      <c r="G45" s="26"/>
      <c r="H45" s="42"/>
      <c r="I45" s="26"/>
      <c r="J45" s="26"/>
      <c r="K45" s="26"/>
      <c r="L45" s="26"/>
      <c r="M45" s="26"/>
      <c r="N45" s="26"/>
      <c r="O45" s="43"/>
      <c r="P45" s="43"/>
      <c r="Q45" s="43"/>
      <c r="R45" s="26"/>
      <c r="S45" s="26"/>
      <c r="T45" s="26"/>
      <c r="U45" s="42"/>
      <c r="V45" s="26"/>
      <c r="W45" s="26"/>
      <c r="X45" s="43"/>
      <c r="Y45" s="26"/>
      <c r="Z45" s="26"/>
      <c r="AA45" s="26"/>
      <c r="AB45" s="26"/>
      <c r="AC45" s="26"/>
      <c r="AD45" s="26"/>
      <c r="AE45" s="44"/>
      <c r="AF45" s="28"/>
      <c r="AG45" s="28"/>
      <c r="AH45" s="28"/>
      <c r="AI45" s="28"/>
      <c r="AJ45" s="28"/>
      <c r="AK45" s="29"/>
      <c r="AL45" s="30" t="n">
        <v>0</v>
      </c>
      <c r="AM45" s="30"/>
      <c r="AN45" s="32" t="e">
        <f aca="false">#REF!</f>
        <v>#REF!</v>
      </c>
      <c r="AO45" s="2" t="str">
        <f aca="false">CONCATENATE(AF45,AG45,AH45,AI45,AJ45)</f>
        <v/>
      </c>
    </row>
    <row r="46" customFormat="false" ht="15" hidden="false" customHeight="true" outlineLevel="0" collapsed="false">
      <c r="A46" s="8" t="n">
        <v>46</v>
      </c>
      <c r="B46" s="20"/>
      <c r="C46" s="33"/>
      <c r="D46" s="34" t="s">
        <v>263</v>
      </c>
      <c r="E46" s="34" t="s">
        <v>33</v>
      </c>
      <c r="F46" s="34" t="s">
        <v>2</v>
      </c>
      <c r="G46" s="34" t="s">
        <v>34</v>
      </c>
      <c r="H46" s="35"/>
      <c r="I46" s="36"/>
      <c r="J46" s="34" t="s">
        <v>33</v>
      </c>
      <c r="K46" s="34" t="s">
        <v>35</v>
      </c>
      <c r="L46" s="34" t="s">
        <v>36</v>
      </c>
      <c r="M46" s="34" t="str">
        <f aca="false">CONCATENATE(K46," ",L46)</f>
        <v>ZITRON-ASCAZ HOSPITALARIA</v>
      </c>
      <c r="N46" s="34" t="s">
        <v>102</v>
      </c>
      <c r="O46" s="37" t="s">
        <v>264</v>
      </c>
      <c r="P46" s="37" t="s">
        <v>265</v>
      </c>
      <c r="Q46" s="37" t="s">
        <v>266</v>
      </c>
      <c r="R46" s="34" t="s">
        <v>41</v>
      </c>
      <c r="S46" s="34" t="s">
        <v>267</v>
      </c>
      <c r="T46" s="34" t="s">
        <v>43</v>
      </c>
      <c r="U46" s="35" t="n">
        <v>29542</v>
      </c>
      <c r="V46" s="38" t="n">
        <f aca="false">YEAR($V$1)-YEAR(U46)</f>
        <v>38</v>
      </c>
      <c r="W46" s="34" t="s">
        <v>44</v>
      </c>
      <c r="X46" s="37" t="s">
        <v>268</v>
      </c>
      <c r="Y46" s="34" t="n">
        <v>1</v>
      </c>
      <c r="Z46" s="34" t="s">
        <v>269</v>
      </c>
      <c r="AA46" s="34" t="s">
        <v>46</v>
      </c>
      <c r="AB46" s="34" t="s">
        <v>270</v>
      </c>
      <c r="AC46" s="34" t="n">
        <v>33510</v>
      </c>
      <c r="AD46" s="34" t="n">
        <v>679944885</v>
      </c>
      <c r="AE46" s="39" t="s">
        <v>271</v>
      </c>
      <c r="AF46" s="40"/>
      <c r="AG46" s="40"/>
      <c r="AH46" s="40"/>
      <c r="AI46" s="40"/>
      <c r="AJ46" s="40"/>
      <c r="AK46" s="29"/>
      <c r="AL46" s="33"/>
      <c r="AM46" s="41" t="n">
        <v>10</v>
      </c>
      <c r="AO46" s="2" t="str">
        <f aca="false">CONCATENATE(AF46,AG46,AH46,AI46,AJ46)</f>
        <v/>
      </c>
    </row>
    <row r="47" customFormat="false" ht="15" hidden="false" customHeight="true" outlineLevel="0" collapsed="false">
      <c r="A47" s="8" t="n">
        <v>47</v>
      </c>
      <c r="B47" s="20"/>
      <c r="C47" s="33"/>
      <c r="D47" s="34" t="s">
        <v>272</v>
      </c>
      <c r="E47" s="34" t="s">
        <v>33</v>
      </c>
      <c r="F47" s="34" t="s">
        <v>2</v>
      </c>
      <c r="G47" s="34" t="s">
        <v>34</v>
      </c>
      <c r="H47" s="35"/>
      <c r="I47" s="36"/>
      <c r="J47" s="34" t="s">
        <v>33</v>
      </c>
      <c r="K47" s="34" t="s">
        <v>35</v>
      </c>
      <c r="L47" s="34" t="s">
        <v>36</v>
      </c>
      <c r="M47" s="34" t="str">
        <f aca="false">CONCATENATE(K47," ",L47)</f>
        <v>ZITRON-ASCAZ HOSPITALARIA</v>
      </c>
      <c r="N47" s="34" t="s">
        <v>54</v>
      </c>
      <c r="O47" s="37" t="s">
        <v>273</v>
      </c>
      <c r="P47" s="37" t="s">
        <v>274</v>
      </c>
      <c r="Q47" s="37" t="s">
        <v>134</v>
      </c>
      <c r="R47" s="34" t="s">
        <v>41</v>
      </c>
      <c r="S47" s="34" t="s">
        <v>275</v>
      </c>
      <c r="T47" s="34" t="s">
        <v>59</v>
      </c>
      <c r="U47" s="35" t="n">
        <v>28242</v>
      </c>
      <c r="V47" s="38" t="n">
        <f aca="false">YEAR($V$1)-YEAR(U47)</f>
        <v>41</v>
      </c>
      <c r="W47" s="34"/>
      <c r="X47" s="37"/>
      <c r="Y47" s="34"/>
      <c r="Z47" s="34"/>
      <c r="AA47" s="34"/>
      <c r="AB47" s="34"/>
      <c r="AC47" s="34"/>
      <c r="AD47" s="34"/>
      <c r="AE47" s="39"/>
      <c r="AF47" s="40"/>
      <c r="AG47" s="40"/>
      <c r="AH47" s="40"/>
      <c r="AI47" s="40"/>
      <c r="AJ47" s="40"/>
      <c r="AK47" s="29"/>
      <c r="AL47" s="33"/>
      <c r="AM47" s="41" t="n">
        <v>10</v>
      </c>
      <c r="AO47" s="2" t="str">
        <f aca="false">CONCATENATE(AF47,AG47,AH47,AI47,AJ47)</f>
        <v/>
      </c>
    </row>
    <row r="48" customFormat="false" ht="15" hidden="false" customHeight="true" outlineLevel="0" collapsed="false">
      <c r="A48" s="8" t="n">
        <v>48</v>
      </c>
      <c r="B48" s="20"/>
      <c r="C48" s="33"/>
      <c r="D48" s="34" t="s">
        <v>276</v>
      </c>
      <c r="E48" s="34" t="s">
        <v>33</v>
      </c>
      <c r="F48" s="34" t="s">
        <v>2</v>
      </c>
      <c r="G48" s="34" t="n">
        <v>2012</v>
      </c>
      <c r="H48" s="35"/>
      <c r="I48" s="36"/>
      <c r="J48" s="34" t="s">
        <v>33</v>
      </c>
      <c r="K48" s="34" t="s">
        <v>35</v>
      </c>
      <c r="L48" s="34" t="s">
        <v>61</v>
      </c>
      <c r="M48" s="34" t="str">
        <f aca="false">CONCATENATE(K48," ",L48)</f>
        <v>ZITRON-ASCAZ AMBULATORIA</v>
      </c>
      <c r="N48" s="34" t="s">
        <v>62</v>
      </c>
      <c r="O48" s="37" t="s">
        <v>277</v>
      </c>
      <c r="P48" s="37" t="s">
        <v>265</v>
      </c>
      <c r="Q48" s="37" t="s">
        <v>274</v>
      </c>
      <c r="R48" s="34" t="s">
        <v>41</v>
      </c>
      <c r="S48" s="34" t="s">
        <v>278</v>
      </c>
      <c r="T48" s="34" t="s">
        <v>43</v>
      </c>
      <c r="U48" s="35" t="n">
        <v>40955</v>
      </c>
      <c r="V48" s="38" t="n">
        <f aca="false">YEAR($V$1)-YEAR(U48)</f>
        <v>6</v>
      </c>
      <c r="W48" s="34"/>
      <c r="X48" s="37"/>
      <c r="Y48" s="34"/>
      <c r="Z48" s="34"/>
      <c r="AA48" s="34"/>
      <c r="AB48" s="34"/>
      <c r="AC48" s="34"/>
      <c r="AD48" s="34"/>
      <c r="AE48" s="39"/>
      <c r="AF48" s="40"/>
      <c r="AG48" s="40"/>
      <c r="AH48" s="40"/>
      <c r="AI48" s="40"/>
      <c r="AJ48" s="40"/>
      <c r="AK48" s="29"/>
      <c r="AL48" s="33"/>
      <c r="AM48" s="41" t="n">
        <v>10</v>
      </c>
      <c r="AO48" s="2" t="str">
        <f aca="false">CONCATENATE(AF48,AG48,AH48,AI48,AJ48)</f>
        <v/>
      </c>
    </row>
    <row r="49" customFormat="false" ht="15" hidden="false" customHeight="true" outlineLevel="0" collapsed="false">
      <c r="A49" s="8" t="n">
        <v>49</v>
      </c>
      <c r="B49" s="20"/>
      <c r="C49" s="21" t="n">
        <v>15</v>
      </c>
      <c r="D49" s="22"/>
      <c r="E49" s="26"/>
      <c r="F49" s="26"/>
      <c r="G49" s="26"/>
      <c r="H49" s="42"/>
      <c r="I49" s="26"/>
      <c r="J49" s="26"/>
      <c r="K49" s="26"/>
      <c r="L49" s="26"/>
      <c r="M49" s="26"/>
      <c r="N49" s="26"/>
      <c r="O49" s="43"/>
      <c r="P49" s="43"/>
      <c r="Q49" s="43"/>
      <c r="R49" s="26"/>
      <c r="S49" s="26"/>
      <c r="T49" s="26"/>
      <c r="U49" s="42"/>
      <c r="V49" s="26"/>
      <c r="W49" s="26"/>
      <c r="X49" s="43"/>
      <c r="Y49" s="26"/>
      <c r="Z49" s="26"/>
      <c r="AA49" s="26"/>
      <c r="AB49" s="26"/>
      <c r="AC49" s="26"/>
      <c r="AD49" s="26"/>
      <c r="AE49" s="44"/>
      <c r="AF49" s="28"/>
      <c r="AG49" s="28"/>
      <c r="AH49" s="28"/>
      <c r="AI49" s="28"/>
      <c r="AJ49" s="28"/>
      <c r="AK49" s="29"/>
      <c r="AL49" s="30" t="n">
        <v>0</v>
      </c>
      <c r="AM49" s="30"/>
      <c r="AN49" s="32" t="e">
        <f aca="false">#REF!</f>
        <v>#REF!</v>
      </c>
      <c r="AO49" s="2" t="str">
        <f aca="false">CONCATENATE(AF49,AG49,AH49,AI49,AJ49)</f>
        <v/>
      </c>
    </row>
    <row r="50" customFormat="false" ht="15" hidden="false" customHeight="true" outlineLevel="0" collapsed="false">
      <c r="A50" s="8" t="n">
        <v>50</v>
      </c>
      <c r="B50" s="20"/>
      <c r="C50" s="33"/>
      <c r="D50" s="34" t="s">
        <v>279</v>
      </c>
      <c r="E50" s="34" t="s">
        <v>33</v>
      </c>
      <c r="F50" s="34" t="s">
        <v>2</v>
      </c>
      <c r="G50" s="34" t="s">
        <v>34</v>
      </c>
      <c r="H50" s="35"/>
      <c r="I50" s="36"/>
      <c r="J50" s="34" t="s">
        <v>33</v>
      </c>
      <c r="K50" s="34" t="s">
        <v>35</v>
      </c>
      <c r="L50" s="34" t="s">
        <v>36</v>
      </c>
      <c r="M50" s="34" t="str">
        <f aca="false">CONCATENATE(K50," ",L50)</f>
        <v>ZITRON-ASCAZ HOSPITALARIA</v>
      </c>
      <c r="N50" s="34" t="s">
        <v>102</v>
      </c>
      <c r="O50" s="37" t="s">
        <v>280</v>
      </c>
      <c r="P50" s="37" t="s">
        <v>40</v>
      </c>
      <c r="Q50" s="37" t="s">
        <v>281</v>
      </c>
      <c r="R50" s="34" t="s">
        <v>41</v>
      </c>
      <c r="S50" s="34" t="s">
        <v>282</v>
      </c>
      <c r="T50" s="34" t="s">
        <v>43</v>
      </c>
      <c r="U50" s="35" t="n">
        <v>30063</v>
      </c>
      <c r="V50" s="38" t="n">
        <f aca="false">YEAR($V$1)-YEAR(U50)</f>
        <v>36</v>
      </c>
      <c r="W50" s="34"/>
      <c r="X50" s="37" t="s">
        <v>283</v>
      </c>
      <c r="Y50" s="34" t="s">
        <v>284</v>
      </c>
      <c r="Z50" s="34"/>
      <c r="AA50" s="34" t="s">
        <v>46</v>
      </c>
      <c r="AB50" s="34" t="s">
        <v>285</v>
      </c>
      <c r="AC50" s="34" t="n">
        <v>33189</v>
      </c>
      <c r="AD50" s="34" t="n">
        <v>645654032</v>
      </c>
      <c r="AE50" s="39" t="s">
        <v>286</v>
      </c>
      <c r="AF50" s="40"/>
      <c r="AG50" s="40"/>
      <c r="AH50" s="40"/>
      <c r="AI50" s="40"/>
      <c r="AJ50" s="40"/>
      <c r="AK50" s="29"/>
      <c r="AL50" s="33"/>
      <c r="AM50" s="41" t="n">
        <v>10</v>
      </c>
      <c r="AO50" s="2" t="str">
        <f aca="false">CONCATENATE(AF50,AG50,AH50,AI50,AJ50)</f>
        <v/>
      </c>
    </row>
    <row r="51" customFormat="false" ht="15" hidden="false" customHeight="true" outlineLevel="0" collapsed="false">
      <c r="A51" s="8" t="n">
        <v>51</v>
      </c>
      <c r="B51" s="20"/>
      <c r="C51" s="33"/>
      <c r="D51" s="34" t="s">
        <v>287</v>
      </c>
      <c r="E51" s="34" t="s">
        <v>33</v>
      </c>
      <c r="F51" s="34" t="s">
        <v>2</v>
      </c>
      <c r="G51" s="34" t="s">
        <v>34</v>
      </c>
      <c r="H51" s="35"/>
      <c r="I51" s="36"/>
      <c r="J51" s="34" t="s">
        <v>33</v>
      </c>
      <c r="K51" s="34" t="s">
        <v>35</v>
      </c>
      <c r="L51" s="34" t="s">
        <v>36</v>
      </c>
      <c r="M51" s="34" t="str">
        <f aca="false">CONCATENATE(K51," ",L51)</f>
        <v>ZITRON-ASCAZ HOSPITALARIA</v>
      </c>
      <c r="N51" s="34" t="s">
        <v>54</v>
      </c>
      <c r="O51" s="37" t="s">
        <v>288</v>
      </c>
      <c r="P51" s="37" t="s">
        <v>289</v>
      </c>
      <c r="Q51" s="37" t="s">
        <v>290</v>
      </c>
      <c r="R51" s="34" t="s">
        <v>41</v>
      </c>
      <c r="S51" s="34" t="s">
        <v>291</v>
      </c>
      <c r="T51" s="34" t="s">
        <v>59</v>
      </c>
      <c r="U51" s="35" t="n">
        <v>30237</v>
      </c>
      <c r="V51" s="38" t="n">
        <f aca="false">YEAR($V$1)-YEAR(U51)</f>
        <v>36</v>
      </c>
      <c r="W51" s="34"/>
      <c r="X51" s="37"/>
      <c r="Y51" s="34"/>
      <c r="Z51" s="34"/>
      <c r="AA51" s="34"/>
      <c r="AB51" s="34"/>
      <c r="AC51" s="34"/>
      <c r="AD51" s="34"/>
      <c r="AE51" s="39"/>
      <c r="AF51" s="40"/>
      <c r="AG51" s="40"/>
      <c r="AH51" s="40"/>
      <c r="AI51" s="40"/>
      <c r="AJ51" s="40"/>
      <c r="AK51" s="29"/>
      <c r="AL51" s="33"/>
      <c r="AM51" s="41" t="n">
        <v>10</v>
      </c>
      <c r="AO51" s="2" t="str">
        <f aca="false">CONCATENATE(AF51,AG51,AH51,AI51,AJ51)</f>
        <v/>
      </c>
    </row>
    <row r="52" customFormat="false" ht="15" hidden="false" customHeight="true" outlineLevel="0" collapsed="false">
      <c r="A52" s="8" t="n">
        <v>52</v>
      </c>
      <c r="B52" s="20"/>
      <c r="C52" s="33"/>
      <c r="D52" s="34" t="s">
        <v>292</v>
      </c>
      <c r="E52" s="34" t="s">
        <v>33</v>
      </c>
      <c r="F52" s="34" t="s">
        <v>2</v>
      </c>
      <c r="G52" s="34" t="s">
        <v>34</v>
      </c>
      <c r="H52" s="35"/>
      <c r="I52" s="36"/>
      <c r="J52" s="34" t="s">
        <v>33</v>
      </c>
      <c r="K52" s="34" t="s">
        <v>35</v>
      </c>
      <c r="L52" s="34" t="s">
        <v>36</v>
      </c>
      <c r="M52" s="34" t="str">
        <f aca="false">CONCATENATE(K52," ",L52)</f>
        <v>ZITRON-ASCAZ HOSPITALARIA</v>
      </c>
      <c r="N52" s="34" t="s">
        <v>62</v>
      </c>
      <c r="O52" s="37" t="s">
        <v>293</v>
      </c>
      <c r="P52" s="37" t="s">
        <v>40</v>
      </c>
      <c r="Q52" s="37" t="s">
        <v>289</v>
      </c>
      <c r="R52" s="34"/>
      <c r="S52" s="34"/>
      <c r="T52" s="34" t="s">
        <v>43</v>
      </c>
      <c r="U52" s="35" t="n">
        <v>41253</v>
      </c>
      <c r="V52" s="38" t="n">
        <f aca="false">YEAR($V$1)-YEAR(U52)</f>
        <v>6</v>
      </c>
      <c r="W52" s="34"/>
      <c r="X52" s="37"/>
      <c r="Y52" s="34"/>
      <c r="Z52" s="34"/>
      <c r="AA52" s="34"/>
      <c r="AB52" s="34"/>
      <c r="AC52" s="34"/>
      <c r="AD52" s="34"/>
      <c r="AE52" s="39"/>
      <c r="AF52" s="40"/>
      <c r="AG52" s="40"/>
      <c r="AH52" s="40"/>
      <c r="AI52" s="40"/>
      <c r="AJ52" s="40"/>
      <c r="AK52" s="29"/>
      <c r="AL52" s="33"/>
      <c r="AM52" s="41" t="n">
        <v>10</v>
      </c>
      <c r="AO52" s="2" t="str">
        <f aca="false">CONCATENATE(AF52,AG52,AH52,AI52,AJ52)</f>
        <v/>
      </c>
    </row>
    <row r="53" customFormat="false" ht="15" hidden="false" customHeight="true" outlineLevel="0" collapsed="false">
      <c r="A53" s="8" t="n">
        <v>53</v>
      </c>
      <c r="B53" s="20"/>
      <c r="C53" s="21" t="n">
        <v>16</v>
      </c>
      <c r="D53" s="22"/>
      <c r="E53" s="26"/>
      <c r="F53" s="26"/>
      <c r="G53" s="26"/>
      <c r="H53" s="42"/>
      <c r="I53" s="26"/>
      <c r="J53" s="26"/>
      <c r="K53" s="26"/>
      <c r="L53" s="26"/>
      <c r="M53" s="26"/>
      <c r="N53" s="26"/>
      <c r="O53" s="43"/>
      <c r="P53" s="43"/>
      <c r="Q53" s="43"/>
      <c r="R53" s="26"/>
      <c r="S53" s="26"/>
      <c r="T53" s="26"/>
      <c r="U53" s="42"/>
      <c r="V53" s="26"/>
      <c r="W53" s="26"/>
      <c r="X53" s="43"/>
      <c r="Y53" s="26"/>
      <c r="Z53" s="26"/>
      <c r="AA53" s="26"/>
      <c r="AB53" s="26"/>
      <c r="AC53" s="26"/>
      <c r="AD53" s="26"/>
      <c r="AE53" s="44"/>
      <c r="AF53" s="28"/>
      <c r="AG53" s="28"/>
      <c r="AH53" s="28"/>
      <c r="AI53" s="28"/>
      <c r="AJ53" s="28"/>
      <c r="AK53" s="29"/>
      <c r="AL53" s="30" t="n">
        <v>0</v>
      </c>
      <c r="AM53" s="30"/>
      <c r="AN53" s="32" t="e">
        <f aca="false">#REF!</f>
        <v>#REF!</v>
      </c>
      <c r="AO53" s="2" t="str">
        <f aca="false">CONCATENATE(AF53,AG53,AH53,AI53,AJ53)</f>
        <v/>
      </c>
    </row>
    <row r="54" customFormat="false" ht="15" hidden="false" customHeight="true" outlineLevel="0" collapsed="false">
      <c r="A54" s="8" t="n">
        <v>54</v>
      </c>
      <c r="B54" s="20"/>
      <c r="C54" s="33"/>
      <c r="D54" s="34" t="s">
        <v>294</v>
      </c>
      <c r="E54" s="34" t="s">
        <v>33</v>
      </c>
      <c r="F54" s="34" t="s">
        <v>2</v>
      </c>
      <c r="G54" s="34" t="s">
        <v>34</v>
      </c>
      <c r="H54" s="35"/>
      <c r="I54" s="36"/>
      <c r="J54" s="34" t="s">
        <v>33</v>
      </c>
      <c r="K54" s="34" t="s">
        <v>35</v>
      </c>
      <c r="L54" s="34" t="s">
        <v>36</v>
      </c>
      <c r="M54" s="34" t="str">
        <f aca="false">CONCATENATE(K54," ",L54)</f>
        <v>ZITRON-ASCAZ HOSPITALARIA</v>
      </c>
      <c r="N54" s="34" t="s">
        <v>102</v>
      </c>
      <c r="O54" s="37" t="s">
        <v>295</v>
      </c>
      <c r="P54" s="37" t="s">
        <v>40</v>
      </c>
      <c r="Q54" s="37" t="s">
        <v>296</v>
      </c>
      <c r="R54" s="34" t="s">
        <v>41</v>
      </c>
      <c r="S54" s="34" t="s">
        <v>297</v>
      </c>
      <c r="T54" s="34" t="s">
        <v>59</v>
      </c>
      <c r="U54" s="35" t="n">
        <v>26270</v>
      </c>
      <c r="V54" s="38" t="n">
        <f aca="false">YEAR($V$1)-YEAR(U54)</f>
        <v>47</v>
      </c>
      <c r="W54" s="34" t="s">
        <v>44</v>
      </c>
      <c r="X54" s="37" t="s">
        <v>298</v>
      </c>
      <c r="Y54" s="34" t="n">
        <v>46</v>
      </c>
      <c r="Z54" s="34" t="s">
        <v>299</v>
      </c>
      <c r="AA54" s="34" t="s">
        <v>46</v>
      </c>
      <c r="AB54" s="34" t="s">
        <v>300</v>
      </c>
      <c r="AC54" s="34" t="n">
        <v>33007</v>
      </c>
      <c r="AD54" s="34" t="n">
        <v>649457291</v>
      </c>
      <c r="AE54" s="39" t="s">
        <v>301</v>
      </c>
      <c r="AF54" s="40"/>
      <c r="AG54" s="40"/>
      <c r="AH54" s="40"/>
      <c r="AI54" s="40"/>
      <c r="AJ54" s="40"/>
      <c r="AK54" s="29"/>
      <c r="AL54" s="33"/>
      <c r="AM54" s="41" t="n">
        <v>10</v>
      </c>
      <c r="AO54" s="2" t="str">
        <f aca="false">CONCATENATE(AF54,AG54,AH54,AI54,AJ54)</f>
        <v/>
      </c>
    </row>
    <row r="55" customFormat="false" ht="15" hidden="false" customHeight="true" outlineLevel="0" collapsed="false">
      <c r="A55" s="8" t="n">
        <v>55</v>
      </c>
      <c r="B55" s="20"/>
      <c r="C55" s="33"/>
      <c r="D55" s="34" t="s">
        <v>302</v>
      </c>
      <c r="E55" s="34" t="s">
        <v>33</v>
      </c>
      <c r="F55" s="34" t="s">
        <v>2</v>
      </c>
      <c r="G55" s="34" t="s">
        <v>34</v>
      </c>
      <c r="H55" s="35"/>
      <c r="I55" s="36"/>
      <c r="J55" s="34" t="s">
        <v>33</v>
      </c>
      <c r="K55" s="34" t="s">
        <v>35</v>
      </c>
      <c r="L55" s="34" t="s">
        <v>36</v>
      </c>
      <c r="M55" s="34" t="str">
        <f aca="false">CONCATENATE(K55," ",L55)</f>
        <v>ZITRON-ASCAZ HOSPITALARIA</v>
      </c>
      <c r="N55" s="34" t="s">
        <v>54</v>
      </c>
      <c r="O55" s="37" t="s">
        <v>303</v>
      </c>
      <c r="P55" s="37" t="s">
        <v>200</v>
      </c>
      <c r="Q55" s="37" t="s">
        <v>40</v>
      </c>
      <c r="R55" s="34" t="s">
        <v>41</v>
      </c>
      <c r="S55" s="34" t="s">
        <v>304</v>
      </c>
      <c r="T55" s="34" t="s">
        <v>43</v>
      </c>
      <c r="U55" s="35" t="n">
        <v>25550</v>
      </c>
      <c r="V55" s="38" t="n">
        <f aca="false">YEAR($V$1)-YEAR(U55)</f>
        <v>49</v>
      </c>
      <c r="W55" s="34"/>
      <c r="X55" s="37"/>
      <c r="Y55" s="34"/>
      <c r="Z55" s="34"/>
      <c r="AA55" s="34"/>
      <c r="AB55" s="34"/>
      <c r="AC55" s="34"/>
      <c r="AD55" s="34"/>
      <c r="AE55" s="39"/>
      <c r="AF55" s="40"/>
      <c r="AG55" s="40"/>
      <c r="AH55" s="40"/>
      <c r="AI55" s="40"/>
      <c r="AJ55" s="40"/>
      <c r="AK55" s="29"/>
      <c r="AL55" s="33"/>
      <c r="AM55" s="41" t="n">
        <v>10</v>
      </c>
      <c r="AO55" s="2" t="str">
        <f aca="false">CONCATENATE(AF55,AG55,AH55,AI55,AJ55)</f>
        <v/>
      </c>
    </row>
    <row r="56" customFormat="false" ht="15" hidden="false" customHeight="true" outlineLevel="0" collapsed="false">
      <c r="A56" s="8" t="n">
        <v>56</v>
      </c>
      <c r="B56" s="20"/>
      <c r="C56" s="33"/>
      <c r="D56" s="34" t="s">
        <v>305</v>
      </c>
      <c r="E56" s="34" t="s">
        <v>33</v>
      </c>
      <c r="F56" s="34" t="s">
        <v>2</v>
      </c>
      <c r="G56" s="34" t="s">
        <v>34</v>
      </c>
      <c r="H56" s="35"/>
      <c r="I56" s="36"/>
      <c r="J56" s="34" t="s">
        <v>33</v>
      </c>
      <c r="K56" s="34" t="s">
        <v>35</v>
      </c>
      <c r="L56" s="34" t="s">
        <v>36</v>
      </c>
      <c r="M56" s="34" t="str">
        <f aca="false">CONCATENATE(K56," ",L56)</f>
        <v>ZITRON-ASCAZ HOSPITALARIA</v>
      </c>
      <c r="N56" s="34" t="s">
        <v>62</v>
      </c>
      <c r="O56" s="37" t="s">
        <v>103</v>
      </c>
      <c r="P56" s="37" t="s">
        <v>200</v>
      </c>
      <c r="Q56" s="37" t="s">
        <v>40</v>
      </c>
      <c r="R56" s="34"/>
      <c r="S56" s="34"/>
      <c r="T56" s="34" t="s">
        <v>59</v>
      </c>
      <c r="U56" s="35" t="n">
        <v>40025</v>
      </c>
      <c r="V56" s="38" t="n">
        <f aca="false">YEAR($V$1)-YEAR(U56)</f>
        <v>9</v>
      </c>
      <c r="W56" s="34"/>
      <c r="X56" s="37"/>
      <c r="Y56" s="34"/>
      <c r="Z56" s="34"/>
      <c r="AA56" s="34"/>
      <c r="AB56" s="34"/>
      <c r="AC56" s="34"/>
      <c r="AD56" s="34"/>
      <c r="AE56" s="39"/>
      <c r="AF56" s="40"/>
      <c r="AG56" s="40"/>
      <c r="AH56" s="40"/>
      <c r="AI56" s="40"/>
      <c r="AJ56" s="40"/>
      <c r="AK56" s="29"/>
      <c r="AL56" s="33"/>
      <c r="AM56" s="41" t="n">
        <v>10</v>
      </c>
      <c r="AO56" s="2" t="str">
        <f aca="false">CONCATENATE(AF56,AG56,AH56,AI56,AJ56)</f>
        <v/>
      </c>
    </row>
    <row r="57" customFormat="false" ht="15" hidden="false" customHeight="true" outlineLevel="0" collapsed="false">
      <c r="A57" s="8" t="n">
        <v>57</v>
      </c>
      <c r="B57" s="20"/>
      <c r="C57" s="21" t="n">
        <v>17</v>
      </c>
      <c r="D57" s="22"/>
      <c r="E57" s="26"/>
      <c r="F57" s="26"/>
      <c r="G57" s="26"/>
      <c r="H57" s="42"/>
      <c r="I57" s="26"/>
      <c r="J57" s="26"/>
      <c r="K57" s="26"/>
      <c r="L57" s="26"/>
      <c r="M57" s="26"/>
      <c r="N57" s="26"/>
      <c r="O57" s="43"/>
      <c r="P57" s="43"/>
      <c r="Q57" s="43"/>
      <c r="R57" s="26"/>
      <c r="S57" s="26"/>
      <c r="T57" s="26"/>
      <c r="U57" s="42"/>
      <c r="V57" s="26"/>
      <c r="W57" s="26"/>
      <c r="X57" s="43"/>
      <c r="Y57" s="26"/>
      <c r="Z57" s="26"/>
      <c r="AA57" s="26"/>
      <c r="AB57" s="26"/>
      <c r="AC57" s="26"/>
      <c r="AD57" s="26"/>
      <c r="AE57" s="44"/>
      <c r="AF57" s="28"/>
      <c r="AG57" s="28"/>
      <c r="AH57" s="28"/>
      <c r="AI57" s="28"/>
      <c r="AJ57" s="28"/>
      <c r="AK57" s="29"/>
      <c r="AL57" s="30" t="n">
        <v>30</v>
      </c>
      <c r="AM57" s="30"/>
      <c r="AN57" s="32" t="e">
        <f aca="false">#REF!</f>
        <v>#REF!</v>
      </c>
      <c r="AO57" s="2" t="str">
        <f aca="false">CONCATENATE(AF57,AG57,AH57,AI57,AJ57)</f>
        <v/>
      </c>
    </row>
    <row r="58" customFormat="false" ht="15" hidden="false" customHeight="true" outlineLevel="0" collapsed="false">
      <c r="A58" s="8" t="n">
        <v>58</v>
      </c>
      <c r="B58" s="20"/>
      <c r="C58" s="33"/>
      <c r="D58" s="34" t="s">
        <v>306</v>
      </c>
      <c r="E58" s="34" t="s">
        <v>33</v>
      </c>
      <c r="F58" s="34" t="s">
        <v>2</v>
      </c>
      <c r="G58" s="34" t="s">
        <v>118</v>
      </c>
      <c r="H58" s="35"/>
      <c r="I58" s="36"/>
      <c r="J58" s="34" t="s">
        <v>33</v>
      </c>
      <c r="K58" s="34" t="s">
        <v>35</v>
      </c>
      <c r="L58" s="34" t="s">
        <v>36</v>
      </c>
      <c r="M58" s="34" t="str">
        <f aca="false">CONCATENATE(K58," ",L58)</f>
        <v>ZITRON-ASCAZ HOSPITALARIA</v>
      </c>
      <c r="N58" s="34" t="s">
        <v>102</v>
      </c>
      <c r="O58" s="37" t="s">
        <v>138</v>
      </c>
      <c r="P58" s="37" t="s">
        <v>307</v>
      </c>
      <c r="Q58" s="37" t="s">
        <v>308</v>
      </c>
      <c r="R58" s="34" t="s">
        <v>41</v>
      </c>
      <c r="S58" s="34" t="s">
        <v>309</v>
      </c>
      <c r="T58" s="34" t="s">
        <v>43</v>
      </c>
      <c r="U58" s="35" t="n">
        <v>30957</v>
      </c>
      <c r="V58" s="38" t="n">
        <f aca="false">YEAR($V$1)-YEAR(U58)</f>
        <v>34</v>
      </c>
      <c r="W58" s="34" t="s">
        <v>73</v>
      </c>
      <c r="X58" s="37" t="s">
        <v>310</v>
      </c>
      <c r="Y58" s="34" t="n">
        <v>30</v>
      </c>
      <c r="Z58" s="34" t="s">
        <v>311</v>
      </c>
      <c r="AA58" s="34" t="s">
        <v>46</v>
      </c>
      <c r="AB58" s="34" t="s">
        <v>47</v>
      </c>
      <c r="AC58" s="34" t="n">
        <v>33212</v>
      </c>
      <c r="AD58" s="34" t="n">
        <v>626644467</v>
      </c>
      <c r="AE58" s="39" t="s">
        <v>312</v>
      </c>
      <c r="AF58" s="40"/>
      <c r="AG58" s="40"/>
      <c r="AH58" s="40"/>
      <c r="AI58" s="40"/>
      <c r="AJ58" s="40"/>
      <c r="AK58" s="29"/>
      <c r="AL58" s="33"/>
      <c r="AM58" s="41" t="n">
        <v>10</v>
      </c>
      <c r="AO58" s="2" t="str">
        <f aca="false">CONCATENATE(AF58,AG58,AH58,AI58,AJ58)</f>
        <v/>
      </c>
    </row>
    <row r="59" customFormat="false" ht="15" hidden="false" customHeight="true" outlineLevel="0" collapsed="false">
      <c r="A59" s="8" t="n">
        <v>59</v>
      </c>
      <c r="B59" s="20"/>
      <c r="C59" s="21" t="n">
        <v>18</v>
      </c>
      <c r="D59" s="22"/>
      <c r="E59" s="26"/>
      <c r="F59" s="26"/>
      <c r="G59" s="26"/>
      <c r="H59" s="42"/>
      <c r="I59" s="26"/>
      <c r="J59" s="26"/>
      <c r="K59" s="26"/>
      <c r="L59" s="26"/>
      <c r="M59" s="26"/>
      <c r="N59" s="26"/>
      <c r="O59" s="43"/>
      <c r="P59" s="43"/>
      <c r="Q59" s="43"/>
      <c r="R59" s="26"/>
      <c r="S59" s="26"/>
      <c r="T59" s="26"/>
      <c r="U59" s="42"/>
      <c r="V59" s="26"/>
      <c r="W59" s="26"/>
      <c r="X59" s="43"/>
      <c r="Y59" s="26"/>
      <c r="Z59" s="26"/>
      <c r="AA59" s="26"/>
      <c r="AB59" s="26"/>
      <c r="AC59" s="26"/>
      <c r="AD59" s="26"/>
      <c r="AE59" s="44"/>
      <c r="AF59" s="28"/>
      <c r="AG59" s="28"/>
      <c r="AH59" s="28"/>
      <c r="AI59" s="28"/>
      <c r="AJ59" s="28"/>
      <c r="AK59" s="29"/>
      <c r="AL59" s="30" t="n">
        <v>30</v>
      </c>
      <c r="AM59" s="30"/>
      <c r="AN59" s="32" t="e">
        <f aca="false">#REF!</f>
        <v>#REF!</v>
      </c>
      <c r="AO59" s="2" t="str">
        <f aca="false">CONCATENATE(AF59,AG59,AH59,AI59,AJ59)</f>
        <v/>
      </c>
    </row>
    <row r="60" customFormat="false" ht="15" hidden="false" customHeight="true" outlineLevel="0" collapsed="false">
      <c r="A60" s="8" t="n">
        <v>60</v>
      </c>
      <c r="B60" s="20"/>
      <c r="C60" s="33"/>
      <c r="D60" s="34" t="s">
        <v>313</v>
      </c>
      <c r="E60" s="34" t="s">
        <v>33</v>
      </c>
      <c r="F60" s="34" t="s">
        <v>2</v>
      </c>
      <c r="G60" s="34" t="s">
        <v>118</v>
      </c>
      <c r="H60" s="35"/>
      <c r="I60" s="36"/>
      <c r="J60" s="34" t="s">
        <v>33</v>
      </c>
      <c r="K60" s="34" t="s">
        <v>35</v>
      </c>
      <c r="L60" s="34" t="s">
        <v>36</v>
      </c>
      <c r="M60" s="34" t="str">
        <f aca="false">CONCATENATE(K60," ",L60)</f>
        <v>ZITRON-ASCAZ HOSPITALARIA</v>
      </c>
      <c r="N60" s="34" t="s">
        <v>102</v>
      </c>
      <c r="O60" s="37" t="s">
        <v>314</v>
      </c>
      <c r="P60" s="37" t="s">
        <v>315</v>
      </c>
      <c r="Q60" s="37" t="s">
        <v>200</v>
      </c>
      <c r="R60" s="34" t="s">
        <v>41</v>
      </c>
      <c r="S60" s="34" t="s">
        <v>316</v>
      </c>
      <c r="T60" s="34" t="s">
        <v>59</v>
      </c>
      <c r="U60" s="35" t="n">
        <v>27089</v>
      </c>
      <c r="V60" s="38" t="n">
        <f aca="false">YEAR($V$1)-YEAR(U60)</f>
        <v>44</v>
      </c>
      <c r="W60" s="34" t="s">
        <v>317</v>
      </c>
      <c r="X60" s="37" t="s">
        <v>318</v>
      </c>
      <c r="Y60" s="34" t="n">
        <v>188</v>
      </c>
      <c r="Z60" s="34" t="s">
        <v>97</v>
      </c>
      <c r="AA60" s="34" t="s">
        <v>46</v>
      </c>
      <c r="AB60" s="34" t="s">
        <v>47</v>
      </c>
      <c r="AC60" s="34" t="n">
        <v>33394</v>
      </c>
      <c r="AD60" s="34" t="n">
        <v>637342166</v>
      </c>
      <c r="AE60" s="39" t="s">
        <v>319</v>
      </c>
      <c r="AF60" s="40"/>
      <c r="AG60" s="40"/>
      <c r="AH60" s="40"/>
      <c r="AI60" s="40"/>
      <c r="AJ60" s="40"/>
      <c r="AK60" s="29"/>
      <c r="AL60" s="33"/>
      <c r="AM60" s="41" t="n">
        <v>10</v>
      </c>
      <c r="AO60" s="2" t="str">
        <f aca="false">CONCATENATE(AF60,AG60,AH60,AI60,AJ60)</f>
        <v/>
      </c>
    </row>
    <row r="61" customFormat="false" ht="15" hidden="false" customHeight="true" outlineLevel="0" collapsed="false">
      <c r="A61" s="8" t="n">
        <v>61</v>
      </c>
      <c r="B61" s="20"/>
      <c r="C61" s="33"/>
      <c r="D61" s="34" t="s">
        <v>320</v>
      </c>
      <c r="E61" s="34" t="s">
        <v>33</v>
      </c>
      <c r="F61" s="34" t="s">
        <v>2</v>
      </c>
      <c r="G61" s="34" t="s">
        <v>118</v>
      </c>
      <c r="H61" s="35"/>
      <c r="I61" s="36"/>
      <c r="J61" s="34" t="s">
        <v>33</v>
      </c>
      <c r="K61" s="34" t="s">
        <v>35</v>
      </c>
      <c r="L61" s="34" t="s">
        <v>36</v>
      </c>
      <c r="M61" s="34" t="str">
        <f aca="false">CONCATENATE(K61," ",L61)</f>
        <v>ZITRON-ASCAZ HOSPITALARIA</v>
      </c>
      <c r="N61" s="34" t="s">
        <v>54</v>
      </c>
      <c r="O61" s="37" t="s">
        <v>321</v>
      </c>
      <c r="P61" s="37" t="s">
        <v>322</v>
      </c>
      <c r="Q61" s="37" t="s">
        <v>200</v>
      </c>
      <c r="R61" s="34" t="s">
        <v>41</v>
      </c>
      <c r="S61" s="34" t="s">
        <v>323</v>
      </c>
      <c r="T61" s="34" t="s">
        <v>43</v>
      </c>
      <c r="U61" s="35" t="n">
        <v>23676</v>
      </c>
      <c r="V61" s="38" t="n">
        <f aca="false">YEAR($V$1)-YEAR(U61)</f>
        <v>54</v>
      </c>
      <c r="W61" s="34"/>
      <c r="X61" s="37"/>
      <c r="Y61" s="34"/>
      <c r="Z61" s="34"/>
      <c r="AA61" s="34"/>
      <c r="AB61" s="34"/>
      <c r="AC61" s="34"/>
      <c r="AD61" s="34" t="n">
        <v>649815158</v>
      </c>
      <c r="AE61" s="39" t="s">
        <v>324</v>
      </c>
      <c r="AF61" s="40"/>
      <c r="AG61" s="40"/>
      <c r="AH61" s="40"/>
      <c r="AI61" s="40"/>
      <c r="AJ61" s="40"/>
      <c r="AK61" s="29"/>
      <c r="AL61" s="33"/>
      <c r="AM61" s="41" t="n">
        <v>10</v>
      </c>
      <c r="AO61" s="2" t="str">
        <f aca="false">CONCATENATE(AF61,AG61,AH61,AI61,AJ61)</f>
        <v/>
      </c>
    </row>
    <row r="62" customFormat="false" ht="15" hidden="false" customHeight="true" outlineLevel="0" collapsed="false">
      <c r="A62" s="8" t="n">
        <v>62</v>
      </c>
      <c r="B62" s="20"/>
      <c r="C62" s="33"/>
      <c r="D62" s="34" t="s">
        <v>325</v>
      </c>
      <c r="E62" s="34" t="s">
        <v>33</v>
      </c>
      <c r="F62" s="34" t="s">
        <v>2</v>
      </c>
      <c r="G62" s="34" t="s">
        <v>118</v>
      </c>
      <c r="H62" s="35"/>
      <c r="I62" s="36"/>
      <c r="J62" s="34" t="s">
        <v>33</v>
      </c>
      <c r="K62" s="34" t="s">
        <v>35</v>
      </c>
      <c r="L62" s="34" t="s">
        <v>61</v>
      </c>
      <c r="M62" s="34" t="str">
        <f aca="false">CONCATENATE(K62," ",L62)</f>
        <v>ZITRON-ASCAZ AMBULATORIA</v>
      </c>
      <c r="N62" s="34" t="s">
        <v>62</v>
      </c>
      <c r="O62" s="37" t="s">
        <v>326</v>
      </c>
      <c r="P62" s="37" t="s">
        <v>322</v>
      </c>
      <c r="Q62" s="37" t="s">
        <v>315</v>
      </c>
      <c r="R62" s="34" t="s">
        <v>41</v>
      </c>
      <c r="S62" s="34" t="s">
        <v>327</v>
      </c>
      <c r="T62" s="34" t="s">
        <v>59</v>
      </c>
      <c r="U62" s="35" t="n">
        <v>40123</v>
      </c>
      <c r="V62" s="38" t="n">
        <f aca="false">YEAR($V$1)-YEAR(U62)</f>
        <v>9</v>
      </c>
      <c r="W62" s="34"/>
      <c r="X62" s="37"/>
      <c r="Y62" s="34"/>
      <c r="Z62" s="34"/>
      <c r="AA62" s="34"/>
      <c r="AB62" s="34"/>
      <c r="AC62" s="34"/>
      <c r="AD62" s="34"/>
      <c r="AE62" s="39"/>
      <c r="AF62" s="40"/>
      <c r="AG62" s="40"/>
      <c r="AH62" s="40"/>
      <c r="AI62" s="40"/>
      <c r="AJ62" s="40"/>
      <c r="AK62" s="29"/>
      <c r="AL62" s="33"/>
      <c r="AM62" s="41" t="n">
        <v>10</v>
      </c>
      <c r="AO62" s="2" t="str">
        <f aca="false">CONCATENATE(AF62,AG62,AH62,AI62,AJ62)</f>
        <v/>
      </c>
    </row>
    <row r="63" customFormat="false" ht="15" hidden="false" customHeight="true" outlineLevel="0" collapsed="false">
      <c r="A63" s="8" t="n">
        <v>63</v>
      </c>
      <c r="B63" s="20"/>
      <c r="C63" s="21" t="n">
        <v>19</v>
      </c>
      <c r="D63" s="22"/>
      <c r="E63" s="26"/>
      <c r="F63" s="26"/>
      <c r="G63" s="26"/>
      <c r="H63" s="42"/>
      <c r="I63" s="26"/>
      <c r="J63" s="26"/>
      <c r="K63" s="26"/>
      <c r="L63" s="26"/>
      <c r="M63" s="26"/>
      <c r="N63" s="26"/>
      <c r="O63" s="43"/>
      <c r="P63" s="43"/>
      <c r="Q63" s="43"/>
      <c r="R63" s="26"/>
      <c r="S63" s="26"/>
      <c r="T63" s="26"/>
      <c r="U63" s="42"/>
      <c r="V63" s="26"/>
      <c r="W63" s="26"/>
      <c r="X63" s="43"/>
      <c r="Y63" s="26"/>
      <c r="Z63" s="26"/>
      <c r="AA63" s="26"/>
      <c r="AB63" s="26"/>
      <c r="AC63" s="26"/>
      <c r="AD63" s="26"/>
      <c r="AE63" s="44"/>
      <c r="AF63" s="28"/>
      <c r="AG63" s="28"/>
      <c r="AH63" s="28"/>
      <c r="AI63" s="28"/>
      <c r="AJ63" s="28"/>
      <c r="AK63" s="29"/>
      <c r="AL63" s="30" t="n">
        <v>30</v>
      </c>
      <c r="AM63" s="30"/>
      <c r="AN63" s="32" t="e">
        <f aca="false">#REF!</f>
        <v>#REF!</v>
      </c>
      <c r="AO63" s="2" t="str">
        <f aca="false">CONCATENATE(AF63,AG63,AH63,AI63,AJ63)</f>
        <v/>
      </c>
    </row>
    <row r="64" customFormat="false" ht="15" hidden="false" customHeight="true" outlineLevel="0" collapsed="false">
      <c r="A64" s="8" t="n">
        <v>64</v>
      </c>
      <c r="B64" s="20"/>
      <c r="C64" s="33"/>
      <c r="D64" s="34" t="s">
        <v>328</v>
      </c>
      <c r="E64" s="34" t="s">
        <v>33</v>
      </c>
      <c r="F64" s="34" t="s">
        <v>2</v>
      </c>
      <c r="G64" s="34" t="s">
        <v>118</v>
      </c>
      <c r="H64" s="35"/>
      <c r="I64" s="36"/>
      <c r="J64" s="34" t="s">
        <v>33</v>
      </c>
      <c r="K64" s="34" t="s">
        <v>35</v>
      </c>
      <c r="L64" s="34" t="s">
        <v>36</v>
      </c>
      <c r="M64" s="34" t="str">
        <f aca="false">CONCATENATE(K64," ",L64)</f>
        <v>ZITRON-ASCAZ HOSPITALARIA</v>
      </c>
      <c r="N64" s="34" t="s">
        <v>102</v>
      </c>
      <c r="O64" s="37" t="s">
        <v>329</v>
      </c>
      <c r="P64" s="37" t="s">
        <v>215</v>
      </c>
      <c r="Q64" s="37" t="s">
        <v>330</v>
      </c>
      <c r="R64" s="34" t="s">
        <v>41</v>
      </c>
      <c r="S64" s="34" t="s">
        <v>331</v>
      </c>
      <c r="T64" s="34" t="s">
        <v>43</v>
      </c>
      <c r="U64" s="35" t="n">
        <v>29602</v>
      </c>
      <c r="V64" s="38" t="n">
        <f aca="false">YEAR($V$1)-YEAR(U64)</f>
        <v>37</v>
      </c>
      <c r="W64" s="34" t="s">
        <v>44</v>
      </c>
      <c r="X64" s="37" t="s">
        <v>332</v>
      </c>
      <c r="Y64" s="34" t="n">
        <v>1271</v>
      </c>
      <c r="Z64" s="34" t="s">
        <v>333</v>
      </c>
      <c r="AA64" s="34" t="s">
        <v>46</v>
      </c>
      <c r="AB64" s="34" t="s">
        <v>47</v>
      </c>
      <c r="AC64" s="34" t="n">
        <v>33209</v>
      </c>
      <c r="AD64" s="34" t="n">
        <v>664513605</v>
      </c>
      <c r="AE64" s="39" t="s">
        <v>334</v>
      </c>
      <c r="AF64" s="40"/>
      <c r="AG64" s="40"/>
      <c r="AH64" s="40"/>
      <c r="AI64" s="40"/>
      <c r="AJ64" s="40"/>
      <c r="AK64" s="29"/>
      <c r="AL64" s="33"/>
      <c r="AM64" s="41" t="n">
        <v>10</v>
      </c>
      <c r="AO64" s="2" t="str">
        <f aca="false">CONCATENATE(AF64,AG64,AH64,AI64,AJ64)</f>
        <v/>
      </c>
    </row>
    <row r="65" customFormat="false" ht="15" hidden="false" customHeight="true" outlineLevel="0" collapsed="false">
      <c r="A65" s="8" t="n">
        <v>65</v>
      </c>
      <c r="B65" s="20"/>
      <c r="C65" s="21" t="n">
        <v>20</v>
      </c>
      <c r="D65" s="22"/>
      <c r="E65" s="26"/>
      <c r="F65" s="26"/>
      <c r="G65" s="26"/>
      <c r="H65" s="42"/>
      <c r="I65" s="26"/>
      <c r="J65" s="26"/>
      <c r="K65" s="26"/>
      <c r="L65" s="26"/>
      <c r="M65" s="26"/>
      <c r="N65" s="26"/>
      <c r="O65" s="43"/>
      <c r="P65" s="43"/>
      <c r="Q65" s="43"/>
      <c r="R65" s="26"/>
      <c r="S65" s="26"/>
      <c r="T65" s="26"/>
      <c r="U65" s="42"/>
      <c r="V65" s="26"/>
      <c r="W65" s="26"/>
      <c r="X65" s="43"/>
      <c r="Y65" s="26"/>
      <c r="Z65" s="26"/>
      <c r="AA65" s="26"/>
      <c r="AB65" s="26"/>
      <c r="AC65" s="26"/>
      <c r="AD65" s="26"/>
      <c r="AE65" s="44"/>
      <c r="AF65" s="28"/>
      <c r="AG65" s="28"/>
      <c r="AH65" s="28"/>
      <c r="AI65" s="28"/>
      <c r="AJ65" s="28"/>
      <c r="AK65" s="29"/>
      <c r="AL65" s="30" t="n">
        <v>0</v>
      </c>
      <c r="AM65" s="30"/>
      <c r="AN65" s="32" t="e">
        <f aca="false">#REF!</f>
        <v>#REF!</v>
      </c>
      <c r="AO65" s="2" t="str">
        <f aca="false">CONCATENATE(AF65,AG65,AH65,AI65,AJ65)</f>
        <v/>
      </c>
    </row>
    <row r="66" customFormat="false" ht="15" hidden="false" customHeight="true" outlineLevel="0" collapsed="false">
      <c r="A66" s="8" t="n">
        <v>66</v>
      </c>
      <c r="B66" s="20"/>
      <c r="C66" s="33"/>
      <c r="D66" s="34" t="s">
        <v>335</v>
      </c>
      <c r="E66" s="34" t="s">
        <v>33</v>
      </c>
      <c r="F66" s="34" t="s">
        <v>2</v>
      </c>
      <c r="G66" s="34" t="s">
        <v>34</v>
      </c>
      <c r="H66" s="35"/>
      <c r="I66" s="36"/>
      <c r="J66" s="34" t="s">
        <v>33</v>
      </c>
      <c r="K66" s="34" t="s">
        <v>35</v>
      </c>
      <c r="L66" s="34" t="s">
        <v>36</v>
      </c>
      <c r="M66" s="34" t="str">
        <f aca="false">CONCATENATE(K66," ",L66)</f>
        <v>ZITRON-ASCAZ HOSPITALARIA</v>
      </c>
      <c r="N66" s="34" t="s">
        <v>102</v>
      </c>
      <c r="O66" s="37" t="s">
        <v>336</v>
      </c>
      <c r="P66" s="37" t="s">
        <v>79</v>
      </c>
      <c r="Q66" s="37" t="s">
        <v>40</v>
      </c>
      <c r="R66" s="34" t="s">
        <v>41</v>
      </c>
      <c r="S66" s="34" t="s">
        <v>337</v>
      </c>
      <c r="T66" s="34" t="s">
        <v>43</v>
      </c>
      <c r="U66" s="35" t="n">
        <v>27540</v>
      </c>
      <c r="V66" s="38" t="n">
        <f aca="false">YEAR($V$1)-YEAR(U66)</f>
        <v>43</v>
      </c>
      <c r="W66" s="34" t="s">
        <v>44</v>
      </c>
      <c r="X66" s="37" t="s">
        <v>338</v>
      </c>
      <c r="Y66" s="34" t="s">
        <v>339</v>
      </c>
      <c r="Z66" s="34" t="s">
        <v>311</v>
      </c>
      <c r="AA66" s="34" t="s">
        <v>46</v>
      </c>
      <c r="AB66" s="34" t="s">
        <v>47</v>
      </c>
      <c r="AC66" s="34" t="n">
        <v>33207</v>
      </c>
      <c r="AD66" s="34" t="n">
        <v>659827836</v>
      </c>
      <c r="AE66" s="39" t="s">
        <v>340</v>
      </c>
      <c r="AF66" s="40"/>
      <c r="AG66" s="40"/>
      <c r="AH66" s="40"/>
      <c r="AI66" s="40"/>
      <c r="AJ66" s="40"/>
      <c r="AK66" s="29"/>
      <c r="AL66" s="33"/>
      <c r="AM66" s="41" t="n">
        <v>10</v>
      </c>
      <c r="AO66" s="2" t="str">
        <f aca="false">CONCATENATE(AF66,AG66,AH66,AI66,AJ66)</f>
        <v/>
      </c>
    </row>
    <row r="67" customFormat="false" ht="15" hidden="false" customHeight="true" outlineLevel="0" collapsed="false">
      <c r="A67" s="8" t="n">
        <v>67</v>
      </c>
      <c r="B67" s="20"/>
      <c r="C67" s="33"/>
      <c r="D67" s="34" t="s">
        <v>341</v>
      </c>
      <c r="E67" s="34" t="s">
        <v>33</v>
      </c>
      <c r="F67" s="34" t="s">
        <v>2</v>
      </c>
      <c r="G67" s="34" t="s">
        <v>34</v>
      </c>
      <c r="H67" s="35"/>
      <c r="I67" s="36"/>
      <c r="J67" s="34" t="s">
        <v>33</v>
      </c>
      <c r="K67" s="34" t="s">
        <v>35</v>
      </c>
      <c r="L67" s="34" t="s">
        <v>36</v>
      </c>
      <c r="M67" s="34" t="str">
        <f aca="false">CONCATENATE(K67," ",L67)</f>
        <v>ZITRON-ASCAZ HOSPITALARIA</v>
      </c>
      <c r="N67" s="34" t="s">
        <v>54</v>
      </c>
      <c r="O67" s="37" t="s">
        <v>342</v>
      </c>
      <c r="P67" s="37" t="s">
        <v>343</v>
      </c>
      <c r="Q67" s="37" t="s">
        <v>344</v>
      </c>
      <c r="R67" s="34" t="s">
        <v>41</v>
      </c>
      <c r="S67" s="34" t="s">
        <v>345</v>
      </c>
      <c r="T67" s="34" t="s">
        <v>59</v>
      </c>
      <c r="U67" s="35" t="n">
        <v>28821</v>
      </c>
      <c r="V67" s="38" t="n">
        <f aca="false">YEAR($V$1)-YEAR(U67)</f>
        <v>40</v>
      </c>
      <c r="W67" s="34"/>
      <c r="X67" s="37"/>
      <c r="Y67" s="34"/>
      <c r="Z67" s="34"/>
      <c r="AA67" s="34"/>
      <c r="AB67" s="34"/>
      <c r="AC67" s="34"/>
      <c r="AD67" s="34"/>
      <c r="AE67" s="39"/>
      <c r="AF67" s="40"/>
      <c r="AG67" s="40"/>
      <c r="AH67" s="40"/>
      <c r="AI67" s="40"/>
      <c r="AJ67" s="40"/>
      <c r="AK67" s="29"/>
      <c r="AL67" s="33"/>
      <c r="AM67" s="41" t="n">
        <v>10</v>
      </c>
      <c r="AO67" s="2" t="str">
        <f aca="false">CONCATENATE(AF67,AG67,AH67,AI67,AJ67)</f>
        <v/>
      </c>
    </row>
    <row r="68" customFormat="false" ht="15" hidden="false" customHeight="true" outlineLevel="0" collapsed="false">
      <c r="A68" s="8" t="n">
        <v>68</v>
      </c>
      <c r="B68" s="20"/>
      <c r="C68" s="21" t="n">
        <v>21</v>
      </c>
      <c r="D68" s="22"/>
      <c r="E68" s="26"/>
      <c r="F68" s="26"/>
      <c r="G68" s="26"/>
      <c r="H68" s="42"/>
      <c r="I68" s="26"/>
      <c r="J68" s="26"/>
      <c r="K68" s="26"/>
      <c r="L68" s="26"/>
      <c r="M68" s="26"/>
      <c r="N68" s="26"/>
      <c r="O68" s="43"/>
      <c r="P68" s="43"/>
      <c r="Q68" s="43"/>
      <c r="R68" s="26"/>
      <c r="S68" s="26"/>
      <c r="T68" s="26"/>
      <c r="U68" s="42"/>
      <c r="V68" s="26"/>
      <c r="W68" s="26"/>
      <c r="X68" s="43"/>
      <c r="Y68" s="26"/>
      <c r="Z68" s="26"/>
      <c r="AA68" s="26"/>
      <c r="AB68" s="26"/>
      <c r="AC68" s="26"/>
      <c r="AD68" s="26"/>
      <c r="AE68" s="44"/>
      <c r="AF68" s="28"/>
      <c r="AG68" s="28"/>
      <c r="AH68" s="28"/>
      <c r="AI68" s="28"/>
      <c r="AJ68" s="28"/>
      <c r="AK68" s="29"/>
      <c r="AL68" s="30" t="n">
        <v>0</v>
      </c>
      <c r="AM68" s="30"/>
      <c r="AN68" s="32" t="e">
        <f aca="false">#REF!</f>
        <v>#REF!</v>
      </c>
      <c r="AO68" s="2" t="str">
        <f aca="false">CONCATENATE(AF68,AG68,AH68,AI68,AJ68)</f>
        <v/>
      </c>
    </row>
    <row r="69" customFormat="false" ht="15" hidden="false" customHeight="true" outlineLevel="0" collapsed="false">
      <c r="A69" s="8" t="n">
        <v>69</v>
      </c>
      <c r="B69" s="20"/>
      <c r="C69" s="33"/>
      <c r="D69" s="34" t="s">
        <v>346</v>
      </c>
      <c r="E69" s="34" t="s">
        <v>33</v>
      </c>
      <c r="F69" s="34" t="s">
        <v>2</v>
      </c>
      <c r="G69" s="34" t="s">
        <v>34</v>
      </c>
      <c r="H69" s="35"/>
      <c r="I69" s="36"/>
      <c r="J69" s="34" t="s">
        <v>33</v>
      </c>
      <c r="K69" s="34" t="s">
        <v>35</v>
      </c>
      <c r="L69" s="34" t="s">
        <v>36</v>
      </c>
      <c r="M69" s="34" t="str">
        <f aca="false">CONCATENATE(K69," ",L69)</f>
        <v>ZITRON-ASCAZ HOSPITALARIA</v>
      </c>
      <c r="N69" s="34" t="s">
        <v>102</v>
      </c>
      <c r="O69" s="37" t="s">
        <v>347</v>
      </c>
      <c r="P69" s="37" t="s">
        <v>348</v>
      </c>
      <c r="Q69" s="37" t="s">
        <v>349</v>
      </c>
      <c r="R69" s="34" t="s">
        <v>41</v>
      </c>
      <c r="S69" s="34" t="s">
        <v>350</v>
      </c>
      <c r="T69" s="34" t="s">
        <v>43</v>
      </c>
      <c r="U69" s="35" t="n">
        <v>20478</v>
      </c>
      <c r="V69" s="38" t="n">
        <f aca="false">YEAR($V$1)-YEAR(U69)</f>
        <v>62</v>
      </c>
      <c r="W69" s="34" t="s">
        <v>44</v>
      </c>
      <c r="X69" s="37" t="s">
        <v>351</v>
      </c>
      <c r="Y69" s="34" t="n">
        <v>17</v>
      </c>
      <c r="Z69" s="34" t="s">
        <v>352</v>
      </c>
      <c r="AA69" s="34" t="s">
        <v>46</v>
      </c>
      <c r="AB69" s="34" t="s">
        <v>47</v>
      </c>
      <c r="AC69" s="34" t="n">
        <v>33204</v>
      </c>
      <c r="AD69" s="34" t="n">
        <v>985364576</v>
      </c>
      <c r="AE69" s="39" t="s">
        <v>353</v>
      </c>
      <c r="AF69" s="40"/>
      <c r="AG69" s="40"/>
      <c r="AH69" s="40"/>
      <c r="AI69" s="40"/>
      <c r="AJ69" s="40"/>
      <c r="AK69" s="29"/>
      <c r="AL69" s="33"/>
      <c r="AM69" s="41" t="n">
        <v>10</v>
      </c>
      <c r="AO69" s="2" t="str">
        <f aca="false">CONCATENATE(AF69,AG69,AH69,AI69,AJ69)</f>
        <v/>
      </c>
    </row>
    <row r="70" customFormat="false" ht="15" hidden="false" customHeight="true" outlineLevel="0" collapsed="false">
      <c r="A70" s="8" t="n">
        <v>70</v>
      </c>
      <c r="B70" s="20"/>
      <c r="C70" s="33"/>
      <c r="D70" s="34" t="s">
        <v>354</v>
      </c>
      <c r="E70" s="34" t="s">
        <v>33</v>
      </c>
      <c r="F70" s="34" t="s">
        <v>2</v>
      </c>
      <c r="G70" s="34" t="s">
        <v>34</v>
      </c>
      <c r="H70" s="35"/>
      <c r="I70" s="36"/>
      <c r="J70" s="34" t="s">
        <v>33</v>
      </c>
      <c r="K70" s="34" t="s">
        <v>35</v>
      </c>
      <c r="L70" s="34" t="s">
        <v>36</v>
      </c>
      <c r="M70" s="34" t="str">
        <f aca="false">CONCATENATE(K70," ",L70)</f>
        <v>ZITRON-ASCAZ HOSPITALARIA</v>
      </c>
      <c r="N70" s="34" t="s">
        <v>54</v>
      </c>
      <c r="O70" s="37" t="s">
        <v>355</v>
      </c>
      <c r="P70" s="37" t="s">
        <v>356</v>
      </c>
      <c r="Q70" s="37" t="s">
        <v>357</v>
      </c>
      <c r="R70" s="34" t="s">
        <v>41</v>
      </c>
      <c r="S70" s="34" t="s">
        <v>358</v>
      </c>
      <c r="T70" s="34" t="s">
        <v>59</v>
      </c>
      <c r="U70" s="35" t="n">
        <v>20758</v>
      </c>
      <c r="V70" s="38" t="n">
        <f aca="false">YEAR($V$1)-YEAR(U70)</f>
        <v>62</v>
      </c>
      <c r="W70" s="34"/>
      <c r="X70" s="37"/>
      <c r="Y70" s="34"/>
      <c r="Z70" s="34"/>
      <c r="AA70" s="34"/>
      <c r="AB70" s="34"/>
      <c r="AC70" s="34"/>
      <c r="AD70" s="34"/>
      <c r="AE70" s="39"/>
      <c r="AF70" s="40"/>
      <c r="AG70" s="40"/>
      <c r="AH70" s="40"/>
      <c r="AI70" s="40"/>
      <c r="AJ70" s="40"/>
      <c r="AK70" s="29"/>
      <c r="AL70" s="33"/>
      <c r="AM70" s="41" t="n">
        <v>10</v>
      </c>
      <c r="AO70" s="2" t="str">
        <f aca="false">CONCATENATE(AF70,AG70,AH70,AI70,AJ70)</f>
        <v/>
      </c>
    </row>
    <row r="71" customFormat="false" ht="15" hidden="false" customHeight="true" outlineLevel="0" collapsed="false">
      <c r="A71" s="8" t="n">
        <v>71</v>
      </c>
      <c r="B71" s="20"/>
      <c r="C71" s="21" t="n">
        <v>22</v>
      </c>
      <c r="D71" s="22"/>
      <c r="E71" s="26"/>
      <c r="F71" s="26"/>
      <c r="G71" s="26"/>
      <c r="H71" s="42"/>
      <c r="I71" s="26"/>
      <c r="J71" s="26"/>
      <c r="K71" s="26"/>
      <c r="L71" s="26"/>
      <c r="M71" s="26"/>
      <c r="N71" s="26"/>
      <c r="O71" s="43"/>
      <c r="P71" s="43"/>
      <c r="Q71" s="43"/>
      <c r="R71" s="26"/>
      <c r="S71" s="26"/>
      <c r="T71" s="26"/>
      <c r="U71" s="42"/>
      <c r="V71" s="26"/>
      <c r="W71" s="26"/>
      <c r="X71" s="43"/>
      <c r="Y71" s="26"/>
      <c r="Z71" s="26"/>
      <c r="AA71" s="26"/>
      <c r="AB71" s="26"/>
      <c r="AC71" s="26"/>
      <c r="AD71" s="26"/>
      <c r="AE71" s="44"/>
      <c r="AF71" s="28"/>
      <c r="AG71" s="28"/>
      <c r="AH71" s="28"/>
      <c r="AI71" s="28"/>
      <c r="AJ71" s="28"/>
      <c r="AK71" s="29"/>
      <c r="AL71" s="30" t="n">
        <v>0</v>
      </c>
      <c r="AM71" s="30"/>
      <c r="AN71" s="32" t="e">
        <f aca="false">#REF!</f>
        <v>#REF!</v>
      </c>
      <c r="AO71" s="2" t="str">
        <f aca="false">CONCATENATE(AF71,AG71,AH71,AI71,AJ71)</f>
        <v/>
      </c>
    </row>
    <row r="72" customFormat="false" ht="15" hidden="false" customHeight="true" outlineLevel="0" collapsed="false">
      <c r="A72" s="8" t="n">
        <v>72</v>
      </c>
      <c r="B72" s="20"/>
      <c r="C72" s="33"/>
      <c r="D72" s="34" t="s">
        <v>359</v>
      </c>
      <c r="E72" s="34" t="s">
        <v>33</v>
      </c>
      <c r="F72" s="34" t="s">
        <v>2</v>
      </c>
      <c r="G72" s="34" t="s">
        <v>34</v>
      </c>
      <c r="H72" s="35"/>
      <c r="I72" s="36"/>
      <c r="J72" s="34" t="s">
        <v>33</v>
      </c>
      <c r="K72" s="34" t="s">
        <v>35</v>
      </c>
      <c r="L72" s="34" t="s">
        <v>36</v>
      </c>
      <c r="M72" s="34" t="str">
        <f aca="false">CONCATENATE(K72," ",L72)</f>
        <v>ZITRON-ASCAZ HOSPITALARIA</v>
      </c>
      <c r="N72" s="34" t="s">
        <v>102</v>
      </c>
      <c r="O72" s="37" t="s">
        <v>360</v>
      </c>
      <c r="P72" s="37" t="s">
        <v>348</v>
      </c>
      <c r="Q72" s="37" t="s">
        <v>356</v>
      </c>
      <c r="R72" s="34" t="s">
        <v>41</v>
      </c>
      <c r="S72" s="34" t="s">
        <v>361</v>
      </c>
      <c r="T72" s="34" t="s">
        <v>43</v>
      </c>
      <c r="U72" s="35" t="n">
        <v>33043</v>
      </c>
      <c r="V72" s="38" t="n">
        <f aca="false">YEAR($V$1)-YEAR(U72)</f>
        <v>28</v>
      </c>
      <c r="W72" s="34" t="s">
        <v>44</v>
      </c>
      <c r="X72" s="37" t="s">
        <v>351</v>
      </c>
      <c r="Y72" s="34" t="n">
        <v>17</v>
      </c>
      <c r="Z72" s="34" t="s">
        <v>352</v>
      </c>
      <c r="AA72" s="34" t="s">
        <v>46</v>
      </c>
      <c r="AB72" s="34" t="s">
        <v>47</v>
      </c>
      <c r="AC72" s="34" t="n">
        <v>33204</v>
      </c>
      <c r="AD72" s="34" t="n">
        <v>677131164</v>
      </c>
      <c r="AE72" s="39" t="s">
        <v>362</v>
      </c>
      <c r="AF72" s="40"/>
      <c r="AG72" s="40"/>
      <c r="AH72" s="40"/>
      <c r="AI72" s="40"/>
      <c r="AJ72" s="40"/>
      <c r="AK72" s="29"/>
      <c r="AL72" s="33"/>
      <c r="AM72" s="41" t="n">
        <v>10</v>
      </c>
      <c r="AO72" s="2" t="str">
        <f aca="false">CONCATENATE(AF72,AG72,AH72,AI72,AJ72)</f>
        <v/>
      </c>
    </row>
    <row r="73" customFormat="false" ht="15" hidden="false" customHeight="true" outlineLevel="0" collapsed="false">
      <c r="A73" s="8" t="n">
        <v>73</v>
      </c>
      <c r="B73" s="20"/>
      <c r="C73" s="21" t="n">
        <v>23</v>
      </c>
      <c r="D73" s="22"/>
      <c r="E73" s="26"/>
      <c r="F73" s="26"/>
      <c r="G73" s="26"/>
      <c r="H73" s="42"/>
      <c r="I73" s="26"/>
      <c r="J73" s="26"/>
      <c r="K73" s="26"/>
      <c r="L73" s="26"/>
      <c r="M73" s="26"/>
      <c r="N73" s="26"/>
      <c r="O73" s="43"/>
      <c r="P73" s="43"/>
      <c r="Q73" s="43"/>
      <c r="R73" s="26"/>
      <c r="S73" s="26"/>
      <c r="T73" s="26"/>
      <c r="U73" s="42"/>
      <c r="V73" s="26"/>
      <c r="W73" s="26"/>
      <c r="X73" s="43"/>
      <c r="Y73" s="26"/>
      <c r="Z73" s="26"/>
      <c r="AA73" s="26"/>
      <c r="AB73" s="26"/>
      <c r="AC73" s="26"/>
      <c r="AD73" s="26"/>
      <c r="AE73" s="44"/>
      <c r="AF73" s="28"/>
      <c r="AG73" s="28"/>
      <c r="AH73" s="28"/>
      <c r="AI73" s="28"/>
      <c r="AJ73" s="28"/>
      <c r="AK73" s="29"/>
      <c r="AL73" s="30" t="n">
        <v>30</v>
      </c>
      <c r="AM73" s="30"/>
      <c r="AN73" s="32" t="e">
        <f aca="false">#REF!</f>
        <v>#REF!</v>
      </c>
      <c r="AO73" s="2" t="str">
        <f aca="false">CONCATENATE(AF73,AG73,AH73,AI73,AJ73)</f>
        <v/>
      </c>
    </row>
    <row r="74" customFormat="false" ht="15" hidden="false" customHeight="true" outlineLevel="0" collapsed="false">
      <c r="A74" s="8" t="n">
        <v>74</v>
      </c>
      <c r="B74" s="20"/>
      <c r="C74" s="33"/>
      <c r="D74" s="34" t="s">
        <v>363</v>
      </c>
      <c r="E74" s="34" t="s">
        <v>33</v>
      </c>
      <c r="F74" s="34" t="s">
        <v>2</v>
      </c>
      <c r="G74" s="34" t="s">
        <v>118</v>
      </c>
      <c r="H74" s="35"/>
      <c r="I74" s="46"/>
      <c r="J74" s="34" t="s">
        <v>33</v>
      </c>
      <c r="K74" s="34" t="s">
        <v>35</v>
      </c>
      <c r="L74" s="34" t="s">
        <v>36</v>
      </c>
      <c r="M74" s="34" t="str">
        <f aca="false">CONCATENATE(K74," ",L74)</f>
        <v>ZITRON-ASCAZ HOSPITALARIA</v>
      </c>
      <c r="N74" s="34" t="s">
        <v>102</v>
      </c>
      <c r="O74" s="37" t="s">
        <v>364</v>
      </c>
      <c r="P74" s="37" t="s">
        <v>365</v>
      </c>
      <c r="Q74" s="37" t="s">
        <v>366</v>
      </c>
      <c r="R74" s="34" t="s">
        <v>41</v>
      </c>
      <c r="S74" s="34" t="s">
        <v>367</v>
      </c>
      <c r="T74" s="34" t="s">
        <v>59</v>
      </c>
      <c r="U74" s="35" t="n">
        <v>23516</v>
      </c>
      <c r="V74" s="38" t="n">
        <f aca="false">YEAR($V$1)-YEAR(U74)</f>
        <v>54</v>
      </c>
      <c r="W74" s="34" t="s">
        <v>44</v>
      </c>
      <c r="X74" s="37" t="s">
        <v>368</v>
      </c>
      <c r="Y74" s="34" t="n">
        <v>188</v>
      </c>
      <c r="Z74" s="34" t="s">
        <v>369</v>
      </c>
      <c r="AA74" s="34" t="s">
        <v>46</v>
      </c>
      <c r="AB74" s="34" t="s">
        <v>47</v>
      </c>
      <c r="AC74" s="34" t="n">
        <v>33203</v>
      </c>
      <c r="AD74" s="34" t="n">
        <v>629416487</v>
      </c>
      <c r="AE74" s="39" t="s">
        <v>370</v>
      </c>
      <c r="AF74" s="40"/>
      <c r="AG74" s="40"/>
      <c r="AH74" s="40"/>
      <c r="AI74" s="40"/>
      <c r="AJ74" s="40"/>
      <c r="AK74" s="29"/>
      <c r="AL74" s="33"/>
      <c r="AM74" s="41" t="n">
        <v>10</v>
      </c>
      <c r="AO74" s="2" t="str">
        <f aca="false">CONCATENATE(AF74,AG74,AH74,AI74,AJ74)</f>
        <v/>
      </c>
    </row>
    <row r="75" customFormat="false" ht="15" hidden="false" customHeight="true" outlineLevel="0" collapsed="false">
      <c r="A75" s="8" t="n">
        <v>75</v>
      </c>
      <c r="B75" s="20"/>
      <c r="C75" s="21" t="n">
        <v>24</v>
      </c>
      <c r="D75" s="22"/>
      <c r="E75" s="26"/>
      <c r="F75" s="26"/>
      <c r="G75" s="26"/>
      <c r="H75" s="42"/>
      <c r="I75" s="26"/>
      <c r="J75" s="26"/>
      <c r="K75" s="26"/>
      <c r="L75" s="26"/>
      <c r="M75" s="26"/>
      <c r="N75" s="26"/>
      <c r="O75" s="43"/>
      <c r="P75" s="43"/>
      <c r="Q75" s="43"/>
      <c r="R75" s="26"/>
      <c r="S75" s="26"/>
      <c r="T75" s="26"/>
      <c r="U75" s="42"/>
      <c r="V75" s="26"/>
      <c r="W75" s="26"/>
      <c r="X75" s="43"/>
      <c r="Y75" s="26"/>
      <c r="Z75" s="26"/>
      <c r="AA75" s="26"/>
      <c r="AB75" s="26"/>
      <c r="AC75" s="26"/>
      <c r="AD75" s="26"/>
      <c r="AE75" s="44"/>
      <c r="AF75" s="28"/>
      <c r="AG75" s="28"/>
      <c r="AH75" s="28"/>
      <c r="AI75" s="28"/>
      <c r="AJ75" s="28"/>
      <c r="AK75" s="29"/>
      <c r="AL75" s="30" t="n">
        <v>30</v>
      </c>
      <c r="AM75" s="30"/>
      <c r="AN75" s="32" t="e">
        <f aca="false">#REF!</f>
        <v>#REF!</v>
      </c>
      <c r="AO75" s="2" t="str">
        <f aca="false">CONCATENATE(AF75,AG75,AH75,AI75,AJ75)</f>
        <v/>
      </c>
    </row>
    <row r="76" customFormat="false" ht="15" hidden="false" customHeight="true" outlineLevel="0" collapsed="false">
      <c r="A76" s="8" t="n">
        <v>76</v>
      </c>
      <c r="B76" s="20"/>
      <c r="C76" s="33"/>
      <c r="D76" s="34" t="s">
        <v>371</v>
      </c>
      <c r="E76" s="34" t="s">
        <v>33</v>
      </c>
      <c r="F76" s="34" t="s">
        <v>2</v>
      </c>
      <c r="G76" s="34" t="s">
        <v>118</v>
      </c>
      <c r="H76" s="35"/>
      <c r="I76" s="36"/>
      <c r="J76" s="34" t="s">
        <v>33</v>
      </c>
      <c r="K76" s="34" t="s">
        <v>35</v>
      </c>
      <c r="L76" s="34" t="s">
        <v>36</v>
      </c>
      <c r="M76" s="34" t="str">
        <f aca="false">CONCATENATE(K76," ",L76)</f>
        <v>ZITRON-ASCAZ HOSPITALARIA</v>
      </c>
      <c r="N76" s="34" t="s">
        <v>37</v>
      </c>
      <c r="O76" s="37" t="s">
        <v>372</v>
      </c>
      <c r="P76" s="37" t="s">
        <v>373</v>
      </c>
      <c r="Q76" s="37"/>
      <c r="R76" s="34" t="s">
        <v>121</v>
      </c>
      <c r="S76" s="34" t="s">
        <v>374</v>
      </c>
      <c r="T76" s="34" t="s">
        <v>43</v>
      </c>
      <c r="U76" s="35" t="n">
        <v>31652</v>
      </c>
      <c r="V76" s="38" t="n">
        <f aca="false">YEAR($V$1)-YEAR(U76)</f>
        <v>32</v>
      </c>
      <c r="W76" s="34" t="s">
        <v>44</v>
      </c>
      <c r="X76" s="37" t="s">
        <v>375</v>
      </c>
      <c r="Y76" s="34" t="n">
        <v>17</v>
      </c>
      <c r="Z76" s="34" t="s">
        <v>376</v>
      </c>
      <c r="AA76" s="34" t="s">
        <v>46</v>
      </c>
      <c r="AB76" s="34" t="s">
        <v>47</v>
      </c>
      <c r="AC76" s="34" t="n">
        <v>33202</v>
      </c>
      <c r="AD76" s="34" t="n">
        <v>686560846</v>
      </c>
      <c r="AE76" s="39" t="s">
        <v>377</v>
      </c>
      <c r="AF76" s="40"/>
      <c r="AG76" s="40"/>
      <c r="AH76" s="40"/>
      <c r="AI76" s="40"/>
      <c r="AJ76" s="40"/>
      <c r="AK76" s="29"/>
      <c r="AL76" s="33"/>
      <c r="AM76" s="41" t="n">
        <v>10</v>
      </c>
      <c r="AO76" s="2" t="str">
        <f aca="false">CONCATENATE(AF76,AG76,AH76,AI76,AJ76)</f>
        <v/>
      </c>
    </row>
    <row r="77" customFormat="false" ht="15" hidden="false" customHeight="true" outlineLevel="0" collapsed="false">
      <c r="A77" s="8" t="n">
        <v>77</v>
      </c>
      <c r="B77" s="20"/>
      <c r="C77" s="21" t="n">
        <v>25</v>
      </c>
      <c r="D77" s="22"/>
      <c r="E77" s="26"/>
      <c r="F77" s="26"/>
      <c r="G77" s="26"/>
      <c r="H77" s="42"/>
      <c r="I77" s="26"/>
      <c r="J77" s="26"/>
      <c r="K77" s="26"/>
      <c r="L77" s="26"/>
      <c r="M77" s="26"/>
      <c r="N77" s="26"/>
      <c r="O77" s="43"/>
      <c r="P77" s="43"/>
      <c r="Q77" s="43"/>
      <c r="R77" s="26"/>
      <c r="S77" s="26"/>
      <c r="T77" s="26"/>
      <c r="U77" s="42"/>
      <c r="V77" s="26"/>
      <c r="W77" s="26"/>
      <c r="X77" s="43"/>
      <c r="Y77" s="26"/>
      <c r="Z77" s="26"/>
      <c r="AA77" s="26"/>
      <c r="AB77" s="26"/>
      <c r="AC77" s="26"/>
      <c r="AD77" s="26"/>
      <c r="AE77" s="44"/>
      <c r="AF77" s="28"/>
      <c r="AG77" s="28"/>
      <c r="AH77" s="28"/>
      <c r="AI77" s="28"/>
      <c r="AJ77" s="28"/>
      <c r="AK77" s="29"/>
      <c r="AL77" s="30" t="n">
        <v>30</v>
      </c>
      <c r="AM77" s="30"/>
      <c r="AN77" s="32" t="e">
        <f aca="false">#REF!</f>
        <v>#REF!</v>
      </c>
      <c r="AO77" s="2" t="str">
        <f aca="false">CONCATENATE(AF77,AG77,AH77,AI77,AJ77)</f>
        <v/>
      </c>
    </row>
    <row r="78" customFormat="false" ht="15" hidden="false" customHeight="true" outlineLevel="0" collapsed="false">
      <c r="A78" s="8" t="n">
        <v>78</v>
      </c>
      <c r="B78" s="20"/>
      <c r="C78" s="33"/>
      <c r="D78" s="34" t="s">
        <v>378</v>
      </c>
      <c r="E78" s="34" t="s">
        <v>33</v>
      </c>
      <c r="F78" s="34" t="s">
        <v>2</v>
      </c>
      <c r="G78" s="34" t="s">
        <v>118</v>
      </c>
      <c r="H78" s="35"/>
      <c r="I78" s="36"/>
      <c r="J78" s="34" t="s">
        <v>33</v>
      </c>
      <c r="K78" s="34" t="s">
        <v>69</v>
      </c>
      <c r="L78" s="34" t="s">
        <v>36</v>
      </c>
      <c r="M78" s="34" t="str">
        <f aca="false">CONCATENATE(K78," ",L78)</f>
        <v>ASCAZ HOSPITALARIA</v>
      </c>
      <c r="N78" s="34" t="s">
        <v>37</v>
      </c>
      <c r="O78" s="37" t="s">
        <v>379</v>
      </c>
      <c r="P78" s="37" t="s">
        <v>380</v>
      </c>
      <c r="Q78" s="37" t="s">
        <v>381</v>
      </c>
      <c r="R78" s="34" t="s">
        <v>41</v>
      </c>
      <c r="S78" s="34" t="s">
        <v>382</v>
      </c>
      <c r="T78" s="34" t="s">
        <v>43</v>
      </c>
      <c r="U78" s="35" t="n">
        <v>32014</v>
      </c>
      <c r="V78" s="38" t="n">
        <f aca="false">YEAR($V$1)-YEAR(U78)</f>
        <v>31</v>
      </c>
      <c r="W78" s="34" t="s">
        <v>44</v>
      </c>
      <c r="X78" s="37" t="s">
        <v>383</v>
      </c>
      <c r="Y78" s="34" t="n">
        <v>4</v>
      </c>
      <c r="Z78" s="34"/>
      <c r="AA78" s="34" t="s">
        <v>46</v>
      </c>
      <c r="AB78" s="34" t="s">
        <v>233</v>
      </c>
      <c r="AC78" s="34" t="n">
        <v>33316</v>
      </c>
      <c r="AD78" s="34" t="n">
        <v>680791548</v>
      </c>
      <c r="AE78" s="39" t="s">
        <v>384</v>
      </c>
      <c r="AF78" s="40"/>
      <c r="AG78" s="40"/>
      <c r="AH78" s="40"/>
      <c r="AI78" s="40"/>
      <c r="AJ78" s="40"/>
      <c r="AK78" s="29"/>
      <c r="AL78" s="33"/>
      <c r="AM78" s="41" t="n">
        <v>10</v>
      </c>
      <c r="AO78" s="2" t="str">
        <f aca="false">CONCATENATE(AF78,AG78,AH78,AI78,AJ78)</f>
        <v/>
      </c>
    </row>
    <row r="79" customFormat="false" ht="15" hidden="false" customHeight="true" outlineLevel="0" collapsed="false">
      <c r="A79" s="8" t="n">
        <v>79</v>
      </c>
      <c r="B79" s="20"/>
      <c r="C79" s="33"/>
      <c r="D79" s="34" t="s">
        <v>385</v>
      </c>
      <c r="E79" s="34" t="s">
        <v>68</v>
      </c>
      <c r="F79" s="34" t="s">
        <v>2</v>
      </c>
      <c r="G79" s="34" t="s">
        <v>118</v>
      </c>
      <c r="H79" s="35"/>
      <c r="I79" s="36"/>
      <c r="J79" s="34" t="s">
        <v>33</v>
      </c>
      <c r="K79" s="34" t="s">
        <v>69</v>
      </c>
      <c r="L79" s="34" t="s">
        <v>36</v>
      </c>
      <c r="M79" s="34" t="str">
        <f aca="false">CONCATENATE(K79," ",L79)</f>
        <v>ASCAZ HOSPITALARIA</v>
      </c>
      <c r="N79" s="34" t="s">
        <v>386</v>
      </c>
      <c r="O79" s="37" t="s">
        <v>387</v>
      </c>
      <c r="P79" s="37" t="s">
        <v>381</v>
      </c>
      <c r="Q79" s="37" t="s">
        <v>388</v>
      </c>
      <c r="R79" s="34" t="s">
        <v>41</v>
      </c>
      <c r="S79" s="34" t="s">
        <v>389</v>
      </c>
      <c r="T79" s="34" t="s">
        <v>59</v>
      </c>
      <c r="U79" s="35" t="n">
        <v>23701</v>
      </c>
      <c r="V79" s="38" t="n">
        <f aca="false">YEAR($V$1)-YEAR(U79)</f>
        <v>54</v>
      </c>
      <c r="W79" s="34"/>
      <c r="X79" s="37"/>
      <c r="Y79" s="34"/>
      <c r="Z79" s="34"/>
      <c r="AA79" s="34"/>
      <c r="AB79" s="34"/>
      <c r="AC79" s="34"/>
      <c r="AD79" s="34" t="n">
        <v>650837197</v>
      </c>
      <c r="AE79" s="39" t="s">
        <v>390</v>
      </c>
      <c r="AF79" s="40"/>
      <c r="AG79" s="40"/>
      <c r="AH79" s="40"/>
      <c r="AI79" s="40"/>
      <c r="AJ79" s="40"/>
      <c r="AK79" s="29"/>
      <c r="AL79" s="33"/>
      <c r="AM79" s="41" t="n">
        <v>10</v>
      </c>
      <c r="AO79" s="2" t="str">
        <f aca="false">CONCATENATE(AF79,AG79,AH79,AI79,AJ79)</f>
        <v/>
      </c>
    </row>
    <row r="80" customFormat="false" ht="15" hidden="false" customHeight="true" outlineLevel="0" collapsed="false">
      <c r="A80" s="8" t="n">
        <v>80</v>
      </c>
      <c r="B80" s="20"/>
      <c r="C80" s="33"/>
      <c r="D80" s="34" t="s">
        <v>391</v>
      </c>
      <c r="E80" s="34" t="s">
        <v>68</v>
      </c>
      <c r="F80" s="34" t="s">
        <v>2</v>
      </c>
      <c r="G80" s="34" t="s">
        <v>118</v>
      </c>
      <c r="H80" s="35"/>
      <c r="I80" s="36"/>
      <c r="J80" s="34" t="s">
        <v>33</v>
      </c>
      <c r="K80" s="34" t="s">
        <v>69</v>
      </c>
      <c r="L80" s="34" t="s">
        <v>36</v>
      </c>
      <c r="M80" s="34" t="str">
        <f aca="false">CONCATENATE(K80," ",L80)</f>
        <v>ASCAZ HOSPITALARIA</v>
      </c>
      <c r="N80" s="34" t="s">
        <v>386</v>
      </c>
      <c r="O80" s="37" t="s">
        <v>89</v>
      </c>
      <c r="P80" s="37" t="s">
        <v>381</v>
      </c>
      <c r="Q80" s="37" t="s">
        <v>388</v>
      </c>
      <c r="R80" s="34" t="s">
        <v>41</v>
      </c>
      <c r="S80" s="34" t="s">
        <v>392</v>
      </c>
      <c r="T80" s="34" t="s">
        <v>59</v>
      </c>
      <c r="U80" s="35" t="n">
        <v>23098</v>
      </c>
      <c r="V80" s="38" t="n">
        <f aca="false">YEAR($V$1)-YEAR(U80)</f>
        <v>55</v>
      </c>
      <c r="W80" s="34"/>
      <c r="X80" s="37"/>
      <c r="Y80" s="34"/>
      <c r="Z80" s="34"/>
      <c r="AA80" s="34"/>
      <c r="AB80" s="34"/>
      <c r="AC80" s="34"/>
      <c r="AD80" s="34" t="n">
        <v>680575730</v>
      </c>
      <c r="AE80" s="39"/>
      <c r="AF80" s="40"/>
      <c r="AG80" s="40"/>
      <c r="AH80" s="40"/>
      <c r="AI80" s="40"/>
      <c r="AJ80" s="40"/>
      <c r="AK80" s="29"/>
      <c r="AL80" s="33"/>
      <c r="AM80" s="41" t="n">
        <v>10</v>
      </c>
      <c r="AO80" s="2" t="str">
        <f aca="false">CONCATENATE(AF80,AG80,AH80,AI80,AJ80)</f>
        <v/>
      </c>
    </row>
    <row r="81" customFormat="false" ht="15" hidden="false" customHeight="true" outlineLevel="0" collapsed="false">
      <c r="A81" s="8" t="n">
        <v>81</v>
      </c>
      <c r="B81" s="20"/>
      <c r="C81" s="21" t="n">
        <v>26</v>
      </c>
      <c r="D81" s="22"/>
      <c r="E81" s="26"/>
      <c r="F81" s="26"/>
      <c r="G81" s="26"/>
      <c r="H81" s="42"/>
      <c r="I81" s="26"/>
      <c r="J81" s="26"/>
      <c r="K81" s="26"/>
      <c r="L81" s="26"/>
      <c r="M81" s="26"/>
      <c r="N81" s="26"/>
      <c r="O81" s="43"/>
      <c r="P81" s="43"/>
      <c r="Q81" s="43"/>
      <c r="R81" s="26"/>
      <c r="S81" s="26"/>
      <c r="T81" s="26"/>
      <c r="U81" s="42"/>
      <c r="V81" s="26"/>
      <c r="W81" s="26"/>
      <c r="X81" s="43"/>
      <c r="Y81" s="26"/>
      <c r="Z81" s="26"/>
      <c r="AA81" s="26"/>
      <c r="AB81" s="26"/>
      <c r="AC81" s="26"/>
      <c r="AD81" s="26"/>
      <c r="AE81" s="44"/>
      <c r="AF81" s="28"/>
      <c r="AG81" s="28"/>
      <c r="AH81" s="28"/>
      <c r="AI81" s="28"/>
      <c r="AJ81" s="28"/>
      <c r="AK81" s="29"/>
      <c r="AL81" s="30" t="n">
        <v>30</v>
      </c>
      <c r="AM81" s="30"/>
      <c r="AN81" s="32" t="e">
        <f aca="false">#REF!</f>
        <v>#REF!</v>
      </c>
      <c r="AO81" s="2" t="str">
        <f aca="false">CONCATENATE(AF81,AG81,AH81,AI81,AJ81)</f>
        <v/>
      </c>
    </row>
    <row r="82" customFormat="false" ht="15" hidden="false" customHeight="true" outlineLevel="0" collapsed="false">
      <c r="A82" s="8" t="n">
        <v>82</v>
      </c>
      <c r="B82" s="20"/>
      <c r="C82" s="33"/>
      <c r="D82" s="34" t="s">
        <v>393</v>
      </c>
      <c r="E82" s="34" t="s">
        <v>33</v>
      </c>
      <c r="F82" s="34" t="s">
        <v>2</v>
      </c>
      <c r="G82" s="34" t="s">
        <v>118</v>
      </c>
      <c r="H82" s="35"/>
      <c r="I82" s="36"/>
      <c r="J82" s="34" t="s">
        <v>33</v>
      </c>
      <c r="K82" s="34" t="s">
        <v>35</v>
      </c>
      <c r="L82" s="34" t="s">
        <v>36</v>
      </c>
      <c r="M82" s="34" t="str">
        <f aca="false">CONCATENATE(K82," ",L82)</f>
        <v>ZITRON-ASCAZ HOSPITALARIA</v>
      </c>
      <c r="N82" s="34" t="s">
        <v>37</v>
      </c>
      <c r="O82" s="37" t="s">
        <v>394</v>
      </c>
      <c r="P82" s="37" t="s">
        <v>395</v>
      </c>
      <c r="Q82" s="37" t="s">
        <v>308</v>
      </c>
      <c r="R82" s="34" t="s">
        <v>41</v>
      </c>
      <c r="S82" s="34" t="s">
        <v>396</v>
      </c>
      <c r="T82" s="34" t="s">
        <v>43</v>
      </c>
      <c r="U82" s="35" t="n">
        <v>30830</v>
      </c>
      <c r="V82" s="38" t="n">
        <f aca="false">YEAR($V$1)-YEAR(U82)</f>
        <v>34</v>
      </c>
      <c r="W82" s="34" t="s">
        <v>44</v>
      </c>
      <c r="X82" s="37" t="s">
        <v>397</v>
      </c>
      <c r="Y82" s="34" t="n">
        <v>4</v>
      </c>
      <c r="Z82" s="34" t="s">
        <v>398</v>
      </c>
      <c r="AA82" s="34" t="s">
        <v>46</v>
      </c>
      <c r="AB82" s="34" t="s">
        <v>47</v>
      </c>
      <c r="AC82" s="34" t="n">
        <v>33205</v>
      </c>
      <c r="AD82" s="34" t="n">
        <v>620069054</v>
      </c>
      <c r="AE82" s="39" t="s">
        <v>399</v>
      </c>
      <c r="AF82" s="40"/>
      <c r="AG82" s="40"/>
      <c r="AH82" s="40"/>
      <c r="AI82" s="40"/>
      <c r="AJ82" s="40"/>
      <c r="AK82" s="29"/>
      <c r="AL82" s="33"/>
      <c r="AM82" s="41" t="n">
        <v>10</v>
      </c>
      <c r="AO82" s="2" t="str">
        <f aca="false">CONCATENATE(AF82,AG82,AH82,AI82,AJ82)</f>
        <v/>
      </c>
    </row>
    <row r="83" customFormat="false" ht="15" hidden="false" customHeight="true" outlineLevel="0" collapsed="false">
      <c r="A83" s="8" t="n">
        <v>83</v>
      </c>
      <c r="B83" s="20"/>
      <c r="C83" s="21" t="n">
        <v>27</v>
      </c>
      <c r="D83" s="22"/>
      <c r="E83" s="26"/>
      <c r="F83" s="26"/>
      <c r="G83" s="26"/>
      <c r="H83" s="42"/>
      <c r="I83" s="26"/>
      <c r="J83" s="26"/>
      <c r="K83" s="26"/>
      <c r="L83" s="26"/>
      <c r="M83" s="26"/>
      <c r="N83" s="26"/>
      <c r="O83" s="43"/>
      <c r="P83" s="43"/>
      <c r="Q83" s="43"/>
      <c r="R83" s="26"/>
      <c r="S83" s="26"/>
      <c r="T83" s="26"/>
      <c r="U83" s="42"/>
      <c r="V83" s="26"/>
      <c r="W83" s="26"/>
      <c r="X83" s="43"/>
      <c r="Y83" s="26"/>
      <c r="Z83" s="26"/>
      <c r="AA83" s="26"/>
      <c r="AB83" s="26"/>
      <c r="AC83" s="26"/>
      <c r="AD83" s="26"/>
      <c r="AE83" s="44"/>
      <c r="AF83" s="28"/>
      <c r="AG83" s="28"/>
      <c r="AH83" s="28"/>
      <c r="AI83" s="28"/>
      <c r="AJ83" s="28"/>
      <c r="AK83" s="29"/>
      <c r="AL83" s="30" t="n">
        <v>30</v>
      </c>
      <c r="AM83" s="30"/>
      <c r="AN83" s="32" t="e">
        <f aca="false">#REF!</f>
        <v>#REF!</v>
      </c>
      <c r="AO83" s="2" t="str">
        <f aca="false">CONCATENATE(AF83,AG83,AH83,AI83,AJ83)</f>
        <v/>
      </c>
    </row>
    <row r="84" customFormat="false" ht="15" hidden="false" customHeight="true" outlineLevel="0" collapsed="false">
      <c r="A84" s="8" t="n">
        <v>84</v>
      </c>
      <c r="B84" s="20"/>
      <c r="C84" s="33"/>
      <c r="D84" s="34" t="s">
        <v>400</v>
      </c>
      <c r="E84" s="34" t="s">
        <v>33</v>
      </c>
      <c r="F84" s="34" t="s">
        <v>2</v>
      </c>
      <c r="G84" s="34" t="s">
        <v>118</v>
      </c>
      <c r="H84" s="35"/>
      <c r="I84" s="36"/>
      <c r="J84" s="34" t="s">
        <v>33</v>
      </c>
      <c r="K84" s="34" t="s">
        <v>35</v>
      </c>
      <c r="L84" s="34" t="s">
        <v>36</v>
      </c>
      <c r="M84" s="34" t="str">
        <f aca="false">CONCATENATE(K84," ",L84)</f>
        <v>ZITRON-ASCAZ HOSPITALARIA</v>
      </c>
      <c r="N84" s="34" t="s">
        <v>37</v>
      </c>
      <c r="O84" s="37" t="s">
        <v>138</v>
      </c>
      <c r="P84" s="37" t="s">
        <v>401</v>
      </c>
      <c r="Q84" s="37" t="s">
        <v>402</v>
      </c>
      <c r="R84" s="34" t="s">
        <v>41</v>
      </c>
      <c r="S84" s="34" t="s">
        <v>403</v>
      </c>
      <c r="T84" s="34" t="s">
        <v>43</v>
      </c>
      <c r="U84" s="35" t="n">
        <v>29332</v>
      </c>
      <c r="V84" s="38" t="n">
        <f aca="false">YEAR($V$1)-YEAR(U84)</f>
        <v>38</v>
      </c>
      <c r="W84" s="34" t="s">
        <v>44</v>
      </c>
      <c r="X84" s="37" t="s">
        <v>404</v>
      </c>
      <c r="Y84" s="34" t="n">
        <v>6</v>
      </c>
      <c r="Z84" s="34" t="s">
        <v>405</v>
      </c>
      <c r="AA84" s="34" t="s">
        <v>46</v>
      </c>
      <c r="AB84" s="34" t="s">
        <v>47</v>
      </c>
      <c r="AC84" s="34" t="n">
        <v>33201</v>
      </c>
      <c r="AD84" s="34" t="n">
        <v>618329527</v>
      </c>
      <c r="AE84" s="39" t="s">
        <v>406</v>
      </c>
      <c r="AF84" s="40" t="s">
        <v>407</v>
      </c>
      <c r="AG84" s="40" t="s">
        <v>408</v>
      </c>
      <c r="AH84" s="40" t="s">
        <v>409</v>
      </c>
      <c r="AI84" s="40" t="s">
        <v>410</v>
      </c>
      <c r="AJ84" s="40" t="s">
        <v>411</v>
      </c>
      <c r="AK84" s="29"/>
      <c r="AL84" s="33"/>
      <c r="AM84" s="41" t="n">
        <v>10</v>
      </c>
      <c r="AO84" s="2" t="str">
        <f aca="false">CONCATENATE(AF84,AG84,AH84,AI84,AJ84)</f>
        <v>ES263035 0364313640005433</v>
      </c>
    </row>
    <row r="85" customFormat="false" ht="15" hidden="false" customHeight="true" outlineLevel="0" collapsed="false">
      <c r="A85" s="8" t="n">
        <v>85</v>
      </c>
      <c r="B85" s="20"/>
      <c r="C85" s="33"/>
      <c r="D85" s="34" t="s">
        <v>412</v>
      </c>
      <c r="E85" s="34" t="s">
        <v>33</v>
      </c>
      <c r="F85" s="34" t="s">
        <v>2</v>
      </c>
      <c r="G85" s="34" t="s">
        <v>118</v>
      </c>
      <c r="H85" s="35"/>
      <c r="I85" s="36"/>
      <c r="J85" s="34" t="s">
        <v>33</v>
      </c>
      <c r="K85" s="34" t="s">
        <v>35</v>
      </c>
      <c r="L85" s="34" t="s">
        <v>36</v>
      </c>
      <c r="M85" s="34" t="str">
        <f aca="false">CONCATENATE(K85," ",L85)</f>
        <v>ZITRON-ASCAZ HOSPITALARIA</v>
      </c>
      <c r="N85" s="34" t="s">
        <v>54</v>
      </c>
      <c r="O85" s="37" t="s">
        <v>413</v>
      </c>
      <c r="P85" s="37" t="s">
        <v>40</v>
      </c>
      <c r="Q85" s="37" t="s">
        <v>40</v>
      </c>
      <c r="R85" s="34" t="s">
        <v>41</v>
      </c>
      <c r="S85" s="34" t="s">
        <v>414</v>
      </c>
      <c r="T85" s="34" t="s">
        <v>59</v>
      </c>
      <c r="U85" s="35" t="n">
        <v>30611</v>
      </c>
      <c r="V85" s="38" t="n">
        <f aca="false">YEAR($V$1)-YEAR(U85)</f>
        <v>35</v>
      </c>
      <c r="W85" s="34"/>
      <c r="X85" s="37"/>
      <c r="Y85" s="34"/>
      <c r="Z85" s="34"/>
      <c r="AA85" s="34"/>
      <c r="AB85" s="34"/>
      <c r="AC85" s="34"/>
      <c r="AD85" s="34"/>
      <c r="AE85" s="39"/>
      <c r="AF85" s="40"/>
      <c r="AG85" s="40"/>
      <c r="AH85" s="40"/>
      <c r="AI85" s="40"/>
      <c r="AJ85" s="40"/>
      <c r="AK85" s="29"/>
      <c r="AL85" s="33"/>
      <c r="AM85" s="41" t="n">
        <v>10</v>
      </c>
      <c r="AO85" s="2" t="str">
        <f aca="false">CONCATENATE(AF85,AG85,AH85,AI85,AJ85)</f>
        <v/>
      </c>
    </row>
    <row r="86" customFormat="false" ht="15" hidden="false" customHeight="true" outlineLevel="0" collapsed="false">
      <c r="A86" s="8" t="n">
        <v>86</v>
      </c>
      <c r="B86" s="20"/>
      <c r="C86" s="21" t="n">
        <v>28</v>
      </c>
      <c r="D86" s="22"/>
      <c r="E86" s="26"/>
      <c r="F86" s="26"/>
      <c r="G86" s="26"/>
      <c r="H86" s="42"/>
      <c r="I86" s="26"/>
      <c r="J86" s="26"/>
      <c r="K86" s="26"/>
      <c r="L86" s="26"/>
      <c r="M86" s="26"/>
      <c r="N86" s="26"/>
      <c r="O86" s="43"/>
      <c r="P86" s="43"/>
      <c r="Q86" s="43"/>
      <c r="R86" s="26"/>
      <c r="S86" s="26"/>
      <c r="T86" s="26"/>
      <c r="U86" s="42"/>
      <c r="V86" s="26"/>
      <c r="W86" s="26"/>
      <c r="X86" s="43"/>
      <c r="Y86" s="26"/>
      <c r="Z86" s="26"/>
      <c r="AA86" s="26"/>
      <c r="AB86" s="26"/>
      <c r="AC86" s="26"/>
      <c r="AD86" s="26"/>
      <c r="AE86" s="44"/>
      <c r="AF86" s="28"/>
      <c r="AG86" s="28"/>
      <c r="AH86" s="28"/>
      <c r="AI86" s="28"/>
      <c r="AJ86" s="28"/>
      <c r="AK86" s="29"/>
      <c r="AL86" s="30" t="n">
        <v>30</v>
      </c>
      <c r="AM86" s="30"/>
      <c r="AN86" s="32" t="e">
        <f aca="false">#REF!</f>
        <v>#REF!</v>
      </c>
      <c r="AO86" s="2" t="str">
        <f aca="false">CONCATENATE(AF86,AG86,AH86,AI86,AJ86)</f>
        <v/>
      </c>
    </row>
    <row r="87" customFormat="false" ht="15" hidden="false" customHeight="true" outlineLevel="0" collapsed="false">
      <c r="A87" s="8" t="n">
        <v>87</v>
      </c>
      <c r="B87" s="20"/>
      <c r="C87" s="33"/>
      <c r="D87" s="34" t="s">
        <v>415</v>
      </c>
      <c r="E87" s="34" t="s">
        <v>33</v>
      </c>
      <c r="F87" s="34" t="s">
        <v>2</v>
      </c>
      <c r="G87" s="34" t="s">
        <v>118</v>
      </c>
      <c r="H87" s="35"/>
      <c r="I87" s="36"/>
      <c r="J87" s="34" t="s">
        <v>33</v>
      </c>
      <c r="K87" s="34" t="s">
        <v>35</v>
      </c>
      <c r="L87" s="34" t="s">
        <v>36</v>
      </c>
      <c r="M87" s="34" t="str">
        <f aca="false">CONCATENATE(K87," ",L87)</f>
        <v>ZITRON-ASCAZ HOSPITALARIA</v>
      </c>
      <c r="N87" s="34" t="s">
        <v>37</v>
      </c>
      <c r="O87" s="37" t="s">
        <v>416</v>
      </c>
      <c r="P87" s="37" t="s">
        <v>417</v>
      </c>
      <c r="Q87" s="37" t="s">
        <v>418</v>
      </c>
      <c r="R87" s="34" t="s">
        <v>41</v>
      </c>
      <c r="S87" s="34" t="s">
        <v>419</v>
      </c>
      <c r="T87" s="34" t="s">
        <v>43</v>
      </c>
      <c r="U87" s="35" t="n">
        <v>27577</v>
      </c>
      <c r="V87" s="38" t="n">
        <f aca="false">YEAR($V$1)-YEAR(U87)</f>
        <v>43</v>
      </c>
      <c r="W87" s="34" t="s">
        <v>231</v>
      </c>
      <c r="X87" s="37" t="s">
        <v>420</v>
      </c>
      <c r="Y87" s="34" t="n">
        <v>52</v>
      </c>
      <c r="Z87" s="34" t="s">
        <v>421</v>
      </c>
      <c r="AA87" s="34" t="s">
        <v>46</v>
      </c>
      <c r="AB87" s="34" t="s">
        <v>233</v>
      </c>
      <c r="AC87" s="34" t="n">
        <v>33314</v>
      </c>
      <c r="AD87" s="34" t="n">
        <v>639182229</v>
      </c>
      <c r="AE87" s="47" t="s">
        <v>422</v>
      </c>
      <c r="AF87" s="40" t="s">
        <v>146</v>
      </c>
      <c r="AG87" s="40" t="n">
        <v>2085</v>
      </c>
      <c r="AH87" s="40" t="n">
        <v>8159</v>
      </c>
      <c r="AI87" s="40" t="n">
        <v>78</v>
      </c>
      <c r="AJ87" s="40" t="s">
        <v>423</v>
      </c>
      <c r="AK87" s="29"/>
      <c r="AL87" s="33"/>
      <c r="AM87" s="41" t="n">
        <v>10</v>
      </c>
      <c r="AO87" s="2" t="str">
        <f aca="false">CONCATENATE(AF87,AG87,AH87,AI87,AJ87)</f>
        <v>ES3020858159780330491600</v>
      </c>
    </row>
    <row r="88" customFormat="false" ht="15" hidden="false" customHeight="true" outlineLevel="0" collapsed="false">
      <c r="A88" s="8" t="n">
        <v>88</v>
      </c>
      <c r="B88" s="20"/>
      <c r="C88" s="33"/>
      <c r="D88" s="34" t="s">
        <v>424</v>
      </c>
      <c r="E88" s="34" t="s">
        <v>68</v>
      </c>
      <c r="F88" s="34" t="s">
        <v>2</v>
      </c>
      <c r="G88" s="34" t="s">
        <v>118</v>
      </c>
      <c r="H88" s="35"/>
      <c r="I88" s="36"/>
      <c r="J88" s="34" t="s">
        <v>33</v>
      </c>
      <c r="K88" s="34" t="s">
        <v>69</v>
      </c>
      <c r="L88" s="34" t="s">
        <v>36</v>
      </c>
      <c r="M88" s="34" t="str">
        <f aca="false">CONCATENATE(K88," ",L88)</f>
        <v>ASCAZ HOSPITALARIA</v>
      </c>
      <c r="N88" s="34" t="s">
        <v>54</v>
      </c>
      <c r="O88" s="37" t="s">
        <v>425</v>
      </c>
      <c r="P88" s="37" t="s">
        <v>307</v>
      </c>
      <c r="Q88" s="37" t="s">
        <v>258</v>
      </c>
      <c r="R88" s="34" t="s">
        <v>41</v>
      </c>
      <c r="S88" s="34" t="s">
        <v>426</v>
      </c>
      <c r="T88" s="34" t="s">
        <v>59</v>
      </c>
      <c r="U88" s="35" t="n">
        <v>30467</v>
      </c>
      <c r="V88" s="38" t="n">
        <f aca="false">YEAR($V$1)-YEAR(U88)</f>
        <v>35</v>
      </c>
      <c r="W88" s="34"/>
      <c r="X88" s="37"/>
      <c r="Y88" s="34"/>
      <c r="Z88" s="34"/>
      <c r="AA88" s="34"/>
      <c r="AB88" s="34"/>
      <c r="AC88" s="34"/>
      <c r="AD88" s="34" t="n">
        <v>639147008</v>
      </c>
      <c r="AE88" s="39" t="s">
        <v>427</v>
      </c>
      <c r="AF88" s="40"/>
      <c r="AG88" s="40"/>
      <c r="AH88" s="40"/>
      <c r="AI88" s="40"/>
      <c r="AJ88" s="40"/>
      <c r="AK88" s="29"/>
      <c r="AL88" s="33"/>
      <c r="AM88" s="41" t="n">
        <v>10</v>
      </c>
      <c r="AO88" s="2" t="str">
        <f aca="false">CONCATENATE(AF88,AG88,AH88,AI88,AJ88)</f>
        <v/>
      </c>
    </row>
    <row r="89" customFormat="false" ht="15" hidden="false" customHeight="true" outlineLevel="0" collapsed="false">
      <c r="A89" s="8" t="n">
        <v>89</v>
      </c>
      <c r="B89" s="20"/>
      <c r="C89" s="21" t="n">
        <v>29</v>
      </c>
      <c r="D89" s="22"/>
      <c r="E89" s="26"/>
      <c r="F89" s="26"/>
      <c r="G89" s="26"/>
      <c r="H89" s="42"/>
      <c r="I89" s="26"/>
      <c r="J89" s="26"/>
      <c r="K89" s="26"/>
      <c r="L89" s="26"/>
      <c r="M89" s="26"/>
      <c r="N89" s="26"/>
      <c r="O89" s="43"/>
      <c r="P89" s="43"/>
      <c r="Q89" s="43"/>
      <c r="R89" s="26"/>
      <c r="S89" s="26"/>
      <c r="T89" s="26"/>
      <c r="U89" s="42"/>
      <c r="V89" s="26"/>
      <c r="W89" s="26"/>
      <c r="X89" s="43"/>
      <c r="Y89" s="26"/>
      <c r="Z89" s="26"/>
      <c r="AA89" s="26"/>
      <c r="AB89" s="26"/>
      <c r="AC89" s="26"/>
      <c r="AD89" s="26"/>
      <c r="AE89" s="44"/>
      <c r="AF89" s="28"/>
      <c r="AG89" s="28"/>
      <c r="AH89" s="28"/>
      <c r="AI89" s="28"/>
      <c r="AJ89" s="28"/>
      <c r="AK89" s="29"/>
      <c r="AL89" s="30" t="n">
        <v>30</v>
      </c>
      <c r="AM89" s="30"/>
      <c r="AN89" s="32" t="e">
        <f aca="false">#REF!</f>
        <v>#REF!</v>
      </c>
      <c r="AO89" s="2" t="str">
        <f aca="false">CONCATENATE(AF89,AG89,AH89,AI89,AJ89)</f>
        <v/>
      </c>
    </row>
    <row r="90" customFormat="false" ht="15" hidden="false" customHeight="true" outlineLevel="0" collapsed="false">
      <c r="A90" s="8" t="n">
        <v>90</v>
      </c>
      <c r="B90" s="20"/>
      <c r="C90" s="33"/>
      <c r="D90" s="34" t="s">
        <v>428</v>
      </c>
      <c r="E90" s="34" t="s">
        <v>33</v>
      </c>
      <c r="F90" s="34" t="s">
        <v>2</v>
      </c>
      <c r="G90" s="34" t="s">
        <v>118</v>
      </c>
      <c r="H90" s="35"/>
      <c r="I90" s="36"/>
      <c r="J90" s="34" t="s">
        <v>33</v>
      </c>
      <c r="K90" s="34" t="s">
        <v>69</v>
      </c>
      <c r="L90" s="34" t="s">
        <v>36</v>
      </c>
      <c r="M90" s="34" t="str">
        <f aca="false">CONCATENATE(K90," ",L90)</f>
        <v>ASCAZ HOSPITALARIA</v>
      </c>
      <c r="N90" s="34" t="s">
        <v>37</v>
      </c>
      <c r="O90" s="37" t="s">
        <v>429</v>
      </c>
      <c r="P90" s="37" t="s">
        <v>40</v>
      </c>
      <c r="Q90" s="37" t="s">
        <v>430</v>
      </c>
      <c r="R90" s="34" t="s">
        <v>41</v>
      </c>
      <c r="S90" s="34" t="s">
        <v>431</v>
      </c>
      <c r="T90" s="34" t="s">
        <v>43</v>
      </c>
      <c r="U90" s="35" t="n">
        <v>21965</v>
      </c>
      <c r="V90" s="38" t="n">
        <f aca="false">YEAR($V$1)-YEAR(U90)</f>
        <v>58</v>
      </c>
      <c r="W90" s="34" t="s">
        <v>44</v>
      </c>
      <c r="X90" s="37" t="s">
        <v>432</v>
      </c>
      <c r="Y90" s="34" t="n">
        <v>22</v>
      </c>
      <c r="Z90" s="34" t="s">
        <v>433</v>
      </c>
      <c r="AA90" s="34" t="s">
        <v>46</v>
      </c>
      <c r="AB90" s="34" t="s">
        <v>47</v>
      </c>
      <c r="AC90" s="34" t="n">
        <v>33205</v>
      </c>
      <c r="AD90" s="34" t="n">
        <v>617308724</v>
      </c>
      <c r="AE90" s="39" t="s">
        <v>434</v>
      </c>
      <c r="AF90" s="40"/>
      <c r="AG90" s="40"/>
      <c r="AH90" s="40"/>
      <c r="AI90" s="40"/>
      <c r="AJ90" s="40"/>
      <c r="AK90" s="29"/>
      <c r="AL90" s="33"/>
      <c r="AM90" s="41" t="n">
        <v>10</v>
      </c>
      <c r="AO90" s="2" t="str">
        <f aca="false">CONCATENATE(AF90,AG90,AH90,AI90,AJ90)</f>
        <v/>
      </c>
    </row>
    <row r="91" customFormat="false" ht="15" hidden="false" customHeight="true" outlineLevel="0" collapsed="false">
      <c r="A91" s="8" t="n">
        <v>91</v>
      </c>
      <c r="B91" s="20"/>
      <c r="C91" s="33"/>
      <c r="D91" s="34" t="s">
        <v>435</v>
      </c>
      <c r="E91" s="34" t="s">
        <v>33</v>
      </c>
      <c r="F91" s="34" t="s">
        <v>2</v>
      </c>
      <c r="G91" s="34" t="s">
        <v>118</v>
      </c>
      <c r="H91" s="35"/>
      <c r="I91" s="36"/>
      <c r="J91" s="34" t="s">
        <v>33</v>
      </c>
      <c r="K91" s="34" t="s">
        <v>69</v>
      </c>
      <c r="L91" s="34" t="s">
        <v>36</v>
      </c>
      <c r="M91" s="34" t="str">
        <f aca="false">CONCATENATE(K91," ",L91)</f>
        <v>ASCAZ HOSPITALARIA</v>
      </c>
      <c r="N91" s="34" t="s">
        <v>54</v>
      </c>
      <c r="O91" s="37" t="s">
        <v>436</v>
      </c>
      <c r="P91" s="37" t="s">
        <v>289</v>
      </c>
      <c r="Q91" s="37" t="s">
        <v>437</v>
      </c>
      <c r="R91" s="34" t="s">
        <v>41</v>
      </c>
      <c r="S91" s="34" t="s">
        <v>438</v>
      </c>
      <c r="T91" s="34" t="s">
        <v>59</v>
      </c>
      <c r="U91" s="35" t="n">
        <v>21789</v>
      </c>
      <c r="V91" s="38" t="n">
        <f aca="false">YEAR($V$1)-YEAR(U91)</f>
        <v>59</v>
      </c>
      <c r="W91" s="34"/>
      <c r="X91" s="37"/>
      <c r="Y91" s="34"/>
      <c r="Z91" s="34"/>
      <c r="AA91" s="34"/>
      <c r="AB91" s="34"/>
      <c r="AC91" s="34"/>
      <c r="AD91" s="34" t="n">
        <v>636144230</v>
      </c>
      <c r="AE91" s="39" t="s">
        <v>439</v>
      </c>
      <c r="AF91" s="40"/>
      <c r="AG91" s="40"/>
      <c r="AH91" s="40"/>
      <c r="AI91" s="40"/>
      <c r="AJ91" s="40"/>
      <c r="AK91" s="29"/>
      <c r="AL91" s="33"/>
      <c r="AM91" s="41" t="n">
        <v>10</v>
      </c>
      <c r="AO91" s="2" t="str">
        <f aca="false">CONCATENATE(AF91,AG91,AH91,AI91,AJ91)</f>
        <v/>
      </c>
    </row>
    <row r="92" customFormat="false" ht="15" hidden="false" customHeight="true" outlineLevel="0" collapsed="false">
      <c r="A92" s="8" t="n">
        <v>92</v>
      </c>
      <c r="B92" s="20"/>
      <c r="C92" s="33"/>
      <c r="D92" s="34" t="s">
        <v>440</v>
      </c>
      <c r="E92" s="34" t="s">
        <v>33</v>
      </c>
      <c r="F92" s="34" t="s">
        <v>2</v>
      </c>
      <c r="G92" s="34" t="s">
        <v>118</v>
      </c>
      <c r="H92" s="35"/>
      <c r="I92" s="36"/>
      <c r="J92" s="34" t="s">
        <v>33</v>
      </c>
      <c r="K92" s="34" t="s">
        <v>69</v>
      </c>
      <c r="L92" s="34" t="s">
        <v>61</v>
      </c>
      <c r="M92" s="34" t="str">
        <f aca="false">CONCATENATE(K92," ",L92)</f>
        <v>ASCAZ AMBULATORIA</v>
      </c>
      <c r="N92" s="34" t="s">
        <v>62</v>
      </c>
      <c r="O92" s="37" t="s">
        <v>441</v>
      </c>
      <c r="P92" s="37" t="s">
        <v>40</v>
      </c>
      <c r="Q92" s="37" t="s">
        <v>289</v>
      </c>
      <c r="R92" s="34" t="s">
        <v>41</v>
      </c>
      <c r="S92" s="34" t="s">
        <v>442</v>
      </c>
      <c r="T92" s="34" t="s">
        <v>59</v>
      </c>
      <c r="U92" s="35" t="n">
        <v>32658</v>
      </c>
      <c r="V92" s="38" t="n">
        <f aca="false">YEAR($V$1)-YEAR(U92)</f>
        <v>29</v>
      </c>
      <c r="W92" s="34"/>
      <c r="X92" s="37"/>
      <c r="Y92" s="34"/>
      <c r="Z92" s="34"/>
      <c r="AA92" s="34"/>
      <c r="AB92" s="34"/>
      <c r="AC92" s="34"/>
      <c r="AD92" s="34" t="n">
        <v>678304556</v>
      </c>
      <c r="AE92" s="39" t="s">
        <v>443</v>
      </c>
      <c r="AF92" s="40"/>
      <c r="AG92" s="40"/>
      <c r="AH92" s="40"/>
      <c r="AI92" s="40"/>
      <c r="AJ92" s="40"/>
      <c r="AK92" s="29"/>
      <c r="AL92" s="33"/>
      <c r="AM92" s="41" t="n">
        <v>10</v>
      </c>
      <c r="AO92" s="2" t="str">
        <f aca="false">CONCATENATE(AF92,AG92,AH92,AI92,AJ92)</f>
        <v/>
      </c>
    </row>
    <row r="93" customFormat="false" ht="15" hidden="false" customHeight="true" outlineLevel="0" collapsed="false">
      <c r="A93" s="8" t="n">
        <v>93</v>
      </c>
      <c r="B93" s="20"/>
      <c r="C93" s="21" t="n">
        <v>30</v>
      </c>
      <c r="D93" s="22"/>
      <c r="E93" s="26"/>
      <c r="F93" s="26"/>
      <c r="G93" s="26"/>
      <c r="H93" s="42"/>
      <c r="I93" s="26"/>
      <c r="J93" s="26"/>
      <c r="K93" s="26"/>
      <c r="L93" s="26"/>
      <c r="M93" s="26"/>
      <c r="N93" s="26"/>
      <c r="O93" s="43"/>
      <c r="P93" s="43"/>
      <c r="Q93" s="43"/>
      <c r="R93" s="26"/>
      <c r="S93" s="26"/>
      <c r="T93" s="26"/>
      <c r="U93" s="42"/>
      <c r="V93" s="26"/>
      <c r="W93" s="26"/>
      <c r="X93" s="43"/>
      <c r="Y93" s="26"/>
      <c r="Z93" s="26"/>
      <c r="AA93" s="26"/>
      <c r="AB93" s="26"/>
      <c r="AC93" s="26"/>
      <c r="AD93" s="26"/>
      <c r="AE93" s="44"/>
      <c r="AF93" s="28"/>
      <c r="AG93" s="28"/>
      <c r="AH93" s="28"/>
      <c r="AI93" s="28"/>
      <c r="AJ93" s="28"/>
      <c r="AK93" s="29"/>
      <c r="AL93" s="30" t="n">
        <v>30</v>
      </c>
      <c r="AM93" s="30"/>
      <c r="AN93" s="32" t="e">
        <f aca="false">#REF!</f>
        <v>#REF!</v>
      </c>
      <c r="AO93" s="2" t="str">
        <f aca="false">CONCATENATE(AF93,AG93,AH93,AI93,AJ93)</f>
        <v/>
      </c>
    </row>
    <row r="94" customFormat="false" ht="15" hidden="false" customHeight="true" outlineLevel="0" collapsed="false">
      <c r="A94" s="8" t="n">
        <v>94</v>
      </c>
      <c r="B94" s="20"/>
      <c r="C94" s="33"/>
      <c r="D94" s="34" t="s">
        <v>444</v>
      </c>
      <c r="E94" s="34" t="s">
        <v>33</v>
      </c>
      <c r="F94" s="34" t="s">
        <v>2</v>
      </c>
      <c r="G94" s="34" t="s">
        <v>118</v>
      </c>
      <c r="H94" s="35"/>
      <c r="I94" s="36"/>
      <c r="J94" s="34" t="s">
        <v>33</v>
      </c>
      <c r="K94" s="34" t="s">
        <v>35</v>
      </c>
      <c r="L94" s="34" t="s">
        <v>61</v>
      </c>
      <c r="M94" s="34" t="str">
        <f aca="false">CONCATENATE(K94," ",L94)</f>
        <v>ZITRON-ASCAZ AMBULATORIA</v>
      </c>
      <c r="N94" s="34" t="s">
        <v>37</v>
      </c>
      <c r="O94" s="37" t="s">
        <v>445</v>
      </c>
      <c r="P94" s="37" t="s">
        <v>446</v>
      </c>
      <c r="Q94" s="37"/>
      <c r="R94" s="34" t="s">
        <v>121</v>
      </c>
      <c r="S94" s="34" t="s">
        <v>447</v>
      </c>
      <c r="T94" s="34" t="s">
        <v>43</v>
      </c>
      <c r="U94" s="35" t="n">
        <v>29535</v>
      </c>
      <c r="V94" s="38" t="n">
        <f aca="false">YEAR($V$1)-YEAR(U94)</f>
        <v>38</v>
      </c>
      <c r="W94" s="34" t="s">
        <v>44</v>
      </c>
      <c r="X94" s="37" t="s">
        <v>163</v>
      </c>
      <c r="Y94" s="34" t="n">
        <v>78</v>
      </c>
      <c r="Z94" s="34" t="s">
        <v>448</v>
      </c>
      <c r="AA94" s="34" t="s">
        <v>46</v>
      </c>
      <c r="AB94" s="34" t="s">
        <v>47</v>
      </c>
      <c r="AC94" s="34" t="n">
        <v>33210</v>
      </c>
      <c r="AD94" s="34" t="n">
        <v>646429595</v>
      </c>
      <c r="AE94" s="39" t="s">
        <v>449</v>
      </c>
      <c r="AF94" s="40"/>
      <c r="AG94" s="40"/>
      <c r="AH94" s="40"/>
      <c r="AI94" s="40"/>
      <c r="AJ94" s="40"/>
      <c r="AK94" s="29"/>
      <c r="AL94" s="33"/>
      <c r="AM94" s="41" t="n">
        <v>10</v>
      </c>
      <c r="AO94" s="2" t="str">
        <f aca="false">CONCATENATE(AF94,AG94,AH94,AI94,AJ94)</f>
        <v/>
      </c>
    </row>
    <row r="95" customFormat="false" ht="15" hidden="false" customHeight="true" outlineLevel="0" collapsed="false">
      <c r="A95" s="8" t="n">
        <v>95</v>
      </c>
      <c r="B95" s="20"/>
      <c r="C95" s="33"/>
      <c r="D95" s="34" t="s">
        <v>450</v>
      </c>
      <c r="E95" s="34" t="s">
        <v>33</v>
      </c>
      <c r="F95" s="34" t="s">
        <v>2</v>
      </c>
      <c r="G95" s="34" t="s">
        <v>118</v>
      </c>
      <c r="H95" s="35"/>
      <c r="I95" s="36"/>
      <c r="J95" s="34" t="s">
        <v>33</v>
      </c>
      <c r="K95" s="34" t="s">
        <v>35</v>
      </c>
      <c r="L95" s="34" t="s">
        <v>36</v>
      </c>
      <c r="M95" s="34" t="str">
        <f aca="false">CONCATENATE(K95," ",L95)</f>
        <v>ZITRON-ASCAZ HOSPITALARIA</v>
      </c>
      <c r="N95" s="34" t="s">
        <v>54</v>
      </c>
      <c r="O95" s="37" t="s">
        <v>451</v>
      </c>
      <c r="P95" s="37" t="s">
        <v>452</v>
      </c>
      <c r="Q95" s="37"/>
      <c r="R95" s="34" t="s">
        <v>121</v>
      </c>
      <c r="S95" s="34" t="s">
        <v>453</v>
      </c>
      <c r="T95" s="34" t="s">
        <v>59</v>
      </c>
      <c r="U95" s="35" t="n">
        <v>29816</v>
      </c>
      <c r="V95" s="38" t="n">
        <f aca="false">YEAR($V$1)-YEAR(U95)</f>
        <v>37</v>
      </c>
      <c r="W95" s="34"/>
      <c r="X95" s="37"/>
      <c r="Y95" s="34"/>
      <c r="Z95" s="34"/>
      <c r="AA95" s="34"/>
      <c r="AB95" s="34"/>
      <c r="AC95" s="34"/>
      <c r="AD95" s="34"/>
      <c r="AE95" s="39"/>
      <c r="AF95" s="40"/>
      <c r="AG95" s="40"/>
      <c r="AH95" s="40"/>
      <c r="AI95" s="40"/>
      <c r="AJ95" s="40"/>
      <c r="AK95" s="29"/>
      <c r="AL95" s="33"/>
      <c r="AM95" s="41" t="n">
        <v>10</v>
      </c>
      <c r="AO95" s="2" t="str">
        <f aca="false">CONCATENATE(AF95,AG95,AH95,AI95,AJ95)</f>
        <v/>
      </c>
    </row>
    <row r="96" customFormat="false" ht="15" hidden="false" customHeight="true" outlineLevel="0" collapsed="false">
      <c r="A96" s="8" t="n">
        <v>96</v>
      </c>
      <c r="B96" s="20"/>
      <c r="C96" s="33"/>
      <c r="D96" s="34" t="s">
        <v>454</v>
      </c>
      <c r="E96" s="34" t="s">
        <v>33</v>
      </c>
      <c r="F96" s="34" t="s">
        <v>2</v>
      </c>
      <c r="G96" s="34" t="s">
        <v>118</v>
      </c>
      <c r="H96" s="35"/>
      <c r="I96" s="36"/>
      <c r="J96" s="34" t="s">
        <v>33</v>
      </c>
      <c r="K96" s="34" t="s">
        <v>35</v>
      </c>
      <c r="L96" s="34" t="s">
        <v>61</v>
      </c>
      <c r="M96" s="34" t="str">
        <f aca="false">CONCATENATE(K96," ",L96)</f>
        <v>ZITRON-ASCAZ AMBULATORIA</v>
      </c>
      <c r="N96" s="34" t="s">
        <v>62</v>
      </c>
      <c r="O96" s="37" t="s">
        <v>455</v>
      </c>
      <c r="P96" s="37" t="s">
        <v>452</v>
      </c>
      <c r="Q96" s="37" t="s">
        <v>456</v>
      </c>
      <c r="R96" s="34"/>
      <c r="S96" s="34"/>
      <c r="T96" s="34" t="s">
        <v>43</v>
      </c>
      <c r="U96" s="35" t="n">
        <v>37414</v>
      </c>
      <c r="V96" s="38" t="n">
        <f aca="false">YEAR($V$1)-YEAR(U96)</f>
        <v>16</v>
      </c>
      <c r="W96" s="34"/>
      <c r="X96" s="37"/>
      <c r="Y96" s="34"/>
      <c r="Z96" s="34"/>
      <c r="AA96" s="34"/>
      <c r="AB96" s="34"/>
      <c r="AC96" s="34"/>
      <c r="AD96" s="34"/>
      <c r="AE96" s="39"/>
      <c r="AF96" s="40"/>
      <c r="AG96" s="40"/>
      <c r="AH96" s="40"/>
      <c r="AI96" s="40"/>
      <c r="AJ96" s="40"/>
      <c r="AK96" s="29"/>
      <c r="AL96" s="33"/>
      <c r="AM96" s="41" t="n">
        <v>10</v>
      </c>
      <c r="AO96" s="2" t="str">
        <f aca="false">CONCATENATE(AF96,AG96,AH96,AI96,AJ96)</f>
        <v/>
      </c>
    </row>
    <row r="97" customFormat="false" ht="15" hidden="false" customHeight="true" outlineLevel="0" collapsed="false">
      <c r="A97" s="8" t="n">
        <v>97</v>
      </c>
      <c r="B97" s="20"/>
      <c r="C97" s="33"/>
      <c r="D97" s="34" t="s">
        <v>457</v>
      </c>
      <c r="E97" s="34" t="s">
        <v>33</v>
      </c>
      <c r="F97" s="34" t="s">
        <v>2</v>
      </c>
      <c r="G97" s="34" t="s">
        <v>118</v>
      </c>
      <c r="H97" s="35"/>
      <c r="I97" s="36"/>
      <c r="J97" s="34" t="s">
        <v>33</v>
      </c>
      <c r="K97" s="34" t="s">
        <v>35</v>
      </c>
      <c r="L97" s="34" t="s">
        <v>61</v>
      </c>
      <c r="M97" s="34" t="str">
        <f aca="false">CONCATENATE(K97," ",L97)</f>
        <v>ZITRON-ASCAZ AMBULATORIA</v>
      </c>
      <c r="N97" s="34" t="s">
        <v>62</v>
      </c>
      <c r="O97" s="37" t="s">
        <v>458</v>
      </c>
      <c r="P97" s="37" t="s">
        <v>452</v>
      </c>
      <c r="Q97" s="37" t="s">
        <v>456</v>
      </c>
      <c r="R97" s="34"/>
      <c r="S97" s="34"/>
      <c r="T97" s="34" t="s">
        <v>43</v>
      </c>
      <c r="U97" s="35" t="n">
        <v>38851</v>
      </c>
      <c r="V97" s="38" t="n">
        <f aca="false">YEAR($V$1)-YEAR(U97)</f>
        <v>12</v>
      </c>
      <c r="W97" s="34"/>
      <c r="X97" s="37"/>
      <c r="Y97" s="34"/>
      <c r="Z97" s="34"/>
      <c r="AA97" s="34"/>
      <c r="AB97" s="34"/>
      <c r="AC97" s="34"/>
      <c r="AD97" s="34"/>
      <c r="AE97" s="39"/>
      <c r="AF97" s="40"/>
      <c r="AG97" s="40"/>
      <c r="AH97" s="40"/>
      <c r="AI97" s="40"/>
      <c r="AJ97" s="40"/>
      <c r="AK97" s="29"/>
      <c r="AL97" s="33"/>
      <c r="AM97" s="41" t="n">
        <v>10</v>
      </c>
      <c r="AO97" s="2" t="str">
        <f aca="false">CONCATENATE(AF97,AG97,AH97,AI97,AJ97)</f>
        <v/>
      </c>
    </row>
    <row r="98" customFormat="false" ht="15" hidden="false" customHeight="true" outlineLevel="0" collapsed="false">
      <c r="A98" s="8" t="n">
        <v>98</v>
      </c>
      <c r="B98" s="20"/>
      <c r="C98" s="21" t="n">
        <v>31</v>
      </c>
      <c r="D98" s="22"/>
      <c r="E98" s="26"/>
      <c r="F98" s="26"/>
      <c r="G98" s="26"/>
      <c r="H98" s="42"/>
      <c r="I98" s="26"/>
      <c r="J98" s="26"/>
      <c r="K98" s="26"/>
      <c r="L98" s="26"/>
      <c r="M98" s="26"/>
      <c r="N98" s="26"/>
      <c r="O98" s="43"/>
      <c r="P98" s="43"/>
      <c r="Q98" s="43"/>
      <c r="R98" s="26"/>
      <c r="S98" s="26"/>
      <c r="T98" s="26"/>
      <c r="U98" s="42"/>
      <c r="V98" s="26"/>
      <c r="W98" s="26"/>
      <c r="X98" s="43"/>
      <c r="Y98" s="26"/>
      <c r="Z98" s="26"/>
      <c r="AA98" s="26"/>
      <c r="AB98" s="26"/>
      <c r="AC98" s="26"/>
      <c r="AD98" s="26"/>
      <c r="AE98" s="44"/>
      <c r="AF98" s="28"/>
      <c r="AG98" s="28"/>
      <c r="AH98" s="28"/>
      <c r="AI98" s="28"/>
      <c r="AJ98" s="28"/>
      <c r="AK98" s="29"/>
      <c r="AL98" s="30" t="n">
        <v>30</v>
      </c>
      <c r="AM98" s="30"/>
      <c r="AN98" s="32" t="e">
        <f aca="false">#REF!</f>
        <v>#REF!</v>
      </c>
      <c r="AO98" s="2" t="str">
        <f aca="false">CONCATENATE(AF98,AG98,AH98,AI98,AJ98)</f>
        <v/>
      </c>
    </row>
    <row r="99" customFormat="false" ht="15" hidden="false" customHeight="true" outlineLevel="0" collapsed="false">
      <c r="A99" s="8" t="n">
        <v>99</v>
      </c>
      <c r="B99" s="20"/>
      <c r="C99" s="33"/>
      <c r="D99" s="34" t="s">
        <v>459</v>
      </c>
      <c r="E99" s="34" t="s">
        <v>33</v>
      </c>
      <c r="F99" s="34" t="s">
        <v>2</v>
      </c>
      <c r="G99" s="34" t="s">
        <v>118</v>
      </c>
      <c r="H99" s="35"/>
      <c r="I99" s="36"/>
      <c r="J99" s="34" t="s">
        <v>33</v>
      </c>
      <c r="K99" s="34" t="s">
        <v>35</v>
      </c>
      <c r="L99" s="34" t="s">
        <v>36</v>
      </c>
      <c r="M99" s="34" t="str">
        <f aca="false">CONCATENATE(K99," ",L99)</f>
        <v>ZITRON-ASCAZ HOSPITALARIA</v>
      </c>
      <c r="N99" s="34" t="s">
        <v>37</v>
      </c>
      <c r="O99" s="37" t="s">
        <v>460</v>
      </c>
      <c r="P99" s="37" t="s">
        <v>461</v>
      </c>
      <c r="Q99" s="37" t="s">
        <v>462</v>
      </c>
      <c r="R99" s="34" t="s">
        <v>121</v>
      </c>
      <c r="S99" s="34" t="s">
        <v>463</v>
      </c>
      <c r="T99" s="34" t="s">
        <v>43</v>
      </c>
      <c r="U99" s="35" t="n">
        <v>30796</v>
      </c>
      <c r="V99" s="38" t="n">
        <f aca="false">YEAR($V$1)-YEAR(U99)</f>
        <v>34</v>
      </c>
      <c r="W99" s="34" t="s">
        <v>44</v>
      </c>
      <c r="X99" s="37" t="s">
        <v>464</v>
      </c>
      <c r="Y99" s="34" t="n">
        <v>1</v>
      </c>
      <c r="Z99" s="34" t="s">
        <v>465</v>
      </c>
      <c r="AA99" s="34" t="s">
        <v>46</v>
      </c>
      <c r="AB99" s="34" t="s">
        <v>47</v>
      </c>
      <c r="AC99" s="34" t="n">
        <v>33204</v>
      </c>
      <c r="AD99" s="34" t="n">
        <v>684094136</v>
      </c>
      <c r="AE99" s="39" t="s">
        <v>466</v>
      </c>
      <c r="AF99" s="40"/>
      <c r="AG99" s="40"/>
      <c r="AH99" s="40"/>
      <c r="AI99" s="40"/>
      <c r="AJ99" s="40"/>
      <c r="AK99" s="29"/>
      <c r="AL99" s="33"/>
      <c r="AM99" s="41" t="n">
        <v>10</v>
      </c>
      <c r="AO99" s="2" t="str">
        <f aca="false">CONCATENATE(AF99,AG99,AH99,AI99,AJ99)</f>
        <v/>
      </c>
    </row>
    <row r="100" customFormat="false" ht="15" hidden="false" customHeight="true" outlineLevel="0" collapsed="false">
      <c r="A100" s="8" t="n">
        <v>100</v>
      </c>
      <c r="B100" s="20"/>
      <c r="C100" s="33"/>
      <c r="D100" s="34" t="s">
        <v>467</v>
      </c>
      <c r="E100" s="34" t="s">
        <v>33</v>
      </c>
      <c r="F100" s="34" t="s">
        <v>2</v>
      </c>
      <c r="G100" s="34" t="s">
        <v>118</v>
      </c>
      <c r="H100" s="35"/>
      <c r="I100" s="36"/>
      <c r="J100" s="34" t="s">
        <v>33</v>
      </c>
      <c r="K100" s="34" t="s">
        <v>35</v>
      </c>
      <c r="L100" s="34" t="s">
        <v>36</v>
      </c>
      <c r="M100" s="34" t="str">
        <f aca="false">CONCATENATE(K100," ",L100)</f>
        <v>ZITRON-ASCAZ HOSPITALARIA</v>
      </c>
      <c r="N100" s="34" t="s">
        <v>54</v>
      </c>
      <c r="O100" s="37" t="s">
        <v>441</v>
      </c>
      <c r="P100" s="37" t="s">
        <v>468</v>
      </c>
      <c r="Q100" s="37" t="s">
        <v>469</v>
      </c>
      <c r="R100" s="34" t="s">
        <v>41</v>
      </c>
      <c r="S100" s="34" t="s">
        <v>470</v>
      </c>
      <c r="T100" s="34" t="s">
        <v>59</v>
      </c>
      <c r="U100" s="35" t="n">
        <v>30880</v>
      </c>
      <c r="V100" s="38" t="n">
        <f aca="false">YEAR($V$1)-YEAR(U100)</f>
        <v>34</v>
      </c>
      <c r="W100" s="34"/>
      <c r="X100" s="37"/>
      <c r="Y100" s="34"/>
      <c r="Z100" s="34"/>
      <c r="AA100" s="34"/>
      <c r="AB100" s="34"/>
      <c r="AC100" s="34"/>
      <c r="AD100" s="34"/>
      <c r="AE100" s="39" t="s">
        <v>471</v>
      </c>
      <c r="AF100" s="40"/>
      <c r="AG100" s="40"/>
      <c r="AH100" s="40"/>
      <c r="AI100" s="40"/>
      <c r="AJ100" s="40"/>
      <c r="AK100" s="29"/>
      <c r="AL100" s="33"/>
      <c r="AM100" s="41" t="n">
        <v>10</v>
      </c>
      <c r="AO100" s="2" t="str">
        <f aca="false">CONCATENATE(AF100,AG100,AH100,AI100,AJ100)</f>
        <v/>
      </c>
    </row>
    <row r="101" customFormat="false" ht="15" hidden="false" customHeight="true" outlineLevel="0" collapsed="false">
      <c r="A101" s="8" t="n">
        <v>101</v>
      </c>
      <c r="B101" s="20"/>
      <c r="C101" s="33"/>
      <c r="D101" s="34" t="s">
        <v>472</v>
      </c>
      <c r="E101" s="34" t="s">
        <v>33</v>
      </c>
      <c r="F101" s="34" t="s">
        <v>2</v>
      </c>
      <c r="G101" s="34" t="s">
        <v>118</v>
      </c>
      <c r="H101" s="35"/>
      <c r="I101" s="36"/>
      <c r="J101" s="34" t="s">
        <v>33</v>
      </c>
      <c r="K101" s="34" t="s">
        <v>35</v>
      </c>
      <c r="L101" s="34" t="s">
        <v>36</v>
      </c>
      <c r="M101" s="34" t="str">
        <f aca="false">CONCATENATE(K101," ",L101)</f>
        <v>ZITRON-ASCAZ HOSPITALARIA</v>
      </c>
      <c r="N101" s="34" t="s">
        <v>62</v>
      </c>
      <c r="O101" s="37" t="s">
        <v>473</v>
      </c>
      <c r="P101" s="37" t="s">
        <v>474</v>
      </c>
      <c r="Q101" s="48" t="s">
        <v>468</v>
      </c>
      <c r="R101" s="48"/>
      <c r="S101" s="34"/>
      <c r="T101" s="34" t="s">
        <v>59</v>
      </c>
      <c r="U101" s="35" t="n">
        <v>42729</v>
      </c>
      <c r="V101" s="38" t="n">
        <f aca="false">YEAR($V$1)-YEAR(U101)</f>
        <v>2</v>
      </c>
      <c r="W101" s="34"/>
      <c r="X101" s="37"/>
      <c r="Y101" s="34"/>
      <c r="Z101" s="34"/>
      <c r="AA101" s="34"/>
      <c r="AB101" s="34"/>
      <c r="AC101" s="34"/>
      <c r="AD101" s="34"/>
      <c r="AE101" s="39"/>
      <c r="AF101" s="40"/>
      <c r="AG101" s="40"/>
      <c r="AH101" s="40"/>
      <c r="AI101" s="40"/>
      <c r="AJ101" s="40"/>
      <c r="AK101" s="29"/>
      <c r="AL101" s="33"/>
      <c r="AM101" s="41" t="n">
        <v>10</v>
      </c>
      <c r="AO101" s="2" t="str">
        <f aca="false">CONCATENATE(AF101,AG101,AH101,AI101,AJ101)</f>
        <v/>
      </c>
    </row>
    <row r="102" customFormat="false" ht="15" hidden="false" customHeight="true" outlineLevel="0" collapsed="false">
      <c r="A102" s="8" t="n">
        <v>102</v>
      </c>
      <c r="B102" s="20"/>
      <c r="C102" s="21" t="n">
        <v>32</v>
      </c>
      <c r="D102" s="22"/>
      <c r="E102" s="26"/>
      <c r="F102" s="26"/>
      <c r="G102" s="26"/>
      <c r="H102" s="42"/>
      <c r="I102" s="26"/>
      <c r="J102" s="26"/>
      <c r="K102" s="26"/>
      <c r="L102" s="26"/>
      <c r="M102" s="26"/>
      <c r="N102" s="26"/>
      <c r="O102" s="43"/>
      <c r="P102" s="43"/>
      <c r="Q102" s="43"/>
      <c r="R102" s="26"/>
      <c r="S102" s="26"/>
      <c r="T102" s="26"/>
      <c r="U102" s="42"/>
      <c r="V102" s="26"/>
      <c r="W102" s="26"/>
      <c r="X102" s="43"/>
      <c r="Y102" s="26"/>
      <c r="Z102" s="26"/>
      <c r="AA102" s="26"/>
      <c r="AB102" s="26"/>
      <c r="AC102" s="26"/>
      <c r="AD102" s="26"/>
      <c r="AE102" s="44"/>
      <c r="AF102" s="28"/>
      <c r="AG102" s="28"/>
      <c r="AH102" s="28"/>
      <c r="AI102" s="28"/>
      <c r="AJ102" s="28"/>
      <c r="AK102" s="29"/>
      <c r="AL102" s="30" t="n">
        <v>30</v>
      </c>
      <c r="AM102" s="30"/>
      <c r="AN102" s="32" t="e">
        <f aca="false">#REF!</f>
        <v>#REF!</v>
      </c>
      <c r="AO102" s="2" t="str">
        <f aca="false">CONCATENATE(AF102,AG102,AH102,AI102,AJ102)</f>
        <v/>
      </c>
    </row>
    <row r="103" customFormat="false" ht="15" hidden="false" customHeight="true" outlineLevel="0" collapsed="false">
      <c r="A103" s="8" t="n">
        <v>103</v>
      </c>
      <c r="B103" s="20"/>
      <c r="C103" s="33"/>
      <c r="D103" s="34" t="s">
        <v>475</v>
      </c>
      <c r="E103" s="34" t="s">
        <v>33</v>
      </c>
      <c r="F103" s="34" t="s">
        <v>2</v>
      </c>
      <c r="G103" s="34" t="s">
        <v>118</v>
      </c>
      <c r="H103" s="35"/>
      <c r="I103" s="36"/>
      <c r="J103" s="34" t="s">
        <v>33</v>
      </c>
      <c r="K103" s="34" t="s">
        <v>35</v>
      </c>
      <c r="L103" s="34" t="s">
        <v>36</v>
      </c>
      <c r="M103" s="34" t="str">
        <f aca="false">CONCATENATE(K103," ",L103)</f>
        <v>ZITRON-ASCAZ HOSPITALARIA</v>
      </c>
      <c r="N103" s="34" t="s">
        <v>37</v>
      </c>
      <c r="O103" s="37" t="s">
        <v>476</v>
      </c>
      <c r="P103" s="37" t="s">
        <v>200</v>
      </c>
      <c r="Q103" s="37" t="s">
        <v>477</v>
      </c>
      <c r="R103" s="34" t="s">
        <v>41</v>
      </c>
      <c r="S103" s="34" t="s">
        <v>478</v>
      </c>
      <c r="T103" s="34" t="s">
        <v>43</v>
      </c>
      <c r="U103" s="35" t="n">
        <v>33063</v>
      </c>
      <c r="V103" s="38" t="n">
        <f aca="false">YEAR($V$1)-YEAR(U103)</f>
        <v>28</v>
      </c>
      <c r="W103" s="34" t="s">
        <v>44</v>
      </c>
      <c r="X103" s="37" t="s">
        <v>479</v>
      </c>
      <c r="Y103" s="34" t="n">
        <v>1</v>
      </c>
      <c r="Z103" s="34" t="s">
        <v>480</v>
      </c>
      <c r="AA103" s="34" t="s">
        <v>46</v>
      </c>
      <c r="AB103" s="34" t="s">
        <v>47</v>
      </c>
      <c r="AC103" s="34" t="n">
        <v>33208</v>
      </c>
      <c r="AD103" s="34" t="n">
        <v>667469527</v>
      </c>
      <c r="AE103" s="39" t="s">
        <v>481</v>
      </c>
      <c r="AF103" s="40"/>
      <c r="AG103" s="40"/>
      <c r="AH103" s="40"/>
      <c r="AI103" s="40"/>
      <c r="AJ103" s="40"/>
      <c r="AK103" s="29"/>
      <c r="AL103" s="33"/>
      <c r="AM103" s="41" t="n">
        <v>10</v>
      </c>
      <c r="AO103" s="2" t="str">
        <f aca="false">CONCATENATE(AF103,AG103,AH103,AI103,AJ103)</f>
        <v/>
      </c>
    </row>
    <row r="104" customFormat="false" ht="15" hidden="false" customHeight="true" outlineLevel="0" collapsed="false">
      <c r="A104" s="8" t="n">
        <v>104</v>
      </c>
      <c r="B104" s="20"/>
      <c r="C104" s="21" t="n">
        <v>33</v>
      </c>
      <c r="D104" s="22"/>
      <c r="E104" s="26"/>
      <c r="F104" s="26"/>
      <c r="G104" s="26"/>
      <c r="H104" s="42"/>
      <c r="I104" s="26"/>
      <c r="J104" s="26"/>
      <c r="K104" s="26"/>
      <c r="L104" s="26"/>
      <c r="M104" s="26"/>
      <c r="N104" s="26"/>
      <c r="O104" s="43"/>
      <c r="P104" s="43"/>
      <c r="Q104" s="43"/>
      <c r="R104" s="26"/>
      <c r="S104" s="26"/>
      <c r="T104" s="26"/>
      <c r="U104" s="42"/>
      <c r="V104" s="26"/>
      <c r="W104" s="26"/>
      <c r="X104" s="43"/>
      <c r="Y104" s="26"/>
      <c r="Z104" s="26"/>
      <c r="AA104" s="26"/>
      <c r="AB104" s="26"/>
      <c r="AC104" s="26"/>
      <c r="AD104" s="26"/>
      <c r="AE104" s="44"/>
      <c r="AF104" s="28"/>
      <c r="AG104" s="28"/>
      <c r="AH104" s="28"/>
      <c r="AI104" s="28"/>
      <c r="AJ104" s="28"/>
      <c r="AK104" s="29"/>
      <c r="AL104" s="30" t="n">
        <v>30</v>
      </c>
      <c r="AM104" s="30"/>
      <c r="AN104" s="32" t="e">
        <f aca="false">#REF!</f>
        <v>#REF!</v>
      </c>
      <c r="AO104" s="2" t="str">
        <f aca="false">CONCATENATE(AF104,AG104,AH104,AI104,AJ104)</f>
        <v/>
      </c>
    </row>
    <row r="105" customFormat="false" ht="15" hidden="false" customHeight="true" outlineLevel="0" collapsed="false">
      <c r="A105" s="8" t="n">
        <v>105</v>
      </c>
      <c r="B105" s="20"/>
      <c r="C105" s="33"/>
      <c r="D105" s="34" t="s">
        <v>482</v>
      </c>
      <c r="E105" s="34" t="s">
        <v>33</v>
      </c>
      <c r="F105" s="34" t="s">
        <v>2</v>
      </c>
      <c r="G105" s="34" t="s">
        <v>118</v>
      </c>
      <c r="H105" s="35"/>
      <c r="I105" s="36"/>
      <c r="J105" s="34" t="s">
        <v>33</v>
      </c>
      <c r="K105" s="34" t="s">
        <v>35</v>
      </c>
      <c r="L105" s="34" t="s">
        <v>36</v>
      </c>
      <c r="M105" s="34" t="str">
        <f aca="false">CONCATENATE(K105," ",L105)</f>
        <v>ZITRON-ASCAZ HOSPITALARIA</v>
      </c>
      <c r="N105" s="34" t="s">
        <v>37</v>
      </c>
      <c r="O105" s="37" t="s">
        <v>264</v>
      </c>
      <c r="P105" s="37" t="s">
        <v>322</v>
      </c>
      <c r="Q105" s="37" t="s">
        <v>483</v>
      </c>
      <c r="R105" s="34" t="s">
        <v>41</v>
      </c>
      <c r="S105" s="34" t="s">
        <v>484</v>
      </c>
      <c r="T105" s="34" t="s">
        <v>43</v>
      </c>
      <c r="U105" s="35" t="n">
        <v>31164</v>
      </c>
      <c r="V105" s="38" t="n">
        <f aca="false">YEAR($V$1)-YEAR(U105)</f>
        <v>33</v>
      </c>
      <c r="W105" s="34" t="s">
        <v>44</v>
      </c>
      <c r="X105" s="37" t="s">
        <v>485</v>
      </c>
      <c r="Y105" s="34" t="n">
        <v>17</v>
      </c>
      <c r="Z105" s="34" t="s">
        <v>486</v>
      </c>
      <c r="AA105" s="34" t="s">
        <v>46</v>
      </c>
      <c r="AB105" s="34" t="s">
        <v>47</v>
      </c>
      <c r="AC105" s="34" t="n">
        <v>33210</v>
      </c>
      <c r="AD105" s="34" t="n">
        <v>687393200</v>
      </c>
      <c r="AE105" s="39" t="s">
        <v>487</v>
      </c>
      <c r="AF105" s="40"/>
      <c r="AG105" s="40"/>
      <c r="AH105" s="40"/>
      <c r="AI105" s="40"/>
      <c r="AJ105" s="40"/>
      <c r="AK105" s="29"/>
      <c r="AL105" s="33"/>
      <c r="AM105" s="41" t="n">
        <v>10</v>
      </c>
      <c r="AO105" s="2" t="str">
        <f aca="false">CONCATENATE(AF105,AG105,AH105,AI105,AJ105)</f>
        <v/>
      </c>
    </row>
    <row r="106" customFormat="false" ht="15" hidden="false" customHeight="true" outlineLevel="0" collapsed="false">
      <c r="A106" s="8" t="n">
        <v>106</v>
      </c>
      <c r="B106" s="20"/>
      <c r="C106" s="21" t="n">
        <v>34</v>
      </c>
      <c r="D106" s="22"/>
      <c r="E106" s="26"/>
      <c r="F106" s="26"/>
      <c r="G106" s="26"/>
      <c r="H106" s="42"/>
      <c r="I106" s="26"/>
      <c r="J106" s="26"/>
      <c r="K106" s="26"/>
      <c r="L106" s="26"/>
      <c r="M106" s="26"/>
      <c r="N106" s="26"/>
      <c r="O106" s="43"/>
      <c r="P106" s="43"/>
      <c r="Q106" s="43"/>
      <c r="R106" s="26"/>
      <c r="S106" s="26"/>
      <c r="T106" s="26"/>
      <c r="U106" s="42"/>
      <c r="V106" s="26"/>
      <c r="W106" s="26"/>
      <c r="X106" s="43"/>
      <c r="Y106" s="26"/>
      <c r="Z106" s="26"/>
      <c r="AA106" s="26"/>
      <c r="AB106" s="26"/>
      <c r="AC106" s="26"/>
      <c r="AD106" s="26"/>
      <c r="AE106" s="44"/>
      <c r="AF106" s="28"/>
      <c r="AG106" s="28"/>
      <c r="AH106" s="28"/>
      <c r="AI106" s="28"/>
      <c r="AJ106" s="28"/>
      <c r="AK106" s="29"/>
      <c r="AL106" s="30" t="n">
        <v>30</v>
      </c>
      <c r="AM106" s="30"/>
      <c r="AN106" s="32" t="e">
        <f aca="false">#REF!</f>
        <v>#REF!</v>
      </c>
      <c r="AO106" s="2" t="str">
        <f aca="false">CONCATENATE(AF106,AG106,AH106,AI106,AJ106)</f>
        <v/>
      </c>
    </row>
    <row r="107" customFormat="false" ht="15" hidden="false" customHeight="true" outlineLevel="0" collapsed="false">
      <c r="A107" s="8" t="n">
        <v>107</v>
      </c>
      <c r="B107" s="20"/>
      <c r="C107" s="33"/>
      <c r="D107" s="34" t="s">
        <v>488</v>
      </c>
      <c r="E107" s="34" t="s">
        <v>33</v>
      </c>
      <c r="F107" s="34" t="s">
        <v>2</v>
      </c>
      <c r="G107" s="34" t="s">
        <v>118</v>
      </c>
      <c r="H107" s="35"/>
      <c r="I107" s="36"/>
      <c r="J107" s="34" t="s">
        <v>33</v>
      </c>
      <c r="K107" s="34" t="s">
        <v>35</v>
      </c>
      <c r="L107" s="34" t="s">
        <v>36</v>
      </c>
      <c r="M107" s="34" t="str">
        <f aca="false">CONCATENATE(K107," ",L107)</f>
        <v>ZITRON-ASCAZ HOSPITALARIA</v>
      </c>
      <c r="N107" s="34" t="s">
        <v>37</v>
      </c>
      <c r="O107" s="37" t="s">
        <v>489</v>
      </c>
      <c r="P107" s="37" t="s">
        <v>490</v>
      </c>
      <c r="Q107" s="37" t="s">
        <v>491</v>
      </c>
      <c r="R107" s="34" t="s">
        <v>41</v>
      </c>
      <c r="S107" s="34" t="s">
        <v>492</v>
      </c>
      <c r="T107" s="34" t="s">
        <v>43</v>
      </c>
      <c r="U107" s="35" t="n">
        <v>30644</v>
      </c>
      <c r="V107" s="38" t="n">
        <f aca="false">YEAR($V$1)-YEAR(U107)</f>
        <v>35</v>
      </c>
      <c r="W107" s="34" t="s">
        <v>44</v>
      </c>
      <c r="X107" s="37" t="s">
        <v>493</v>
      </c>
      <c r="Y107" s="34" t="n">
        <v>17</v>
      </c>
      <c r="Z107" s="34" t="s">
        <v>494</v>
      </c>
      <c r="AA107" s="34" t="s">
        <v>46</v>
      </c>
      <c r="AB107" s="34" t="s">
        <v>495</v>
      </c>
      <c r="AC107" s="34" t="n">
        <v>33420</v>
      </c>
      <c r="AD107" s="34" t="n">
        <v>646694363</v>
      </c>
      <c r="AE107" s="39" t="s">
        <v>496</v>
      </c>
      <c r="AF107" s="40"/>
      <c r="AG107" s="40"/>
      <c r="AH107" s="40"/>
      <c r="AI107" s="40"/>
      <c r="AJ107" s="40"/>
      <c r="AK107" s="29"/>
      <c r="AL107" s="33"/>
      <c r="AM107" s="41" t="n">
        <v>10</v>
      </c>
      <c r="AO107" s="2" t="str">
        <f aca="false">CONCATENATE(AF107,AG107,AH107,AI107,AJ107)</f>
        <v/>
      </c>
    </row>
    <row r="108" customFormat="false" ht="15" hidden="false" customHeight="true" outlineLevel="0" collapsed="false">
      <c r="A108" s="8" t="n">
        <v>108</v>
      </c>
      <c r="B108" s="20"/>
      <c r="C108" s="33"/>
      <c r="D108" s="34" t="s">
        <v>497</v>
      </c>
      <c r="E108" s="34" t="s">
        <v>33</v>
      </c>
      <c r="F108" s="34" t="s">
        <v>2</v>
      </c>
      <c r="G108" s="34" t="s">
        <v>118</v>
      </c>
      <c r="H108" s="35"/>
      <c r="I108" s="36"/>
      <c r="J108" s="34" t="s">
        <v>33</v>
      </c>
      <c r="K108" s="34" t="s">
        <v>35</v>
      </c>
      <c r="L108" s="34" t="s">
        <v>36</v>
      </c>
      <c r="M108" s="34" t="str">
        <f aca="false">CONCATENATE(K108," ",L108)</f>
        <v>ZITRON-ASCAZ HOSPITALARIA</v>
      </c>
      <c r="N108" s="34" t="s">
        <v>54</v>
      </c>
      <c r="O108" s="37" t="s">
        <v>498</v>
      </c>
      <c r="P108" s="37" t="s">
        <v>499</v>
      </c>
      <c r="Q108" s="37" t="s">
        <v>500</v>
      </c>
      <c r="R108" s="34" t="s">
        <v>41</v>
      </c>
      <c r="S108" s="34" t="s">
        <v>501</v>
      </c>
      <c r="T108" s="34" t="s">
        <v>59</v>
      </c>
      <c r="U108" s="35" t="n">
        <v>32461</v>
      </c>
      <c r="V108" s="38" t="n">
        <f aca="false">YEAR($V$1)-YEAR(U108)</f>
        <v>30</v>
      </c>
      <c r="W108" s="34"/>
      <c r="X108" s="37"/>
      <c r="Y108" s="34"/>
      <c r="Z108" s="34"/>
      <c r="AA108" s="34"/>
      <c r="AB108" s="34"/>
      <c r="AC108" s="34"/>
      <c r="AD108" s="34" t="n">
        <v>635211107</v>
      </c>
      <c r="AE108" s="39" t="s">
        <v>502</v>
      </c>
      <c r="AF108" s="40"/>
      <c r="AG108" s="40"/>
      <c r="AH108" s="40"/>
      <c r="AI108" s="40"/>
      <c r="AJ108" s="40"/>
      <c r="AK108" s="29"/>
      <c r="AL108" s="33"/>
      <c r="AM108" s="41" t="n">
        <v>10</v>
      </c>
      <c r="AO108" s="2" t="str">
        <f aca="false">CONCATENATE(AF108,AG108,AH108,AI108,AJ108)</f>
        <v/>
      </c>
    </row>
    <row r="109" customFormat="false" ht="15" hidden="false" customHeight="true" outlineLevel="0" collapsed="false">
      <c r="A109" s="8" t="n">
        <v>109</v>
      </c>
      <c r="B109" s="20"/>
      <c r="C109" s="33"/>
      <c r="D109" s="34" t="s">
        <v>503</v>
      </c>
      <c r="E109" s="34" t="s">
        <v>33</v>
      </c>
      <c r="F109" s="34" t="s">
        <v>2</v>
      </c>
      <c r="G109" s="34" t="s">
        <v>118</v>
      </c>
      <c r="H109" s="35"/>
      <c r="I109" s="36"/>
      <c r="J109" s="34" t="s">
        <v>33</v>
      </c>
      <c r="K109" s="34" t="s">
        <v>35</v>
      </c>
      <c r="L109" s="34" t="s">
        <v>61</v>
      </c>
      <c r="M109" s="34" t="str">
        <f aca="false">CONCATENATE(K109," ",L109)</f>
        <v>ZITRON-ASCAZ AMBULATORIA</v>
      </c>
      <c r="N109" s="34" t="s">
        <v>62</v>
      </c>
      <c r="O109" s="37" t="s">
        <v>504</v>
      </c>
      <c r="P109" s="37" t="s">
        <v>265</v>
      </c>
      <c r="Q109" s="37" t="s">
        <v>499</v>
      </c>
      <c r="R109" s="34"/>
      <c r="S109" s="34"/>
      <c r="T109" s="34" t="s">
        <v>59</v>
      </c>
      <c r="U109" s="35" t="n">
        <v>43090</v>
      </c>
      <c r="V109" s="38" t="n">
        <f aca="false">YEAR($V$1)-YEAR(U109)</f>
        <v>1</v>
      </c>
      <c r="W109" s="34"/>
      <c r="X109" s="37"/>
      <c r="Y109" s="34"/>
      <c r="Z109" s="34"/>
      <c r="AA109" s="34"/>
      <c r="AB109" s="34"/>
      <c r="AC109" s="34"/>
      <c r="AD109" s="34"/>
      <c r="AE109" s="39"/>
      <c r="AF109" s="40"/>
      <c r="AG109" s="40"/>
      <c r="AH109" s="40"/>
      <c r="AI109" s="40"/>
      <c r="AJ109" s="40"/>
      <c r="AK109" s="29"/>
      <c r="AL109" s="33"/>
      <c r="AM109" s="41" t="n">
        <v>10</v>
      </c>
      <c r="AO109" s="2" t="str">
        <f aca="false">CONCATENATE(AF109,AG109,AH109,AI109,AJ109)</f>
        <v/>
      </c>
    </row>
    <row r="110" customFormat="false" ht="15" hidden="false" customHeight="true" outlineLevel="0" collapsed="false">
      <c r="A110" s="8" t="n">
        <v>110</v>
      </c>
      <c r="B110" s="20"/>
      <c r="C110" s="21" t="n">
        <v>35</v>
      </c>
      <c r="D110" s="22"/>
      <c r="E110" s="26"/>
      <c r="F110" s="26"/>
      <c r="G110" s="26"/>
      <c r="H110" s="42"/>
      <c r="I110" s="26"/>
      <c r="J110" s="26"/>
      <c r="K110" s="26"/>
      <c r="L110" s="26"/>
      <c r="M110" s="26"/>
      <c r="N110" s="26"/>
      <c r="O110" s="43"/>
      <c r="P110" s="43"/>
      <c r="Q110" s="43"/>
      <c r="R110" s="26"/>
      <c r="S110" s="26"/>
      <c r="T110" s="26"/>
      <c r="U110" s="42"/>
      <c r="V110" s="26"/>
      <c r="W110" s="26"/>
      <c r="X110" s="43"/>
      <c r="Y110" s="26"/>
      <c r="Z110" s="26"/>
      <c r="AA110" s="26"/>
      <c r="AB110" s="26"/>
      <c r="AC110" s="26"/>
      <c r="AD110" s="26"/>
      <c r="AE110" s="44"/>
      <c r="AF110" s="28"/>
      <c r="AG110" s="28"/>
      <c r="AH110" s="28"/>
      <c r="AI110" s="28"/>
      <c r="AJ110" s="28"/>
      <c r="AK110" s="29"/>
      <c r="AL110" s="30" t="n">
        <v>30</v>
      </c>
      <c r="AM110" s="30"/>
      <c r="AN110" s="32" t="e">
        <f aca="false">#REF!</f>
        <v>#REF!</v>
      </c>
      <c r="AO110" s="2" t="str">
        <f aca="false">CONCATENATE(AF110,AG110,AH110,AI110,AJ110)</f>
        <v/>
      </c>
    </row>
    <row r="111" customFormat="false" ht="15" hidden="false" customHeight="true" outlineLevel="0" collapsed="false">
      <c r="A111" s="8" t="n">
        <v>111</v>
      </c>
      <c r="B111" s="20"/>
      <c r="C111" s="33"/>
      <c r="D111" s="34" t="s">
        <v>505</v>
      </c>
      <c r="E111" s="34" t="s">
        <v>33</v>
      </c>
      <c r="F111" s="34" t="s">
        <v>2</v>
      </c>
      <c r="G111" s="34" t="s">
        <v>118</v>
      </c>
      <c r="H111" s="35"/>
      <c r="I111" s="36"/>
      <c r="J111" s="34" t="s">
        <v>33</v>
      </c>
      <c r="K111" s="34" t="s">
        <v>35</v>
      </c>
      <c r="L111" s="34" t="s">
        <v>36</v>
      </c>
      <c r="M111" s="34" t="str">
        <f aca="false">CONCATENATE(K111," ",L111)</f>
        <v>ZITRON-ASCAZ HOSPITALARIA</v>
      </c>
      <c r="N111" s="34" t="s">
        <v>37</v>
      </c>
      <c r="O111" s="37" t="s">
        <v>506</v>
      </c>
      <c r="P111" s="37" t="s">
        <v>200</v>
      </c>
      <c r="Q111" s="37" t="s">
        <v>40</v>
      </c>
      <c r="R111" s="34" t="s">
        <v>41</v>
      </c>
      <c r="S111" s="34" t="s">
        <v>507</v>
      </c>
      <c r="T111" s="34" t="s">
        <v>43</v>
      </c>
      <c r="U111" s="35" t="n">
        <v>24990</v>
      </c>
      <c r="V111" s="38" t="n">
        <f aca="false">YEAR($V$1)-YEAR(U111)</f>
        <v>50</v>
      </c>
      <c r="W111" s="34" t="s">
        <v>44</v>
      </c>
      <c r="X111" s="37" t="s">
        <v>508</v>
      </c>
      <c r="Y111" s="34" t="n">
        <v>14</v>
      </c>
      <c r="Z111" s="34" t="s">
        <v>509</v>
      </c>
      <c r="AA111" s="34" t="s">
        <v>46</v>
      </c>
      <c r="AB111" s="34" t="s">
        <v>300</v>
      </c>
      <c r="AC111" s="34" t="n">
        <v>33006</v>
      </c>
      <c r="AD111" s="34" t="n">
        <v>666522458</v>
      </c>
      <c r="AE111" s="39" t="s">
        <v>510</v>
      </c>
      <c r="AF111" s="40"/>
      <c r="AG111" s="40"/>
      <c r="AH111" s="40"/>
      <c r="AI111" s="40"/>
      <c r="AJ111" s="40"/>
      <c r="AK111" s="29"/>
      <c r="AL111" s="33"/>
      <c r="AM111" s="41" t="n">
        <v>10</v>
      </c>
      <c r="AO111" s="2" t="str">
        <f aca="false">CONCATENATE(AF111,AG111,AH111,AI111,AJ111)</f>
        <v/>
      </c>
    </row>
    <row r="112" customFormat="false" ht="15" hidden="false" customHeight="true" outlineLevel="0" collapsed="false">
      <c r="A112" s="8" t="n">
        <v>112</v>
      </c>
      <c r="B112" s="20"/>
      <c r="C112" s="21" t="n">
        <v>36</v>
      </c>
      <c r="D112" s="22"/>
      <c r="E112" s="26"/>
      <c r="F112" s="26"/>
      <c r="G112" s="26"/>
      <c r="H112" s="42"/>
      <c r="I112" s="26"/>
      <c r="J112" s="26"/>
      <c r="K112" s="26"/>
      <c r="L112" s="26"/>
      <c r="M112" s="26"/>
      <c r="N112" s="26"/>
      <c r="O112" s="43"/>
      <c r="P112" s="43"/>
      <c r="Q112" s="43"/>
      <c r="R112" s="26"/>
      <c r="S112" s="26"/>
      <c r="T112" s="26"/>
      <c r="U112" s="42"/>
      <c r="V112" s="26"/>
      <c r="W112" s="26"/>
      <c r="X112" s="43"/>
      <c r="Y112" s="26"/>
      <c r="Z112" s="26"/>
      <c r="AA112" s="26"/>
      <c r="AB112" s="26"/>
      <c r="AC112" s="26"/>
      <c r="AD112" s="26"/>
      <c r="AE112" s="44"/>
      <c r="AF112" s="28"/>
      <c r="AG112" s="28"/>
      <c r="AH112" s="28"/>
      <c r="AI112" s="28"/>
      <c r="AJ112" s="28"/>
      <c r="AK112" s="29"/>
      <c r="AL112" s="30" t="n">
        <v>30</v>
      </c>
      <c r="AM112" s="30"/>
      <c r="AN112" s="32" t="e">
        <f aca="false">#REF!</f>
        <v>#REF!</v>
      </c>
      <c r="AO112" s="2" t="str">
        <f aca="false">CONCATENATE(AF112,AG112,AH112,AI112,AJ112)</f>
        <v/>
      </c>
    </row>
    <row r="113" customFormat="false" ht="15" hidden="false" customHeight="true" outlineLevel="0" collapsed="false">
      <c r="A113" s="8" t="n">
        <v>113</v>
      </c>
      <c r="B113" s="20"/>
      <c r="C113" s="33"/>
      <c r="D113" s="34" t="s">
        <v>511</v>
      </c>
      <c r="E113" s="34" t="s">
        <v>33</v>
      </c>
      <c r="F113" s="34" t="s">
        <v>2</v>
      </c>
      <c r="G113" s="34" t="s">
        <v>118</v>
      </c>
      <c r="H113" s="35"/>
      <c r="I113" s="36"/>
      <c r="J113" s="34" t="s">
        <v>33</v>
      </c>
      <c r="K113" s="34" t="s">
        <v>35</v>
      </c>
      <c r="L113" s="34" t="s">
        <v>36</v>
      </c>
      <c r="M113" s="34" t="str">
        <f aca="false">CONCATENATE(K113," ",L113)</f>
        <v>ZITRON-ASCAZ HOSPITALARIA</v>
      </c>
      <c r="N113" s="34" t="s">
        <v>37</v>
      </c>
      <c r="O113" s="37" t="s">
        <v>512</v>
      </c>
      <c r="P113" s="37" t="s">
        <v>513</v>
      </c>
      <c r="Q113" s="37"/>
      <c r="R113" s="34" t="s">
        <v>121</v>
      </c>
      <c r="S113" s="34" t="s">
        <v>514</v>
      </c>
      <c r="T113" s="34" t="s">
        <v>59</v>
      </c>
      <c r="U113" s="35" t="n">
        <v>29337</v>
      </c>
      <c r="V113" s="38" t="n">
        <f aca="false">YEAR($V$1)-YEAR(U113)</f>
        <v>38</v>
      </c>
      <c r="W113" s="34" t="s">
        <v>73</v>
      </c>
      <c r="X113" s="37" t="s">
        <v>515</v>
      </c>
      <c r="Y113" s="34" t="n">
        <v>30</v>
      </c>
      <c r="Z113" s="34" t="n">
        <v>7</v>
      </c>
      <c r="AA113" s="34" t="s">
        <v>46</v>
      </c>
      <c r="AB113" s="34" t="s">
        <v>516</v>
      </c>
      <c r="AC113" s="34" t="n">
        <v>33930</v>
      </c>
      <c r="AD113" s="34" t="n">
        <v>679373334</v>
      </c>
      <c r="AE113" s="39" t="s">
        <v>517</v>
      </c>
      <c r="AF113" s="40"/>
      <c r="AG113" s="40"/>
      <c r="AH113" s="40"/>
      <c r="AI113" s="40"/>
      <c r="AJ113" s="40"/>
      <c r="AK113" s="29"/>
      <c r="AL113" s="33"/>
      <c r="AM113" s="41" t="n">
        <v>10</v>
      </c>
      <c r="AO113" s="2" t="str">
        <f aca="false">CONCATENATE(AF113,AG113,AH113,AI113,AJ113)</f>
        <v/>
      </c>
    </row>
    <row r="114" customFormat="false" ht="15" hidden="false" customHeight="true" outlineLevel="0" collapsed="false">
      <c r="A114" s="8" t="n">
        <v>114</v>
      </c>
      <c r="B114" s="20"/>
      <c r="C114" s="33"/>
      <c r="D114" s="34" t="s">
        <v>518</v>
      </c>
      <c r="E114" s="34" t="s">
        <v>33</v>
      </c>
      <c r="F114" s="34" t="s">
        <v>2</v>
      </c>
      <c r="G114" s="34" t="s">
        <v>118</v>
      </c>
      <c r="H114" s="35"/>
      <c r="I114" s="36"/>
      <c r="J114" s="34" t="s">
        <v>33</v>
      </c>
      <c r="K114" s="34" t="s">
        <v>35</v>
      </c>
      <c r="L114" s="34" t="s">
        <v>36</v>
      </c>
      <c r="M114" s="34" t="str">
        <f aca="false">CONCATENATE(K114," ",L114)</f>
        <v>ZITRON-ASCAZ HOSPITALARIA</v>
      </c>
      <c r="N114" s="34" t="s">
        <v>54</v>
      </c>
      <c r="O114" s="37" t="s">
        <v>519</v>
      </c>
      <c r="P114" s="37" t="s">
        <v>520</v>
      </c>
      <c r="Q114" s="37" t="s">
        <v>521</v>
      </c>
      <c r="R114" s="34" t="s">
        <v>41</v>
      </c>
      <c r="S114" s="34" t="s">
        <v>522</v>
      </c>
      <c r="T114" s="34" t="s">
        <v>43</v>
      </c>
      <c r="U114" s="35" t="n">
        <v>28218</v>
      </c>
      <c r="V114" s="38" t="n">
        <f aca="false">YEAR($V$1)-YEAR(U114)</f>
        <v>41</v>
      </c>
      <c r="W114" s="34"/>
      <c r="X114" s="37"/>
      <c r="Y114" s="34"/>
      <c r="Z114" s="34"/>
      <c r="AA114" s="34"/>
      <c r="AB114" s="34"/>
      <c r="AC114" s="34"/>
      <c r="AD114" s="34" t="n">
        <v>664766119</v>
      </c>
      <c r="AE114" s="39" t="s">
        <v>523</v>
      </c>
      <c r="AF114" s="40"/>
      <c r="AG114" s="40"/>
      <c r="AH114" s="40"/>
      <c r="AI114" s="40"/>
      <c r="AJ114" s="40"/>
      <c r="AK114" s="29"/>
      <c r="AL114" s="33"/>
      <c r="AM114" s="41" t="n">
        <v>10</v>
      </c>
      <c r="AO114" s="2" t="str">
        <f aca="false">CONCATENATE(AF114,AG114,AH114,AI114,AJ114)</f>
        <v/>
      </c>
    </row>
    <row r="115" customFormat="false" ht="15" hidden="false" customHeight="true" outlineLevel="0" collapsed="false">
      <c r="A115" s="8" t="n">
        <v>115</v>
      </c>
      <c r="B115" s="20"/>
      <c r="C115" s="21" t="n">
        <v>37</v>
      </c>
      <c r="D115" s="22"/>
      <c r="E115" s="26"/>
      <c r="F115" s="26"/>
      <c r="G115" s="26"/>
      <c r="H115" s="42"/>
      <c r="I115" s="26"/>
      <c r="J115" s="26"/>
      <c r="K115" s="26"/>
      <c r="L115" s="26"/>
      <c r="M115" s="26"/>
      <c r="N115" s="26"/>
      <c r="O115" s="43"/>
      <c r="P115" s="43"/>
      <c r="Q115" s="43"/>
      <c r="R115" s="26"/>
      <c r="S115" s="26"/>
      <c r="T115" s="26"/>
      <c r="U115" s="42"/>
      <c r="V115" s="26"/>
      <c r="W115" s="26"/>
      <c r="X115" s="43"/>
      <c r="Y115" s="26"/>
      <c r="Z115" s="26"/>
      <c r="AA115" s="26"/>
      <c r="AB115" s="26"/>
      <c r="AC115" s="26"/>
      <c r="AD115" s="26"/>
      <c r="AE115" s="44"/>
      <c r="AF115" s="28"/>
      <c r="AG115" s="28"/>
      <c r="AH115" s="28"/>
      <c r="AI115" s="28"/>
      <c r="AJ115" s="28"/>
      <c r="AK115" s="29"/>
      <c r="AL115" s="30" t="n">
        <v>30</v>
      </c>
      <c r="AM115" s="30"/>
      <c r="AN115" s="32" t="e">
        <f aca="false">#REF!</f>
        <v>#REF!</v>
      </c>
      <c r="AO115" s="2" t="str">
        <f aca="false">CONCATENATE(AF115,AG115,AH115,AI115,AJ115)</f>
        <v/>
      </c>
    </row>
    <row r="116" customFormat="false" ht="15" hidden="false" customHeight="true" outlineLevel="0" collapsed="false">
      <c r="A116" s="8" t="n">
        <v>116</v>
      </c>
      <c r="B116" s="20"/>
      <c r="C116" s="33"/>
      <c r="D116" s="34" t="s">
        <v>524</v>
      </c>
      <c r="E116" s="34" t="s">
        <v>33</v>
      </c>
      <c r="F116" s="34" t="s">
        <v>2</v>
      </c>
      <c r="G116" s="34" t="s">
        <v>118</v>
      </c>
      <c r="H116" s="35"/>
      <c r="I116" s="36"/>
      <c r="J116" s="34" t="s">
        <v>33</v>
      </c>
      <c r="K116" s="34" t="s">
        <v>35</v>
      </c>
      <c r="L116" s="34" t="s">
        <v>36</v>
      </c>
      <c r="M116" s="34" t="str">
        <f aca="false">CONCATENATE(K116," ",L116)</f>
        <v>ZITRON-ASCAZ HOSPITALARIA</v>
      </c>
      <c r="N116" s="34" t="s">
        <v>37</v>
      </c>
      <c r="O116" s="37" t="s">
        <v>525</v>
      </c>
      <c r="P116" s="37" t="s">
        <v>265</v>
      </c>
      <c r="Q116" s="37" t="s">
        <v>189</v>
      </c>
      <c r="R116" s="34" t="s">
        <v>41</v>
      </c>
      <c r="S116" s="34" t="s">
        <v>526</v>
      </c>
      <c r="T116" s="34" t="s">
        <v>59</v>
      </c>
      <c r="U116" s="35" t="n">
        <v>29860</v>
      </c>
      <c r="V116" s="38" t="n">
        <f aca="false">YEAR($V$1)-YEAR(U116)</f>
        <v>37</v>
      </c>
      <c r="W116" s="34" t="s">
        <v>44</v>
      </c>
      <c r="X116" s="37" t="s">
        <v>527</v>
      </c>
      <c r="Y116" s="34" t="n">
        <v>4</v>
      </c>
      <c r="Z116" s="34" t="s">
        <v>93</v>
      </c>
      <c r="AA116" s="34" t="s">
        <v>46</v>
      </c>
      <c r="AB116" s="34" t="s">
        <v>47</v>
      </c>
      <c r="AC116" s="34" t="n">
        <v>33211</v>
      </c>
      <c r="AD116" s="34" t="n">
        <v>697222761</v>
      </c>
      <c r="AE116" s="39" t="s">
        <v>528</v>
      </c>
      <c r="AF116" s="40"/>
      <c r="AG116" s="40"/>
      <c r="AH116" s="40"/>
      <c r="AI116" s="40"/>
      <c r="AJ116" s="40"/>
      <c r="AK116" s="29"/>
      <c r="AL116" s="33"/>
      <c r="AM116" s="41" t="n">
        <v>10</v>
      </c>
      <c r="AO116" s="2" t="str">
        <f aca="false">CONCATENATE(AF116,AG116,AH116,AI116,AJ116)</f>
        <v/>
      </c>
    </row>
    <row r="117" customFormat="false" ht="15" hidden="false" customHeight="true" outlineLevel="0" collapsed="false">
      <c r="A117" s="8" t="n">
        <v>117</v>
      </c>
      <c r="B117" s="20"/>
      <c r="C117" s="33"/>
      <c r="D117" s="34" t="s">
        <v>529</v>
      </c>
      <c r="E117" s="34" t="s">
        <v>33</v>
      </c>
      <c r="F117" s="34" t="s">
        <v>2</v>
      </c>
      <c r="G117" s="34" t="s">
        <v>118</v>
      </c>
      <c r="H117" s="35"/>
      <c r="I117" s="36"/>
      <c r="J117" s="34" t="s">
        <v>33</v>
      </c>
      <c r="K117" s="34" t="s">
        <v>35</v>
      </c>
      <c r="L117" s="34" t="s">
        <v>36</v>
      </c>
      <c r="M117" s="34" t="str">
        <f aca="false">CONCATENATE(K117," ",L117)</f>
        <v>ZITRON-ASCAZ HOSPITALARIA</v>
      </c>
      <c r="N117" s="34" t="s">
        <v>54</v>
      </c>
      <c r="O117" s="37" t="s">
        <v>530</v>
      </c>
      <c r="P117" s="37" t="s">
        <v>330</v>
      </c>
      <c r="Q117" s="37" t="s">
        <v>140</v>
      </c>
      <c r="R117" s="34" t="s">
        <v>41</v>
      </c>
      <c r="S117" s="34" t="s">
        <v>531</v>
      </c>
      <c r="T117" s="34" t="s">
        <v>43</v>
      </c>
      <c r="U117" s="35" t="n">
        <v>28964</v>
      </c>
      <c r="V117" s="38" t="n">
        <f aca="false">YEAR($V$1)-YEAR(U117)</f>
        <v>39</v>
      </c>
      <c r="W117" s="34"/>
      <c r="X117" s="37"/>
      <c r="Y117" s="34"/>
      <c r="Z117" s="34"/>
      <c r="AA117" s="34"/>
      <c r="AB117" s="34"/>
      <c r="AC117" s="34"/>
      <c r="AD117" s="34" t="n">
        <v>649989063</v>
      </c>
      <c r="AE117" s="39" t="s">
        <v>532</v>
      </c>
      <c r="AF117" s="40"/>
      <c r="AG117" s="40"/>
      <c r="AH117" s="40"/>
      <c r="AI117" s="40"/>
      <c r="AJ117" s="40"/>
      <c r="AK117" s="29"/>
      <c r="AL117" s="33"/>
      <c r="AM117" s="41" t="n">
        <v>10</v>
      </c>
      <c r="AO117" s="2" t="str">
        <f aca="false">CONCATENATE(AF117,AG117,AH117,AI117,AJ117)</f>
        <v/>
      </c>
    </row>
    <row r="118" customFormat="false" ht="15" hidden="false" customHeight="true" outlineLevel="0" collapsed="false">
      <c r="A118" s="8" t="n">
        <v>118</v>
      </c>
      <c r="B118" s="20"/>
      <c r="C118" s="33"/>
      <c r="D118" s="34" t="s">
        <v>533</v>
      </c>
      <c r="E118" s="34" t="s">
        <v>33</v>
      </c>
      <c r="F118" s="34" t="s">
        <v>2</v>
      </c>
      <c r="G118" s="34" t="s">
        <v>118</v>
      </c>
      <c r="H118" s="35"/>
      <c r="I118" s="36"/>
      <c r="J118" s="34" t="s">
        <v>33</v>
      </c>
      <c r="K118" s="34" t="s">
        <v>35</v>
      </c>
      <c r="L118" s="34" t="s">
        <v>61</v>
      </c>
      <c r="M118" s="34" t="str">
        <f aca="false">CONCATENATE(K118," ",L118)</f>
        <v>ZITRON-ASCAZ AMBULATORIA</v>
      </c>
      <c r="N118" s="34" t="s">
        <v>62</v>
      </c>
      <c r="O118" s="37" t="s">
        <v>534</v>
      </c>
      <c r="P118" s="37" t="s">
        <v>535</v>
      </c>
      <c r="Q118" s="37" t="s">
        <v>265</v>
      </c>
      <c r="R118" s="34"/>
      <c r="S118" s="34"/>
      <c r="T118" s="34" t="s">
        <v>43</v>
      </c>
      <c r="U118" s="35" t="n">
        <v>41528</v>
      </c>
      <c r="V118" s="38" t="n">
        <f aca="false">YEAR($V$1)-YEAR(U118)</f>
        <v>5</v>
      </c>
      <c r="W118" s="34"/>
      <c r="X118" s="37"/>
      <c r="Y118" s="34"/>
      <c r="Z118" s="34"/>
      <c r="AA118" s="34"/>
      <c r="AB118" s="34"/>
      <c r="AC118" s="34"/>
      <c r="AD118" s="34"/>
      <c r="AE118" s="39"/>
      <c r="AF118" s="40"/>
      <c r="AG118" s="40"/>
      <c r="AH118" s="40"/>
      <c r="AI118" s="40"/>
      <c r="AJ118" s="40"/>
      <c r="AK118" s="29"/>
      <c r="AL118" s="33"/>
      <c r="AM118" s="41" t="n">
        <v>10</v>
      </c>
      <c r="AO118" s="2" t="str">
        <f aca="false">CONCATENATE(AF118,AG118,AH118,AI118,AJ118)</f>
        <v/>
      </c>
    </row>
    <row r="119" customFormat="false" ht="15" hidden="false" customHeight="true" outlineLevel="0" collapsed="false">
      <c r="A119" s="8" t="n">
        <v>119</v>
      </c>
      <c r="B119" s="20"/>
      <c r="C119" s="21" t="n">
        <v>38</v>
      </c>
      <c r="D119" s="22"/>
      <c r="E119" s="26"/>
      <c r="F119" s="26"/>
      <c r="G119" s="26"/>
      <c r="H119" s="42"/>
      <c r="I119" s="26"/>
      <c r="J119" s="26"/>
      <c r="K119" s="26"/>
      <c r="L119" s="26"/>
      <c r="M119" s="26"/>
      <c r="N119" s="26"/>
      <c r="O119" s="43"/>
      <c r="P119" s="43"/>
      <c r="Q119" s="43"/>
      <c r="R119" s="26"/>
      <c r="S119" s="26"/>
      <c r="T119" s="26"/>
      <c r="U119" s="42"/>
      <c r="V119" s="26"/>
      <c r="W119" s="26"/>
      <c r="X119" s="43"/>
      <c r="Y119" s="26"/>
      <c r="Z119" s="26"/>
      <c r="AA119" s="26"/>
      <c r="AB119" s="26"/>
      <c r="AC119" s="26"/>
      <c r="AD119" s="26"/>
      <c r="AE119" s="44"/>
      <c r="AF119" s="28"/>
      <c r="AG119" s="28"/>
      <c r="AH119" s="28"/>
      <c r="AI119" s="28"/>
      <c r="AJ119" s="28"/>
      <c r="AK119" s="29"/>
      <c r="AL119" s="30" t="n">
        <v>0</v>
      </c>
      <c r="AM119" s="30"/>
      <c r="AN119" s="32" t="e">
        <f aca="false">#REF!</f>
        <v>#REF!</v>
      </c>
      <c r="AO119" s="2" t="str">
        <f aca="false">CONCATENATE(AF119,AG119,AH119,AI119,AJ119)</f>
        <v/>
      </c>
    </row>
    <row r="120" customFormat="false" ht="15" hidden="false" customHeight="true" outlineLevel="0" collapsed="false">
      <c r="A120" s="8" t="n">
        <v>120</v>
      </c>
      <c r="B120" s="20"/>
      <c r="C120" s="33"/>
      <c r="D120" s="34" t="s">
        <v>536</v>
      </c>
      <c r="E120" s="34" t="s">
        <v>33</v>
      </c>
      <c r="F120" s="34" t="s">
        <v>2</v>
      </c>
      <c r="G120" s="34" t="s">
        <v>34</v>
      </c>
      <c r="H120" s="35"/>
      <c r="I120" s="36"/>
      <c r="J120" s="34" t="s">
        <v>33</v>
      </c>
      <c r="K120" s="34" t="s">
        <v>35</v>
      </c>
      <c r="L120" s="34" t="s">
        <v>61</v>
      </c>
      <c r="M120" s="34" t="str">
        <f aca="false">CONCATENATE(K120," ",L120)</f>
        <v>ZITRON-ASCAZ AMBULATORIA</v>
      </c>
      <c r="N120" s="34" t="s">
        <v>37</v>
      </c>
      <c r="O120" s="37" t="s">
        <v>261</v>
      </c>
      <c r="P120" s="37" t="s">
        <v>537</v>
      </c>
      <c r="Q120" s="37" t="s">
        <v>344</v>
      </c>
      <c r="R120" s="34" t="s">
        <v>41</v>
      </c>
      <c r="S120" s="34" t="s">
        <v>538</v>
      </c>
      <c r="T120" s="34" t="s">
        <v>43</v>
      </c>
      <c r="U120" s="35" t="n">
        <v>27612</v>
      </c>
      <c r="V120" s="38" t="n">
        <f aca="false">YEAR($V$1)-YEAR(U120)</f>
        <v>43</v>
      </c>
      <c r="W120" s="34" t="s">
        <v>44</v>
      </c>
      <c r="X120" s="37" t="s">
        <v>539</v>
      </c>
      <c r="Y120" s="34" t="n">
        <v>35</v>
      </c>
      <c r="Z120" s="34"/>
      <c r="AA120" s="34" t="s">
        <v>46</v>
      </c>
      <c r="AB120" s="34" t="s">
        <v>540</v>
      </c>
      <c r="AC120" s="34" t="n">
        <v>33430</v>
      </c>
      <c r="AD120" s="34" t="n">
        <v>651043841</v>
      </c>
      <c r="AE120" s="39" t="s">
        <v>541</v>
      </c>
      <c r="AF120" s="40"/>
      <c r="AG120" s="40"/>
      <c r="AH120" s="40"/>
      <c r="AI120" s="40"/>
      <c r="AJ120" s="40"/>
      <c r="AK120" s="29"/>
      <c r="AL120" s="33"/>
      <c r="AM120" s="41" t="n">
        <v>10</v>
      </c>
      <c r="AO120" s="2" t="str">
        <f aca="false">CONCATENATE(AF120,AG120,AH120,AI120,AJ120)</f>
        <v/>
      </c>
    </row>
    <row r="121" customFormat="false" ht="15" hidden="false" customHeight="true" outlineLevel="0" collapsed="false">
      <c r="A121" s="8" t="n">
        <v>121</v>
      </c>
      <c r="B121" s="20"/>
      <c r="C121" s="33"/>
      <c r="D121" s="34" t="s">
        <v>542</v>
      </c>
      <c r="E121" s="34" t="s">
        <v>33</v>
      </c>
      <c r="F121" s="34" t="s">
        <v>2</v>
      </c>
      <c r="G121" s="34" t="s">
        <v>34</v>
      </c>
      <c r="H121" s="35"/>
      <c r="I121" s="36"/>
      <c r="J121" s="34" t="s">
        <v>33</v>
      </c>
      <c r="K121" s="34" t="s">
        <v>35</v>
      </c>
      <c r="L121" s="34" t="s">
        <v>61</v>
      </c>
      <c r="M121" s="34" t="str">
        <f aca="false">CONCATENATE(K121," ",L121)</f>
        <v>ZITRON-ASCAZ AMBULATORIA</v>
      </c>
      <c r="N121" s="34" t="s">
        <v>54</v>
      </c>
      <c r="O121" s="37" t="s">
        <v>288</v>
      </c>
      <c r="P121" s="37" t="s">
        <v>543</v>
      </c>
      <c r="Q121" s="37" t="s">
        <v>200</v>
      </c>
      <c r="R121" s="34" t="s">
        <v>41</v>
      </c>
      <c r="S121" s="34" t="s">
        <v>544</v>
      </c>
      <c r="T121" s="34" t="s">
        <v>59</v>
      </c>
      <c r="U121" s="35" t="n">
        <v>27980</v>
      </c>
      <c r="V121" s="38" t="n">
        <f aca="false">YEAR($V$1)-YEAR(U121)</f>
        <v>42</v>
      </c>
      <c r="W121" s="34"/>
      <c r="X121" s="37"/>
      <c r="Y121" s="34"/>
      <c r="Z121" s="34"/>
      <c r="AA121" s="34"/>
      <c r="AB121" s="34"/>
      <c r="AC121" s="34"/>
      <c r="AD121" s="34" t="n">
        <v>626115314</v>
      </c>
      <c r="AE121" s="39" t="s">
        <v>545</v>
      </c>
      <c r="AF121" s="40"/>
      <c r="AG121" s="40"/>
      <c r="AH121" s="40"/>
      <c r="AI121" s="40"/>
      <c r="AJ121" s="40"/>
      <c r="AK121" s="29"/>
      <c r="AL121" s="33"/>
      <c r="AM121" s="41" t="n">
        <v>10</v>
      </c>
      <c r="AO121" s="2" t="str">
        <f aca="false">CONCATENATE(AF121,AG121,AH121,AI121,AJ121)</f>
        <v/>
      </c>
    </row>
    <row r="122" customFormat="false" ht="15" hidden="false" customHeight="true" outlineLevel="0" collapsed="false">
      <c r="A122" s="8" t="n">
        <v>121</v>
      </c>
      <c r="B122" s="20"/>
      <c r="C122" s="33"/>
      <c r="D122" s="34" t="s">
        <v>546</v>
      </c>
      <c r="E122" s="34" t="s">
        <v>33</v>
      </c>
      <c r="F122" s="34" t="s">
        <v>2</v>
      </c>
      <c r="G122" s="34" t="s">
        <v>34</v>
      </c>
      <c r="H122" s="35"/>
      <c r="I122" s="36"/>
      <c r="J122" s="34" t="s">
        <v>33</v>
      </c>
      <c r="K122" s="34" t="s">
        <v>35</v>
      </c>
      <c r="L122" s="34" t="s">
        <v>61</v>
      </c>
      <c r="M122" s="34" t="str">
        <f aca="false">CONCATENATE(K122," ",L122)</f>
        <v>ZITRON-ASCAZ AMBULATORIA</v>
      </c>
      <c r="N122" s="34" t="s">
        <v>62</v>
      </c>
      <c r="O122" s="37" t="s">
        <v>547</v>
      </c>
      <c r="P122" s="37" t="s">
        <v>537</v>
      </c>
      <c r="Q122" s="37" t="s">
        <v>543</v>
      </c>
      <c r="R122" s="34" t="s">
        <v>41</v>
      </c>
      <c r="S122" s="34" t="s">
        <v>548</v>
      </c>
      <c r="T122" s="34" t="s">
        <v>59</v>
      </c>
      <c r="U122" s="35" t="n">
        <v>40391</v>
      </c>
      <c r="V122" s="38" t="n">
        <f aca="false">YEAR($V$1)-YEAR(U122)</f>
        <v>8</v>
      </c>
      <c r="W122" s="34"/>
      <c r="X122" s="37"/>
      <c r="Y122" s="34"/>
      <c r="Z122" s="34"/>
      <c r="AA122" s="34"/>
      <c r="AB122" s="34"/>
      <c r="AC122" s="34"/>
      <c r="AD122" s="34"/>
      <c r="AE122" s="39"/>
      <c r="AF122" s="40"/>
      <c r="AG122" s="40"/>
      <c r="AH122" s="40"/>
      <c r="AI122" s="40"/>
      <c r="AJ122" s="40"/>
      <c r="AK122" s="29"/>
      <c r="AL122" s="33"/>
      <c r="AM122" s="41" t="n">
        <v>10</v>
      </c>
      <c r="AO122" s="2" t="str">
        <f aca="false">CONCATENATE(AF122,AG122,AH122,AI122,AJ122)</f>
        <v/>
      </c>
    </row>
    <row r="123" customFormat="false" ht="15" hidden="false" customHeight="true" outlineLevel="0" collapsed="false">
      <c r="A123" s="8" t="n">
        <v>122</v>
      </c>
      <c r="B123" s="20"/>
      <c r="C123" s="21" t="n">
        <v>39</v>
      </c>
      <c r="D123" s="22"/>
      <c r="E123" s="26"/>
      <c r="F123" s="26"/>
      <c r="G123" s="26"/>
      <c r="H123" s="42"/>
      <c r="I123" s="26"/>
      <c r="J123" s="26"/>
      <c r="K123" s="26"/>
      <c r="L123" s="26"/>
      <c r="M123" s="26"/>
      <c r="N123" s="26"/>
      <c r="O123" s="43"/>
      <c r="P123" s="43"/>
      <c r="Q123" s="43"/>
      <c r="R123" s="26"/>
      <c r="S123" s="26"/>
      <c r="T123" s="26"/>
      <c r="U123" s="42"/>
      <c r="V123" s="26"/>
      <c r="W123" s="26"/>
      <c r="X123" s="43"/>
      <c r="Y123" s="26"/>
      <c r="Z123" s="26"/>
      <c r="AA123" s="26"/>
      <c r="AB123" s="26"/>
      <c r="AC123" s="26"/>
      <c r="AD123" s="26"/>
      <c r="AE123" s="44"/>
      <c r="AF123" s="28"/>
      <c r="AG123" s="28"/>
      <c r="AH123" s="28"/>
      <c r="AI123" s="28"/>
      <c r="AJ123" s="28"/>
      <c r="AK123" s="29"/>
      <c r="AL123" s="30" t="n">
        <v>30</v>
      </c>
      <c r="AM123" s="30"/>
      <c r="AN123" s="32" t="e">
        <f aca="false">#REF!</f>
        <v>#REF!</v>
      </c>
      <c r="AO123" s="2" t="str">
        <f aca="false">CONCATENATE(AF123,AG123,AH123,AI123,AJ123)</f>
        <v/>
      </c>
    </row>
    <row r="124" customFormat="false" ht="15" hidden="false" customHeight="true" outlineLevel="0" collapsed="false">
      <c r="A124" s="8" t="n">
        <v>123</v>
      </c>
      <c r="B124" s="20"/>
      <c r="C124" s="33"/>
      <c r="D124" s="34" t="s">
        <v>549</v>
      </c>
      <c r="E124" s="34" t="s">
        <v>33</v>
      </c>
      <c r="F124" s="34" t="s">
        <v>2</v>
      </c>
      <c r="G124" s="34" t="s">
        <v>118</v>
      </c>
      <c r="H124" s="35"/>
      <c r="I124" s="36"/>
      <c r="J124" s="34" t="s">
        <v>33</v>
      </c>
      <c r="K124" s="34" t="s">
        <v>35</v>
      </c>
      <c r="L124" s="34" t="s">
        <v>36</v>
      </c>
      <c r="M124" s="34" t="str">
        <f aca="false">CONCATENATE(K124," ",L124)</f>
        <v>ZITRON-ASCAZ HOSPITALARIA</v>
      </c>
      <c r="N124" s="34" t="s">
        <v>37</v>
      </c>
      <c r="O124" s="37" t="s">
        <v>416</v>
      </c>
      <c r="P124" s="37" t="s">
        <v>550</v>
      </c>
      <c r="Q124" s="37" t="s">
        <v>104</v>
      </c>
      <c r="R124" s="34" t="s">
        <v>41</v>
      </c>
      <c r="S124" s="34" t="s">
        <v>551</v>
      </c>
      <c r="T124" s="34" t="s">
        <v>43</v>
      </c>
      <c r="U124" s="35" t="n">
        <v>30654</v>
      </c>
      <c r="V124" s="38" t="n">
        <f aca="false">YEAR($V$1)-YEAR(U124)</f>
        <v>35</v>
      </c>
      <c r="W124" s="34" t="s">
        <v>44</v>
      </c>
      <c r="X124" s="37" t="s">
        <v>552</v>
      </c>
      <c r="Y124" s="34" t="n">
        <v>14</v>
      </c>
      <c r="Z124" s="34" t="s">
        <v>509</v>
      </c>
      <c r="AA124" s="34" t="s">
        <v>46</v>
      </c>
      <c r="AB124" s="34" t="s">
        <v>300</v>
      </c>
      <c r="AC124" s="34" t="n">
        <v>33008</v>
      </c>
      <c r="AD124" s="34" t="n">
        <v>679623815</v>
      </c>
      <c r="AE124" s="39" t="s">
        <v>553</v>
      </c>
      <c r="AF124" s="40"/>
      <c r="AG124" s="40"/>
      <c r="AH124" s="40"/>
      <c r="AI124" s="40"/>
      <c r="AJ124" s="40"/>
      <c r="AK124" s="29"/>
      <c r="AL124" s="33"/>
      <c r="AM124" s="41" t="n">
        <v>10</v>
      </c>
      <c r="AO124" s="2" t="str">
        <f aca="false">CONCATENATE(AF124,AG124,AH124,AI124,AJ124)</f>
        <v/>
      </c>
    </row>
    <row r="125" customFormat="false" ht="15" hidden="false" customHeight="true" outlineLevel="0" collapsed="false">
      <c r="A125" s="8" t="n">
        <v>124</v>
      </c>
      <c r="B125" s="20"/>
      <c r="C125" s="33"/>
      <c r="D125" s="34" t="s">
        <v>554</v>
      </c>
      <c r="E125" s="34" t="s">
        <v>33</v>
      </c>
      <c r="F125" s="34" t="s">
        <v>2</v>
      </c>
      <c r="G125" s="34" t="s">
        <v>118</v>
      </c>
      <c r="H125" s="35"/>
      <c r="I125" s="36"/>
      <c r="J125" s="34" t="s">
        <v>33</v>
      </c>
      <c r="K125" s="34" t="s">
        <v>35</v>
      </c>
      <c r="L125" s="34" t="s">
        <v>36</v>
      </c>
      <c r="M125" s="34" t="str">
        <f aca="false">CONCATENATE(K125," ",L125)</f>
        <v>ZITRON-ASCAZ HOSPITALARIA</v>
      </c>
      <c r="N125" s="34" t="s">
        <v>54</v>
      </c>
      <c r="O125" s="37" t="s">
        <v>152</v>
      </c>
      <c r="P125" s="37" t="s">
        <v>555</v>
      </c>
      <c r="Q125" s="37" t="s">
        <v>556</v>
      </c>
      <c r="R125" s="34" t="s">
        <v>41</v>
      </c>
      <c r="S125" s="34" t="s">
        <v>557</v>
      </c>
      <c r="T125" s="34" t="s">
        <v>59</v>
      </c>
      <c r="U125" s="35" t="n">
        <v>29818</v>
      </c>
      <c r="V125" s="38" t="n">
        <f aca="false">YEAR($V$1)-YEAR(U125)</f>
        <v>37</v>
      </c>
      <c r="W125" s="34"/>
      <c r="X125" s="37"/>
      <c r="Y125" s="34"/>
      <c r="Z125" s="34"/>
      <c r="AA125" s="34"/>
      <c r="AB125" s="34"/>
      <c r="AC125" s="34"/>
      <c r="AD125" s="34" t="n">
        <v>697966572</v>
      </c>
      <c r="AE125" s="39" t="s">
        <v>558</v>
      </c>
      <c r="AF125" s="40"/>
      <c r="AG125" s="40"/>
      <c r="AH125" s="40"/>
      <c r="AI125" s="40"/>
      <c r="AJ125" s="40"/>
      <c r="AK125" s="29"/>
      <c r="AL125" s="33"/>
      <c r="AM125" s="41" t="n">
        <v>10</v>
      </c>
      <c r="AO125" s="2" t="str">
        <f aca="false">CONCATENATE(AF125,AG125,AH125,AI125,AJ125)</f>
        <v/>
      </c>
    </row>
    <row r="126" customFormat="false" ht="15" hidden="false" customHeight="true" outlineLevel="0" collapsed="false">
      <c r="A126" s="8" t="n">
        <v>125</v>
      </c>
      <c r="B126" s="20"/>
      <c r="C126" s="21" t="n">
        <v>40</v>
      </c>
      <c r="D126" s="22"/>
      <c r="E126" s="26"/>
      <c r="F126" s="26"/>
      <c r="G126" s="26"/>
      <c r="H126" s="42"/>
      <c r="I126" s="26"/>
      <c r="J126" s="26"/>
      <c r="K126" s="26"/>
      <c r="L126" s="26"/>
      <c r="M126" s="26"/>
      <c r="N126" s="26"/>
      <c r="O126" s="43"/>
      <c r="P126" s="43"/>
      <c r="Q126" s="43"/>
      <c r="R126" s="26"/>
      <c r="S126" s="26"/>
      <c r="T126" s="26"/>
      <c r="U126" s="42"/>
      <c r="V126" s="26"/>
      <c r="W126" s="26"/>
      <c r="X126" s="43"/>
      <c r="Y126" s="26"/>
      <c r="Z126" s="26"/>
      <c r="AA126" s="26"/>
      <c r="AB126" s="26"/>
      <c r="AC126" s="26"/>
      <c r="AD126" s="26"/>
      <c r="AE126" s="44"/>
      <c r="AF126" s="28"/>
      <c r="AG126" s="28"/>
      <c r="AH126" s="28"/>
      <c r="AI126" s="28"/>
      <c r="AJ126" s="28"/>
      <c r="AK126" s="29"/>
      <c r="AL126" s="30" t="n">
        <v>0</v>
      </c>
      <c r="AM126" s="30"/>
      <c r="AN126" s="32" t="e">
        <f aca="false">#REF!</f>
        <v>#REF!</v>
      </c>
      <c r="AO126" s="2" t="str">
        <f aca="false">CONCATENATE(AF126,AG126,AH126,AI126,AJ126)</f>
        <v/>
      </c>
    </row>
    <row r="127" customFormat="false" ht="15" hidden="false" customHeight="true" outlineLevel="0" collapsed="false">
      <c r="A127" s="8" t="n">
        <v>126</v>
      </c>
      <c r="B127" s="20"/>
      <c r="C127" s="33"/>
      <c r="D127" s="34" t="s">
        <v>559</v>
      </c>
      <c r="E127" s="34" t="s">
        <v>33</v>
      </c>
      <c r="F127" s="34" t="s">
        <v>2</v>
      </c>
      <c r="G127" s="34" t="s">
        <v>34</v>
      </c>
      <c r="H127" s="35"/>
      <c r="I127" s="36"/>
      <c r="J127" s="34" t="s">
        <v>33</v>
      </c>
      <c r="K127" s="34" t="s">
        <v>35</v>
      </c>
      <c r="L127" s="34" t="s">
        <v>36</v>
      </c>
      <c r="M127" s="34" t="str">
        <f aca="false">CONCATENATE(K127," ",L127)</f>
        <v>ZITRON-ASCAZ HOSPITALARIA</v>
      </c>
      <c r="N127" s="34" t="s">
        <v>37</v>
      </c>
      <c r="O127" s="37" t="s">
        <v>560</v>
      </c>
      <c r="P127" s="37" t="s">
        <v>561</v>
      </c>
      <c r="Q127" s="37" t="s">
        <v>296</v>
      </c>
      <c r="R127" s="34" t="s">
        <v>41</v>
      </c>
      <c r="S127" s="34" t="s">
        <v>562</v>
      </c>
      <c r="T127" s="34" t="s">
        <v>43</v>
      </c>
      <c r="U127" s="35" t="n">
        <v>27377</v>
      </c>
      <c r="V127" s="38" t="n">
        <f aca="false">YEAR($V$1)-YEAR(U127)</f>
        <v>44</v>
      </c>
      <c r="W127" s="34" t="s">
        <v>44</v>
      </c>
      <c r="X127" s="37" t="s">
        <v>563</v>
      </c>
      <c r="Y127" s="34" t="n">
        <v>39</v>
      </c>
      <c r="Z127" s="34" t="s">
        <v>564</v>
      </c>
      <c r="AA127" s="34" t="s">
        <v>46</v>
      </c>
      <c r="AB127" s="34" t="s">
        <v>47</v>
      </c>
      <c r="AC127" s="34" t="n">
        <v>33211</v>
      </c>
      <c r="AD127" s="34" t="n">
        <v>658566311</v>
      </c>
      <c r="AE127" s="39" t="s">
        <v>565</v>
      </c>
      <c r="AF127" s="40"/>
      <c r="AG127" s="40"/>
      <c r="AH127" s="40"/>
      <c r="AI127" s="40"/>
      <c r="AJ127" s="40"/>
      <c r="AK127" s="29"/>
      <c r="AL127" s="33"/>
      <c r="AM127" s="41" t="n">
        <v>10</v>
      </c>
      <c r="AO127" s="2" t="str">
        <f aca="false">CONCATENATE(AF127,AG127,AH127,AI127,AJ127)</f>
        <v/>
      </c>
    </row>
    <row r="128" customFormat="false" ht="15" hidden="false" customHeight="true" outlineLevel="0" collapsed="false">
      <c r="A128" s="8" t="n">
        <v>127</v>
      </c>
      <c r="B128" s="20"/>
      <c r="C128" s="21" t="n">
        <v>41</v>
      </c>
      <c r="D128" s="22"/>
      <c r="E128" s="26"/>
      <c r="F128" s="26"/>
      <c r="G128" s="26"/>
      <c r="H128" s="42"/>
      <c r="I128" s="26"/>
      <c r="J128" s="26"/>
      <c r="K128" s="26"/>
      <c r="L128" s="26"/>
      <c r="M128" s="26"/>
      <c r="N128" s="26"/>
      <c r="O128" s="43"/>
      <c r="P128" s="43"/>
      <c r="Q128" s="43"/>
      <c r="R128" s="26"/>
      <c r="S128" s="26"/>
      <c r="T128" s="26"/>
      <c r="U128" s="42"/>
      <c r="V128" s="26"/>
      <c r="W128" s="26"/>
      <c r="X128" s="43"/>
      <c r="Y128" s="26"/>
      <c r="Z128" s="26"/>
      <c r="AA128" s="26"/>
      <c r="AB128" s="26"/>
      <c r="AC128" s="26"/>
      <c r="AD128" s="26"/>
      <c r="AE128" s="44"/>
      <c r="AF128" s="28"/>
      <c r="AG128" s="28"/>
      <c r="AH128" s="28"/>
      <c r="AI128" s="28"/>
      <c r="AJ128" s="28"/>
      <c r="AK128" s="29"/>
      <c r="AL128" s="30" t="n">
        <v>30</v>
      </c>
      <c r="AM128" s="30"/>
      <c r="AN128" s="32" t="e">
        <f aca="false">#REF!</f>
        <v>#REF!</v>
      </c>
      <c r="AO128" s="2" t="str">
        <f aca="false">CONCATENATE(AF128,AG128,AH128,AI128,AJ128)</f>
        <v/>
      </c>
    </row>
    <row r="129" customFormat="false" ht="15" hidden="false" customHeight="true" outlineLevel="0" collapsed="false">
      <c r="A129" s="8" t="n">
        <v>128</v>
      </c>
      <c r="B129" s="20"/>
      <c r="C129" s="33"/>
      <c r="D129" s="34" t="s">
        <v>566</v>
      </c>
      <c r="E129" s="34" t="s">
        <v>33</v>
      </c>
      <c r="F129" s="34" t="s">
        <v>2</v>
      </c>
      <c r="G129" s="34" t="s">
        <v>118</v>
      </c>
      <c r="H129" s="35"/>
      <c r="I129" s="36"/>
      <c r="J129" s="34" t="s">
        <v>33</v>
      </c>
      <c r="K129" s="34" t="s">
        <v>35</v>
      </c>
      <c r="L129" s="34" t="s">
        <v>36</v>
      </c>
      <c r="M129" s="34" t="str">
        <f aca="false">CONCATENATE(K129," ",L129)</f>
        <v>ZITRON-ASCAZ HOSPITALARIA</v>
      </c>
      <c r="N129" s="34" t="s">
        <v>37</v>
      </c>
      <c r="O129" s="37" t="s">
        <v>138</v>
      </c>
      <c r="P129" s="37" t="s">
        <v>567</v>
      </c>
      <c r="Q129" s="37" t="s">
        <v>568</v>
      </c>
      <c r="R129" s="34" t="s">
        <v>41</v>
      </c>
      <c r="S129" s="34" t="s">
        <v>569</v>
      </c>
      <c r="T129" s="34" t="s">
        <v>43</v>
      </c>
      <c r="U129" s="35" t="n">
        <v>31231</v>
      </c>
      <c r="V129" s="38" t="n">
        <f aca="false">YEAR($V$1)-YEAR(U129)</f>
        <v>33</v>
      </c>
      <c r="W129" s="34" t="s">
        <v>44</v>
      </c>
      <c r="X129" s="37" t="s">
        <v>570</v>
      </c>
      <c r="Y129" s="34" t="n">
        <v>27</v>
      </c>
      <c r="Z129" s="34" t="s">
        <v>571</v>
      </c>
      <c r="AA129" s="34" t="s">
        <v>572</v>
      </c>
      <c r="AB129" s="34" t="s">
        <v>572</v>
      </c>
      <c r="AC129" s="34" t="n">
        <v>28021</v>
      </c>
      <c r="AD129" s="34" t="n">
        <v>622033975</v>
      </c>
      <c r="AE129" s="39" t="s">
        <v>573</v>
      </c>
      <c r="AF129" s="40"/>
      <c r="AG129" s="40"/>
      <c r="AH129" s="40"/>
      <c r="AI129" s="40"/>
      <c r="AJ129" s="40"/>
      <c r="AK129" s="29"/>
      <c r="AL129" s="33"/>
      <c r="AM129" s="41" t="n">
        <v>10</v>
      </c>
      <c r="AO129" s="2" t="str">
        <f aca="false">CONCATENATE(AF129,AG129,AH129,AI129,AJ129)</f>
        <v/>
      </c>
    </row>
    <row r="130" customFormat="false" ht="15" hidden="false" customHeight="true" outlineLevel="0" collapsed="false">
      <c r="A130" s="8" t="n">
        <v>129</v>
      </c>
      <c r="B130" s="20"/>
      <c r="C130" s="21" t="n">
        <v>42</v>
      </c>
      <c r="D130" s="22"/>
      <c r="E130" s="26"/>
      <c r="F130" s="26"/>
      <c r="G130" s="26"/>
      <c r="H130" s="42"/>
      <c r="I130" s="26"/>
      <c r="J130" s="26"/>
      <c r="K130" s="26"/>
      <c r="L130" s="26"/>
      <c r="M130" s="26"/>
      <c r="N130" s="26"/>
      <c r="O130" s="43"/>
      <c r="P130" s="43"/>
      <c r="Q130" s="43"/>
      <c r="R130" s="26"/>
      <c r="S130" s="26"/>
      <c r="T130" s="26"/>
      <c r="U130" s="42"/>
      <c r="V130" s="26"/>
      <c r="W130" s="26"/>
      <c r="X130" s="43"/>
      <c r="Y130" s="26"/>
      <c r="Z130" s="26"/>
      <c r="AA130" s="26"/>
      <c r="AB130" s="26"/>
      <c r="AC130" s="26"/>
      <c r="AD130" s="26"/>
      <c r="AE130" s="44"/>
      <c r="AF130" s="28"/>
      <c r="AG130" s="28"/>
      <c r="AH130" s="28"/>
      <c r="AI130" s="28"/>
      <c r="AJ130" s="28"/>
      <c r="AK130" s="29"/>
      <c r="AL130" s="30" t="n">
        <v>0</v>
      </c>
      <c r="AM130" s="30"/>
      <c r="AN130" s="32" t="e">
        <f aca="false">#REF!</f>
        <v>#REF!</v>
      </c>
      <c r="AO130" s="2" t="str">
        <f aca="false">CONCATENATE(AF130,AG130,AH130,AI130,AJ130)</f>
        <v/>
      </c>
    </row>
    <row r="131" customFormat="false" ht="15" hidden="false" customHeight="true" outlineLevel="0" collapsed="false">
      <c r="A131" s="8" t="n">
        <v>130</v>
      </c>
      <c r="B131" s="20"/>
      <c r="C131" s="33"/>
      <c r="D131" s="34" t="s">
        <v>574</v>
      </c>
      <c r="E131" s="34" t="s">
        <v>33</v>
      </c>
      <c r="F131" s="34" t="s">
        <v>2</v>
      </c>
      <c r="G131" s="34" t="s">
        <v>34</v>
      </c>
      <c r="H131" s="35"/>
      <c r="I131" s="36"/>
      <c r="J131" s="34" t="s">
        <v>33</v>
      </c>
      <c r="K131" s="34" t="s">
        <v>35</v>
      </c>
      <c r="L131" s="34" t="s">
        <v>36</v>
      </c>
      <c r="M131" s="34" t="str">
        <f aca="false">CONCATENATE(K131," ",L131)</f>
        <v>ZITRON-ASCAZ HOSPITALARIA</v>
      </c>
      <c r="N131" s="34" t="s">
        <v>102</v>
      </c>
      <c r="O131" s="37" t="s">
        <v>575</v>
      </c>
      <c r="P131" s="37" t="s">
        <v>134</v>
      </c>
      <c r="Q131" s="37" t="s">
        <v>576</v>
      </c>
      <c r="R131" s="34" t="s">
        <v>41</v>
      </c>
      <c r="S131" s="34" t="s">
        <v>577</v>
      </c>
      <c r="T131" s="34" t="s">
        <v>59</v>
      </c>
      <c r="U131" s="35" t="n">
        <v>27521</v>
      </c>
      <c r="V131" s="38" t="n">
        <f aca="false">YEAR($V$1)-YEAR(U131)</f>
        <v>43</v>
      </c>
      <c r="W131" s="34" t="s">
        <v>578</v>
      </c>
      <c r="X131" s="37" t="s">
        <v>579</v>
      </c>
      <c r="Y131" s="34" t="n">
        <v>66</v>
      </c>
      <c r="Z131" s="34" t="s">
        <v>580</v>
      </c>
      <c r="AA131" s="34" t="s">
        <v>46</v>
      </c>
      <c r="AB131" s="34" t="s">
        <v>47</v>
      </c>
      <c r="AC131" s="34" t="n">
        <v>33206</v>
      </c>
      <c r="AD131" s="34" t="n">
        <v>679956323</v>
      </c>
      <c r="AE131" s="39" t="s">
        <v>581</v>
      </c>
      <c r="AF131" s="40" t="s">
        <v>582</v>
      </c>
      <c r="AG131" s="40" t="n">
        <v>2048</v>
      </c>
      <c r="AH131" s="40" t="s">
        <v>583</v>
      </c>
      <c r="AI131" s="40" t="n">
        <v>57</v>
      </c>
      <c r="AJ131" s="40" t="n">
        <v>3404000354</v>
      </c>
      <c r="AK131" s="29"/>
      <c r="AL131" s="33"/>
      <c r="AM131" s="41" t="n">
        <v>10</v>
      </c>
      <c r="AO131" s="2" t="str">
        <f aca="false">CONCATENATE(AF131,AG131,AH131,AI131,AJ131)</f>
        <v>ES6020480136573404000354</v>
      </c>
    </row>
    <row r="132" customFormat="false" ht="15" hidden="false" customHeight="true" outlineLevel="0" collapsed="false">
      <c r="A132" s="8" t="n">
        <v>131</v>
      </c>
      <c r="B132" s="20"/>
      <c r="C132" s="33"/>
      <c r="D132" s="34" t="s">
        <v>584</v>
      </c>
      <c r="E132" s="34" t="s">
        <v>33</v>
      </c>
      <c r="F132" s="34" t="s">
        <v>2</v>
      </c>
      <c r="G132" s="34" t="s">
        <v>34</v>
      </c>
      <c r="H132" s="35"/>
      <c r="I132" s="36"/>
      <c r="J132" s="34" t="s">
        <v>33</v>
      </c>
      <c r="K132" s="34" t="s">
        <v>35</v>
      </c>
      <c r="L132" s="34" t="s">
        <v>36</v>
      </c>
      <c r="M132" s="34" t="str">
        <f aca="false">CONCATENATE(K132," ",L132)</f>
        <v>ZITRON-ASCAZ HOSPITALARIA</v>
      </c>
      <c r="N132" s="34" t="s">
        <v>62</v>
      </c>
      <c r="O132" s="37" t="s">
        <v>585</v>
      </c>
      <c r="P132" s="37" t="s">
        <v>140</v>
      </c>
      <c r="Q132" s="37" t="s">
        <v>134</v>
      </c>
      <c r="R132" s="34" t="s">
        <v>41</v>
      </c>
      <c r="S132" s="34" t="s">
        <v>586</v>
      </c>
      <c r="T132" s="34" t="s">
        <v>59</v>
      </c>
      <c r="U132" s="35" t="n">
        <v>40339</v>
      </c>
      <c r="V132" s="38" t="n">
        <f aca="false">YEAR($V$1)-YEAR(U132)</f>
        <v>8</v>
      </c>
      <c r="W132" s="34"/>
      <c r="X132" s="37"/>
      <c r="Y132" s="34"/>
      <c r="Z132" s="34"/>
      <c r="AA132" s="34"/>
      <c r="AB132" s="34"/>
      <c r="AC132" s="34"/>
      <c r="AD132" s="34"/>
      <c r="AE132" s="39"/>
      <c r="AF132" s="40"/>
      <c r="AG132" s="40"/>
      <c r="AH132" s="40"/>
      <c r="AI132" s="40"/>
      <c r="AJ132" s="40"/>
      <c r="AK132" s="29"/>
      <c r="AL132" s="33"/>
      <c r="AM132" s="41" t="n">
        <v>10</v>
      </c>
      <c r="AO132" s="2" t="str">
        <f aca="false">CONCATENATE(AF132,AG132,AH132,AI132,AJ132)</f>
        <v/>
      </c>
    </row>
    <row r="133" customFormat="false" ht="15" hidden="false" customHeight="true" outlineLevel="0" collapsed="false">
      <c r="A133" s="8" t="n">
        <v>132</v>
      </c>
      <c r="B133" s="20"/>
      <c r="C133" s="21" t="n">
        <v>43</v>
      </c>
      <c r="D133" s="22"/>
      <c r="E133" s="26"/>
      <c r="F133" s="26"/>
      <c r="G133" s="26"/>
      <c r="H133" s="42"/>
      <c r="I133" s="26"/>
      <c r="J133" s="26"/>
      <c r="K133" s="26"/>
      <c r="L133" s="26"/>
      <c r="M133" s="26"/>
      <c r="N133" s="26"/>
      <c r="O133" s="43"/>
      <c r="P133" s="43"/>
      <c r="Q133" s="43"/>
      <c r="R133" s="26"/>
      <c r="S133" s="26"/>
      <c r="T133" s="26"/>
      <c r="U133" s="42"/>
      <c r="V133" s="26"/>
      <c r="W133" s="26"/>
      <c r="X133" s="43"/>
      <c r="Y133" s="26"/>
      <c r="Z133" s="26"/>
      <c r="AA133" s="26"/>
      <c r="AB133" s="26"/>
      <c r="AC133" s="26"/>
      <c r="AD133" s="26"/>
      <c r="AE133" s="44"/>
      <c r="AF133" s="28"/>
      <c r="AG133" s="28"/>
      <c r="AH133" s="28"/>
      <c r="AI133" s="28"/>
      <c r="AJ133" s="28"/>
      <c r="AK133" s="29"/>
      <c r="AL133" s="30" t="n">
        <v>0</v>
      </c>
      <c r="AM133" s="30"/>
      <c r="AN133" s="32" t="e">
        <f aca="false">#REF!</f>
        <v>#REF!</v>
      </c>
      <c r="AO133" s="2" t="str">
        <f aca="false">CONCATENATE(AF133,AG133,AH133,AI133,AJ133)</f>
        <v/>
      </c>
    </row>
    <row r="134" customFormat="false" ht="15" hidden="false" customHeight="true" outlineLevel="0" collapsed="false">
      <c r="A134" s="8" t="n">
        <v>133</v>
      </c>
      <c r="B134" s="20"/>
      <c r="C134" s="33"/>
      <c r="D134" s="34" t="s">
        <v>587</v>
      </c>
      <c r="E134" s="34" t="s">
        <v>68</v>
      </c>
      <c r="F134" s="34" t="s">
        <v>588</v>
      </c>
      <c r="G134" s="34" t="s">
        <v>34</v>
      </c>
      <c r="H134" s="35"/>
      <c r="I134" s="36"/>
      <c r="J134" s="34" t="s">
        <v>33</v>
      </c>
      <c r="K134" s="34" t="s">
        <v>69</v>
      </c>
      <c r="L134" s="34" t="s">
        <v>36</v>
      </c>
      <c r="M134" s="34" t="str">
        <f aca="false">CONCATENATE(K134," ",L134)</f>
        <v>ASCAZ HOSPITALARIA</v>
      </c>
      <c r="N134" s="34" t="s">
        <v>102</v>
      </c>
      <c r="O134" s="37" t="s">
        <v>589</v>
      </c>
      <c r="P134" s="37" t="s">
        <v>590</v>
      </c>
      <c r="Q134" s="37" t="s">
        <v>591</v>
      </c>
      <c r="R134" s="34" t="s">
        <v>592</v>
      </c>
      <c r="S134" s="34" t="s">
        <v>593</v>
      </c>
      <c r="T134" s="34" t="s">
        <v>59</v>
      </c>
      <c r="U134" s="35" t="n">
        <v>30236</v>
      </c>
      <c r="V134" s="38" t="n">
        <f aca="false">YEAR($V$1)-YEAR(U134)</f>
        <v>36</v>
      </c>
      <c r="W134" s="34" t="s">
        <v>44</v>
      </c>
      <c r="X134" s="37" t="s">
        <v>368</v>
      </c>
      <c r="Y134" s="34" t="n">
        <v>184</v>
      </c>
      <c r="Z134" s="34" t="s">
        <v>594</v>
      </c>
      <c r="AA134" s="34" t="s">
        <v>46</v>
      </c>
      <c r="AB134" s="34" t="s">
        <v>47</v>
      </c>
      <c r="AC134" s="34" t="n">
        <v>33203</v>
      </c>
      <c r="AD134" s="34" t="n">
        <v>635174604</v>
      </c>
      <c r="AE134" s="39" t="s">
        <v>595</v>
      </c>
      <c r="AF134" s="49" t="s">
        <v>209</v>
      </c>
      <c r="AG134" s="40" t="s">
        <v>225</v>
      </c>
      <c r="AH134" s="40" t="s">
        <v>596</v>
      </c>
      <c r="AI134" s="40" t="n">
        <v>71</v>
      </c>
      <c r="AJ134" s="40" t="n">
        <v>1711014969</v>
      </c>
      <c r="AK134" s="29"/>
      <c r="AL134" s="33"/>
      <c r="AM134" s="41" t="n">
        <v>10</v>
      </c>
      <c r="AO134" s="2" t="str">
        <f aca="false">CONCATENATE(AF134,AG134,AH134,AI134,AJ134)</f>
        <v>ES2514650727711711014969</v>
      </c>
    </row>
    <row r="135" customFormat="false" ht="15" hidden="false" customHeight="true" outlineLevel="0" collapsed="false">
      <c r="A135" s="8" t="n">
        <v>134</v>
      </c>
      <c r="B135" s="20"/>
      <c r="C135" s="33"/>
      <c r="D135" s="34" t="s">
        <v>597</v>
      </c>
      <c r="E135" s="34" t="s">
        <v>68</v>
      </c>
      <c r="F135" s="34" t="s">
        <v>588</v>
      </c>
      <c r="G135" s="34" t="s">
        <v>34</v>
      </c>
      <c r="H135" s="35"/>
      <c r="I135" s="36"/>
      <c r="J135" s="34" t="s">
        <v>33</v>
      </c>
      <c r="K135" s="34" t="s">
        <v>69</v>
      </c>
      <c r="L135" s="34" t="s">
        <v>36</v>
      </c>
      <c r="M135" s="34" t="str">
        <f aca="false">CONCATENATE(K135," ",L135)</f>
        <v>ASCAZ HOSPITALARIA</v>
      </c>
      <c r="N135" s="34" t="s">
        <v>54</v>
      </c>
      <c r="O135" s="37" t="s">
        <v>598</v>
      </c>
      <c r="P135" s="37" t="s">
        <v>599</v>
      </c>
      <c r="Q135" s="37" t="s">
        <v>40</v>
      </c>
      <c r="R135" s="34" t="s">
        <v>592</v>
      </c>
      <c r="S135" s="34" t="s">
        <v>600</v>
      </c>
      <c r="T135" s="34" t="s">
        <v>43</v>
      </c>
      <c r="U135" s="35" t="n">
        <v>29723</v>
      </c>
      <c r="V135" s="38" t="n">
        <f aca="false">YEAR($V$1)-YEAR(U135)</f>
        <v>37</v>
      </c>
      <c r="W135" s="34"/>
      <c r="X135" s="37"/>
      <c r="Y135" s="34"/>
      <c r="Z135" s="34"/>
      <c r="AA135" s="34"/>
      <c r="AB135" s="34"/>
      <c r="AC135" s="34"/>
      <c r="AD135" s="34" t="n">
        <v>635172026</v>
      </c>
      <c r="AE135" s="39" t="s">
        <v>601</v>
      </c>
      <c r="AF135" s="49"/>
      <c r="AG135" s="40"/>
      <c r="AH135" s="40"/>
      <c r="AI135" s="40"/>
      <c r="AJ135" s="40"/>
      <c r="AK135" s="29"/>
      <c r="AL135" s="33"/>
      <c r="AM135" s="41" t="n">
        <v>10</v>
      </c>
      <c r="AO135" s="2" t="str">
        <f aca="false">CONCATENATE(AF135,AG135,AH135,AI135,AJ135)</f>
        <v/>
      </c>
    </row>
    <row r="136" customFormat="false" ht="15" hidden="false" customHeight="true" outlineLevel="0" collapsed="false">
      <c r="A136" s="8" t="n">
        <v>135</v>
      </c>
      <c r="B136" s="20"/>
      <c r="C136" s="21" t="n">
        <v>44</v>
      </c>
      <c r="D136" s="22"/>
      <c r="E136" s="26"/>
      <c r="F136" s="26"/>
      <c r="G136" s="26"/>
      <c r="H136" s="42"/>
      <c r="I136" s="26"/>
      <c r="J136" s="26"/>
      <c r="K136" s="26"/>
      <c r="L136" s="26"/>
      <c r="M136" s="26"/>
      <c r="N136" s="26"/>
      <c r="O136" s="43"/>
      <c r="P136" s="43"/>
      <c r="Q136" s="43"/>
      <c r="R136" s="26"/>
      <c r="S136" s="26"/>
      <c r="T136" s="26"/>
      <c r="U136" s="42"/>
      <c r="V136" s="26"/>
      <c r="W136" s="26"/>
      <c r="X136" s="43"/>
      <c r="Y136" s="26"/>
      <c r="Z136" s="26"/>
      <c r="AA136" s="26"/>
      <c r="AB136" s="26"/>
      <c r="AC136" s="26"/>
      <c r="AD136" s="26"/>
      <c r="AE136" s="44"/>
      <c r="AF136" s="28"/>
      <c r="AG136" s="28"/>
      <c r="AH136" s="28"/>
      <c r="AI136" s="28"/>
      <c r="AJ136" s="28"/>
      <c r="AK136" s="29"/>
      <c r="AL136" s="30" t="n">
        <v>30</v>
      </c>
      <c r="AM136" s="30"/>
      <c r="AN136" s="32" t="e">
        <f aca="false">#REF!</f>
        <v>#REF!</v>
      </c>
      <c r="AO136" s="2" t="str">
        <f aca="false">CONCATENATE(AF136,AG136,AH136,AI136,AJ136)</f>
        <v/>
      </c>
    </row>
    <row r="137" customFormat="false" ht="15" hidden="false" customHeight="true" outlineLevel="0" collapsed="false">
      <c r="A137" s="8" t="n">
        <v>136</v>
      </c>
      <c r="B137" s="20"/>
      <c r="C137" s="33"/>
      <c r="D137" s="34" t="s">
        <v>602</v>
      </c>
      <c r="E137" s="34" t="s">
        <v>68</v>
      </c>
      <c r="F137" s="34" t="s">
        <v>603</v>
      </c>
      <c r="G137" s="34" t="s">
        <v>118</v>
      </c>
      <c r="H137" s="35"/>
      <c r="I137" s="36"/>
      <c r="J137" s="34" t="s">
        <v>33</v>
      </c>
      <c r="K137" s="34" t="s">
        <v>69</v>
      </c>
      <c r="L137" s="34" t="s">
        <v>36</v>
      </c>
      <c r="M137" s="34" t="str">
        <f aca="false">CONCATENATE(K137," ",L137)</f>
        <v>ASCAZ HOSPITALARIA</v>
      </c>
      <c r="N137" s="34" t="s">
        <v>102</v>
      </c>
      <c r="O137" s="37" t="s">
        <v>604</v>
      </c>
      <c r="P137" s="37" t="s">
        <v>605</v>
      </c>
      <c r="Q137" s="37" t="s">
        <v>606</v>
      </c>
      <c r="R137" s="34" t="s">
        <v>41</v>
      </c>
      <c r="S137" s="34" t="s">
        <v>607</v>
      </c>
      <c r="T137" s="34" t="s">
        <v>59</v>
      </c>
      <c r="U137" s="35" t="n">
        <v>20495</v>
      </c>
      <c r="V137" s="38" t="n">
        <f aca="false">YEAR($V$1)-YEAR(U137)</f>
        <v>62</v>
      </c>
      <c r="W137" s="34" t="s">
        <v>44</v>
      </c>
      <c r="X137" s="37" t="s">
        <v>608</v>
      </c>
      <c r="Y137" s="34" t="n">
        <v>6</v>
      </c>
      <c r="Z137" s="34" t="s">
        <v>609</v>
      </c>
      <c r="AA137" s="34" t="s">
        <v>46</v>
      </c>
      <c r="AB137" s="34" t="s">
        <v>47</v>
      </c>
      <c r="AC137" s="34" t="n">
        <v>33213</v>
      </c>
      <c r="AD137" s="34" t="n">
        <v>697109771</v>
      </c>
      <c r="AE137" s="39" t="s">
        <v>610</v>
      </c>
      <c r="AF137" s="40" t="s">
        <v>611</v>
      </c>
      <c r="AG137" s="40" t="s">
        <v>612</v>
      </c>
      <c r="AH137" s="40" t="n">
        <v>5301</v>
      </c>
      <c r="AI137" s="40" t="n">
        <v>97</v>
      </c>
      <c r="AJ137" s="40" t="n">
        <v>4210001432</v>
      </c>
      <c r="AK137" s="29"/>
      <c r="AL137" s="33"/>
      <c r="AM137" s="41" t="n">
        <v>10</v>
      </c>
      <c r="AO137" s="2" t="str">
        <f aca="false">CONCATENATE(AF137,AG137,AH137,AI137,AJ137)</f>
        <v>ES4300195301974210001432</v>
      </c>
    </row>
    <row r="138" customFormat="false" ht="15" hidden="false" customHeight="true" outlineLevel="0" collapsed="false">
      <c r="A138" s="8" t="n">
        <v>137</v>
      </c>
      <c r="B138" s="20"/>
      <c r="C138" s="21" t="n">
        <v>45</v>
      </c>
      <c r="D138" s="22"/>
      <c r="E138" s="26"/>
      <c r="F138" s="26"/>
      <c r="G138" s="26"/>
      <c r="H138" s="42"/>
      <c r="I138" s="26"/>
      <c r="J138" s="26"/>
      <c r="K138" s="26"/>
      <c r="L138" s="26"/>
      <c r="M138" s="26"/>
      <c r="N138" s="26"/>
      <c r="O138" s="43"/>
      <c r="P138" s="43"/>
      <c r="Q138" s="43"/>
      <c r="R138" s="26"/>
      <c r="S138" s="26"/>
      <c r="T138" s="26"/>
      <c r="U138" s="42"/>
      <c r="V138" s="26"/>
      <c r="W138" s="26"/>
      <c r="X138" s="43"/>
      <c r="Y138" s="26"/>
      <c r="Z138" s="26"/>
      <c r="AA138" s="26"/>
      <c r="AB138" s="26"/>
      <c r="AC138" s="26"/>
      <c r="AD138" s="26"/>
      <c r="AE138" s="44"/>
      <c r="AF138" s="28"/>
      <c r="AG138" s="28"/>
      <c r="AH138" s="28"/>
      <c r="AI138" s="28"/>
      <c r="AJ138" s="28"/>
      <c r="AK138" s="29"/>
      <c r="AL138" s="30" t="n">
        <v>30</v>
      </c>
      <c r="AM138" s="30"/>
      <c r="AN138" s="32" t="e">
        <f aca="false">#REF!</f>
        <v>#REF!</v>
      </c>
      <c r="AO138" s="2" t="str">
        <f aca="false">CONCATENATE(AF138,AG138,AH138,AI138,AJ138)</f>
        <v/>
      </c>
    </row>
    <row r="139" customFormat="false" ht="15" hidden="false" customHeight="true" outlineLevel="0" collapsed="false">
      <c r="A139" s="8" t="n">
        <v>138</v>
      </c>
      <c r="B139" s="20"/>
      <c r="C139" s="33"/>
      <c r="D139" s="34" t="s">
        <v>613</v>
      </c>
      <c r="E139" s="34" t="s">
        <v>68</v>
      </c>
      <c r="F139" s="34" t="s">
        <v>603</v>
      </c>
      <c r="G139" s="34" t="s">
        <v>118</v>
      </c>
      <c r="H139" s="35"/>
      <c r="I139" s="36"/>
      <c r="J139" s="34" t="s">
        <v>33</v>
      </c>
      <c r="K139" s="34" t="s">
        <v>69</v>
      </c>
      <c r="L139" s="34" t="s">
        <v>36</v>
      </c>
      <c r="M139" s="34" t="str">
        <f aca="false">CONCATENATE(K139," ",L139)</f>
        <v>ASCAZ HOSPITALARIA</v>
      </c>
      <c r="N139" s="34" t="s">
        <v>102</v>
      </c>
      <c r="O139" s="37" t="s">
        <v>614</v>
      </c>
      <c r="P139" s="37" t="s">
        <v>40</v>
      </c>
      <c r="Q139" s="37" t="s">
        <v>104</v>
      </c>
      <c r="R139" s="34" t="s">
        <v>41</v>
      </c>
      <c r="S139" s="34" t="s">
        <v>615</v>
      </c>
      <c r="T139" s="34" t="s">
        <v>59</v>
      </c>
      <c r="U139" s="35" t="n">
        <v>29561</v>
      </c>
      <c r="V139" s="38" t="n">
        <f aca="false">YEAR($V$1)-YEAR(U139)</f>
        <v>38</v>
      </c>
      <c r="W139" s="34" t="s">
        <v>44</v>
      </c>
      <c r="X139" s="37" t="s">
        <v>163</v>
      </c>
      <c r="Y139" s="34" t="n">
        <v>57</v>
      </c>
      <c r="Z139" s="34" t="s">
        <v>96</v>
      </c>
      <c r="AA139" s="34" t="s">
        <v>46</v>
      </c>
      <c r="AB139" s="34" t="s">
        <v>47</v>
      </c>
      <c r="AC139" s="34" t="n">
        <v>33210</v>
      </c>
      <c r="AD139" s="34" t="n">
        <v>620397417</v>
      </c>
      <c r="AE139" s="39" t="s">
        <v>616</v>
      </c>
      <c r="AF139" s="40" t="s">
        <v>407</v>
      </c>
      <c r="AG139" s="40" t="s">
        <v>128</v>
      </c>
      <c r="AH139" s="40" t="n">
        <v>5066</v>
      </c>
      <c r="AI139" s="40" t="n">
        <v>50</v>
      </c>
      <c r="AJ139" s="40" t="s">
        <v>617</v>
      </c>
      <c r="AK139" s="29"/>
      <c r="AL139" s="33"/>
      <c r="AM139" s="41" t="n">
        <v>10</v>
      </c>
      <c r="AO139" s="2" t="str">
        <f aca="false">CONCATENATE(AF139,AG139,AH139,AI139,AJ139)</f>
        <v>ES2600815066500006033014</v>
      </c>
    </row>
    <row r="140" customFormat="false" ht="15" hidden="false" customHeight="true" outlineLevel="0" collapsed="false">
      <c r="A140" s="8" t="n">
        <v>139</v>
      </c>
      <c r="B140" s="20"/>
      <c r="C140" s="21" t="n">
        <v>46</v>
      </c>
      <c r="D140" s="22"/>
      <c r="E140" s="26"/>
      <c r="F140" s="26"/>
      <c r="G140" s="26"/>
      <c r="H140" s="42"/>
      <c r="I140" s="26"/>
      <c r="J140" s="26"/>
      <c r="K140" s="26"/>
      <c r="L140" s="26"/>
      <c r="M140" s="26"/>
      <c r="N140" s="26"/>
      <c r="O140" s="43"/>
      <c r="P140" s="43"/>
      <c r="Q140" s="43"/>
      <c r="R140" s="26"/>
      <c r="S140" s="26"/>
      <c r="T140" s="26"/>
      <c r="U140" s="42"/>
      <c r="V140" s="26"/>
      <c r="W140" s="26"/>
      <c r="X140" s="43"/>
      <c r="Y140" s="26"/>
      <c r="Z140" s="26"/>
      <c r="AA140" s="26"/>
      <c r="AB140" s="26"/>
      <c r="AC140" s="26"/>
      <c r="AD140" s="26"/>
      <c r="AE140" s="44"/>
      <c r="AF140" s="28"/>
      <c r="AG140" s="28"/>
      <c r="AH140" s="28"/>
      <c r="AI140" s="28"/>
      <c r="AJ140" s="28"/>
      <c r="AK140" s="29"/>
      <c r="AL140" s="30" t="n">
        <v>30</v>
      </c>
      <c r="AM140" s="30"/>
      <c r="AN140" s="32" t="e">
        <f aca="false">#REF!</f>
        <v>#REF!</v>
      </c>
      <c r="AO140" s="2" t="str">
        <f aca="false">CONCATENATE(AF140,AG140,AH140,AI140,AJ140)</f>
        <v/>
      </c>
    </row>
    <row r="141" customFormat="false" ht="15" hidden="false" customHeight="true" outlineLevel="0" collapsed="false">
      <c r="A141" s="8" t="n">
        <v>140</v>
      </c>
      <c r="B141" s="20"/>
      <c r="C141" s="33"/>
      <c r="D141" s="34" t="s">
        <v>618</v>
      </c>
      <c r="E141" s="34" t="s">
        <v>68</v>
      </c>
      <c r="F141" s="34" t="s">
        <v>588</v>
      </c>
      <c r="G141" s="34" t="s">
        <v>118</v>
      </c>
      <c r="H141" s="35"/>
      <c r="I141" s="36"/>
      <c r="J141" s="34" t="s">
        <v>33</v>
      </c>
      <c r="K141" s="34" t="s">
        <v>69</v>
      </c>
      <c r="L141" s="34" t="s">
        <v>36</v>
      </c>
      <c r="M141" s="34" t="str">
        <f aca="false">CONCATENATE(K141," ",L141)</f>
        <v>ASCAZ HOSPITALARIA</v>
      </c>
      <c r="N141" s="34" t="s">
        <v>102</v>
      </c>
      <c r="O141" s="37" t="s">
        <v>441</v>
      </c>
      <c r="P141" s="37" t="s">
        <v>200</v>
      </c>
      <c r="Q141" s="37" t="s">
        <v>380</v>
      </c>
      <c r="R141" s="34" t="s">
        <v>41</v>
      </c>
      <c r="S141" s="34" t="s">
        <v>619</v>
      </c>
      <c r="T141" s="34" t="s">
        <v>59</v>
      </c>
      <c r="U141" s="35" t="n">
        <v>28846</v>
      </c>
      <c r="V141" s="38" t="n">
        <f aca="false">YEAR($V$1)-YEAR(U141)</f>
        <v>40</v>
      </c>
      <c r="W141" s="34" t="s">
        <v>620</v>
      </c>
      <c r="X141" s="37" t="s">
        <v>621</v>
      </c>
      <c r="Y141" s="34" t="n">
        <v>900</v>
      </c>
      <c r="Z141" s="34" t="s">
        <v>622</v>
      </c>
      <c r="AA141" s="34" t="s">
        <v>46</v>
      </c>
      <c r="AB141" s="34" t="s">
        <v>47</v>
      </c>
      <c r="AC141" s="34" t="n">
        <v>33209</v>
      </c>
      <c r="AD141" s="34" t="n">
        <v>636837335</v>
      </c>
      <c r="AE141" s="39" t="s">
        <v>623</v>
      </c>
      <c r="AF141" s="40" t="s">
        <v>624</v>
      </c>
      <c r="AG141" s="40" t="n">
        <v>1465</v>
      </c>
      <c r="AH141" s="40" t="s">
        <v>196</v>
      </c>
      <c r="AI141" s="40" t="n">
        <v>91</v>
      </c>
      <c r="AJ141" s="40" t="n">
        <v>1723325519</v>
      </c>
      <c r="AK141" s="29"/>
      <c r="AL141" s="33"/>
      <c r="AM141" s="41" t="n">
        <v>10</v>
      </c>
      <c r="AO141" s="2" t="str">
        <f aca="false">CONCATENATE(AF141,AG141,AH141,AI141,AJ141)</f>
        <v>ES8014650100911723325519</v>
      </c>
    </row>
    <row r="142" customFormat="false" ht="15" hidden="false" customHeight="true" outlineLevel="0" collapsed="false">
      <c r="A142" s="8" t="n">
        <v>141</v>
      </c>
      <c r="B142" s="20"/>
      <c r="C142" s="33"/>
      <c r="D142" s="34" t="s">
        <v>625</v>
      </c>
      <c r="E142" s="34" t="s">
        <v>68</v>
      </c>
      <c r="F142" s="34" t="s">
        <v>588</v>
      </c>
      <c r="G142" s="34" t="s">
        <v>118</v>
      </c>
      <c r="H142" s="35"/>
      <c r="I142" s="36"/>
      <c r="J142" s="34" t="s">
        <v>33</v>
      </c>
      <c r="K142" s="34" t="s">
        <v>69</v>
      </c>
      <c r="L142" s="34" t="s">
        <v>36</v>
      </c>
      <c r="M142" s="34" t="str">
        <f aca="false">CONCATENATE(K142," ",L142)</f>
        <v>ASCAZ HOSPITALARIA</v>
      </c>
      <c r="N142" s="34" t="s">
        <v>54</v>
      </c>
      <c r="O142" s="37" t="s">
        <v>626</v>
      </c>
      <c r="P142" s="37" t="s">
        <v>627</v>
      </c>
      <c r="Q142" s="37" t="s">
        <v>628</v>
      </c>
      <c r="R142" s="34"/>
      <c r="S142" s="34"/>
      <c r="T142" s="34" t="s">
        <v>43</v>
      </c>
      <c r="U142" s="35" t="n">
        <v>29754</v>
      </c>
      <c r="V142" s="38" t="n">
        <f aca="false">YEAR($V$1)-YEAR(U142)</f>
        <v>37</v>
      </c>
      <c r="W142" s="34"/>
      <c r="X142" s="37"/>
      <c r="Y142" s="34"/>
      <c r="Z142" s="34"/>
      <c r="AA142" s="34"/>
      <c r="AB142" s="34"/>
      <c r="AC142" s="34"/>
      <c r="AD142" s="34"/>
      <c r="AE142" s="39"/>
      <c r="AF142" s="40"/>
      <c r="AG142" s="40"/>
      <c r="AH142" s="40"/>
      <c r="AI142" s="40"/>
      <c r="AJ142" s="40"/>
      <c r="AK142" s="29"/>
      <c r="AL142" s="33"/>
      <c r="AM142" s="41" t="n">
        <v>10</v>
      </c>
      <c r="AO142" s="2" t="str">
        <f aca="false">CONCATENATE(AF142,AG142,AH142,AI142,AJ142)</f>
        <v/>
      </c>
    </row>
    <row r="143" customFormat="false" ht="15" hidden="false" customHeight="true" outlineLevel="0" collapsed="false">
      <c r="A143" s="8" t="n">
        <v>142</v>
      </c>
      <c r="B143" s="20"/>
      <c r="C143" s="21" t="n">
        <v>47</v>
      </c>
      <c r="D143" s="22"/>
      <c r="E143" s="26"/>
      <c r="F143" s="26"/>
      <c r="G143" s="26"/>
      <c r="H143" s="42"/>
      <c r="I143" s="26"/>
      <c r="J143" s="26"/>
      <c r="K143" s="26"/>
      <c r="L143" s="26"/>
      <c r="M143" s="26"/>
      <c r="N143" s="26"/>
      <c r="O143" s="43"/>
      <c r="P143" s="43"/>
      <c r="Q143" s="43"/>
      <c r="R143" s="26"/>
      <c r="S143" s="26"/>
      <c r="T143" s="26"/>
      <c r="U143" s="42"/>
      <c r="V143" s="26"/>
      <c r="W143" s="26"/>
      <c r="X143" s="43"/>
      <c r="Y143" s="26"/>
      <c r="Z143" s="26"/>
      <c r="AA143" s="26"/>
      <c r="AB143" s="26"/>
      <c r="AC143" s="26"/>
      <c r="AD143" s="26"/>
      <c r="AE143" s="44"/>
      <c r="AF143" s="28"/>
      <c r="AG143" s="28"/>
      <c r="AH143" s="28"/>
      <c r="AI143" s="28"/>
      <c r="AJ143" s="28"/>
      <c r="AK143" s="29"/>
      <c r="AL143" s="30" t="n">
        <v>30</v>
      </c>
      <c r="AM143" s="30"/>
      <c r="AN143" s="32" t="e">
        <f aca="false">#REF!</f>
        <v>#REF!</v>
      </c>
      <c r="AO143" s="2" t="str">
        <f aca="false">CONCATENATE(AF143,AG143,AH143,AI143,AJ143)</f>
        <v/>
      </c>
    </row>
    <row r="144" customFormat="false" ht="15" hidden="false" customHeight="true" outlineLevel="0" collapsed="false">
      <c r="A144" s="8" t="n">
        <v>143</v>
      </c>
      <c r="B144" s="20"/>
      <c r="C144" s="33"/>
      <c r="D144" s="34" t="s">
        <v>629</v>
      </c>
      <c r="E144" s="34" t="s">
        <v>68</v>
      </c>
      <c r="F144" s="34" t="s">
        <v>630</v>
      </c>
      <c r="G144" s="34" t="s">
        <v>118</v>
      </c>
      <c r="H144" s="35" t="n">
        <v>42164</v>
      </c>
      <c r="I144" s="36"/>
      <c r="J144" s="34" t="s">
        <v>33</v>
      </c>
      <c r="K144" s="34" t="s">
        <v>69</v>
      </c>
      <c r="L144" s="34" t="s">
        <v>36</v>
      </c>
      <c r="M144" s="34" t="str">
        <f aca="false">CONCATENATE(K144," ",L144)</f>
        <v>ASCAZ HOSPITALARIA</v>
      </c>
      <c r="N144" s="34" t="s">
        <v>102</v>
      </c>
      <c r="O144" s="37" t="s">
        <v>631</v>
      </c>
      <c r="P144" s="37" t="s">
        <v>322</v>
      </c>
      <c r="Q144" s="37" t="s">
        <v>632</v>
      </c>
      <c r="R144" s="34" t="s">
        <v>41</v>
      </c>
      <c r="S144" s="34" t="s">
        <v>633</v>
      </c>
      <c r="T144" s="34" t="s">
        <v>43</v>
      </c>
      <c r="U144" s="35" t="n">
        <v>20821</v>
      </c>
      <c r="V144" s="38" t="n">
        <f aca="false">YEAR($V$1)-YEAR(U144)</f>
        <v>61</v>
      </c>
      <c r="W144" s="34" t="s">
        <v>44</v>
      </c>
      <c r="X144" s="37" t="s">
        <v>634</v>
      </c>
      <c r="Y144" s="34" t="n">
        <v>21</v>
      </c>
      <c r="Z144" s="34" t="s">
        <v>635</v>
      </c>
      <c r="AA144" s="34" t="s">
        <v>46</v>
      </c>
      <c r="AB144" s="34" t="s">
        <v>300</v>
      </c>
      <c r="AC144" s="34" t="n">
        <v>33011</v>
      </c>
      <c r="AD144" s="34" t="n">
        <v>619000607</v>
      </c>
      <c r="AE144" s="39" t="s">
        <v>636</v>
      </c>
      <c r="AF144" s="40" t="s">
        <v>637</v>
      </c>
      <c r="AG144" s="40" t="s">
        <v>50</v>
      </c>
      <c r="AH144" s="40" t="s">
        <v>638</v>
      </c>
      <c r="AI144" s="40" t="n">
        <v>14</v>
      </c>
      <c r="AJ144" s="40" t="s">
        <v>639</v>
      </c>
      <c r="AK144" s="29"/>
      <c r="AL144" s="33"/>
      <c r="AM144" s="41" t="n">
        <v>10</v>
      </c>
      <c r="AO144" s="2" t="str">
        <f aca="false">CONCATENATE(AF144,AG144,AH144,AI144,AJ144)</f>
        <v>ES3300750498140700015863</v>
      </c>
    </row>
    <row r="145" customFormat="false" ht="15" hidden="false" customHeight="true" outlineLevel="0" collapsed="false">
      <c r="A145" s="8" t="n">
        <v>144</v>
      </c>
      <c r="B145" s="20"/>
      <c r="C145" s="33"/>
      <c r="D145" s="34" t="s">
        <v>640</v>
      </c>
      <c r="E145" s="34" t="s">
        <v>68</v>
      </c>
      <c r="F145" s="34" t="s">
        <v>630</v>
      </c>
      <c r="G145" s="34" t="s">
        <v>118</v>
      </c>
      <c r="H145" s="35" t="n">
        <v>42164</v>
      </c>
      <c r="I145" s="36"/>
      <c r="J145" s="34" t="s">
        <v>33</v>
      </c>
      <c r="K145" s="34" t="s">
        <v>69</v>
      </c>
      <c r="L145" s="34" t="s">
        <v>36</v>
      </c>
      <c r="M145" s="34" t="str">
        <f aca="false">CONCATENATE(K145," ",L145)</f>
        <v>ASCAZ HOSPITALARIA</v>
      </c>
      <c r="N145" s="34" t="s">
        <v>54</v>
      </c>
      <c r="O145" s="37" t="s">
        <v>641</v>
      </c>
      <c r="P145" s="37" t="s">
        <v>621</v>
      </c>
      <c r="Q145" s="37" t="s">
        <v>322</v>
      </c>
      <c r="R145" s="34" t="s">
        <v>41</v>
      </c>
      <c r="S145" s="34" t="s">
        <v>642</v>
      </c>
      <c r="T145" s="34" t="s">
        <v>59</v>
      </c>
      <c r="U145" s="35" t="n">
        <v>21471</v>
      </c>
      <c r="V145" s="38" t="n">
        <f aca="false">YEAR($V$1)-YEAR(U145)</f>
        <v>60</v>
      </c>
      <c r="W145" s="34"/>
      <c r="X145" s="37"/>
      <c r="Y145" s="34"/>
      <c r="Z145" s="34"/>
      <c r="AA145" s="34"/>
      <c r="AB145" s="34"/>
      <c r="AC145" s="34"/>
      <c r="AD145" s="34"/>
      <c r="AE145" s="39"/>
      <c r="AF145" s="40"/>
      <c r="AG145" s="40"/>
      <c r="AH145" s="40"/>
      <c r="AI145" s="40"/>
      <c r="AJ145" s="40"/>
      <c r="AK145" s="29"/>
      <c r="AL145" s="33"/>
      <c r="AM145" s="41" t="n">
        <v>10</v>
      </c>
      <c r="AO145" s="2" t="str">
        <f aca="false">CONCATENATE(AF145,AG145,AH145,AI145,AJ145)</f>
        <v/>
      </c>
    </row>
    <row r="146" customFormat="false" ht="15" hidden="false" customHeight="true" outlineLevel="0" collapsed="false">
      <c r="A146" s="8" t="n">
        <v>145</v>
      </c>
      <c r="B146" s="20"/>
      <c r="C146" s="21" t="n">
        <v>48</v>
      </c>
      <c r="D146" s="22"/>
      <c r="E146" s="26"/>
      <c r="F146" s="26"/>
      <c r="G146" s="26"/>
      <c r="H146" s="42"/>
      <c r="I146" s="26"/>
      <c r="J146" s="26"/>
      <c r="K146" s="26"/>
      <c r="L146" s="26"/>
      <c r="M146" s="26"/>
      <c r="N146" s="26"/>
      <c r="O146" s="43"/>
      <c r="P146" s="43"/>
      <c r="Q146" s="43"/>
      <c r="R146" s="26"/>
      <c r="S146" s="26"/>
      <c r="T146" s="26"/>
      <c r="U146" s="42"/>
      <c r="V146" s="26"/>
      <c r="W146" s="26"/>
      <c r="X146" s="43"/>
      <c r="Y146" s="26"/>
      <c r="Z146" s="26"/>
      <c r="AA146" s="26"/>
      <c r="AB146" s="26"/>
      <c r="AC146" s="26"/>
      <c r="AD146" s="26"/>
      <c r="AE146" s="44"/>
      <c r="AF146" s="28"/>
      <c r="AG146" s="28"/>
      <c r="AH146" s="28"/>
      <c r="AI146" s="28"/>
      <c r="AJ146" s="28"/>
      <c r="AK146" s="29"/>
      <c r="AL146" s="30" t="n">
        <v>30</v>
      </c>
      <c r="AM146" s="30"/>
      <c r="AN146" s="32" t="e">
        <f aca="false">#REF!</f>
        <v>#REF!</v>
      </c>
      <c r="AO146" s="2" t="str">
        <f aca="false">CONCATENATE(AF146,AG146,AH146,AI146,AJ146)</f>
        <v/>
      </c>
    </row>
    <row r="147" customFormat="false" ht="15" hidden="false" customHeight="true" outlineLevel="0" collapsed="false">
      <c r="A147" s="8" t="n">
        <v>146</v>
      </c>
      <c r="B147" s="20"/>
      <c r="C147" s="33"/>
      <c r="D147" s="34" t="s">
        <v>643</v>
      </c>
      <c r="E147" s="34" t="s">
        <v>68</v>
      </c>
      <c r="F147" s="38" t="s">
        <v>630</v>
      </c>
      <c r="G147" s="34" t="s">
        <v>118</v>
      </c>
      <c r="H147" s="35" t="n">
        <v>42164</v>
      </c>
      <c r="I147" s="36"/>
      <c r="J147" s="34" t="s">
        <v>33</v>
      </c>
      <c r="K147" s="34" t="s">
        <v>69</v>
      </c>
      <c r="L147" s="34" t="s">
        <v>36</v>
      </c>
      <c r="M147" s="34" t="str">
        <f aca="false">CONCATENATE(K147," ",L147)</f>
        <v>ASCAZ HOSPITALARIA</v>
      </c>
      <c r="N147" s="34" t="s">
        <v>102</v>
      </c>
      <c r="O147" s="37" t="s">
        <v>530</v>
      </c>
      <c r="P147" s="37" t="s">
        <v>315</v>
      </c>
      <c r="Q147" s="37" t="s">
        <v>40</v>
      </c>
      <c r="R147" s="34" t="s">
        <v>41</v>
      </c>
      <c r="S147" s="34" t="s">
        <v>644</v>
      </c>
      <c r="T147" s="34" t="s">
        <v>43</v>
      </c>
      <c r="U147" s="35" t="n">
        <v>29453</v>
      </c>
      <c r="V147" s="38" t="n">
        <f aca="false">YEAR($V$1)-YEAR(U147)</f>
        <v>38</v>
      </c>
      <c r="W147" s="34" t="s">
        <v>44</v>
      </c>
      <c r="X147" s="37" t="s">
        <v>645</v>
      </c>
      <c r="Y147" s="34" t="n">
        <v>4</v>
      </c>
      <c r="Z147" s="34" t="s">
        <v>646</v>
      </c>
      <c r="AA147" s="34" t="s">
        <v>46</v>
      </c>
      <c r="AB147" s="34" t="s">
        <v>300</v>
      </c>
      <c r="AC147" s="34" t="n">
        <v>33011</v>
      </c>
      <c r="AD147" s="34" t="n">
        <v>647705123</v>
      </c>
      <c r="AE147" s="39" t="s">
        <v>647</v>
      </c>
      <c r="AF147" s="40" t="s">
        <v>648</v>
      </c>
      <c r="AG147" s="40" t="s">
        <v>649</v>
      </c>
      <c r="AH147" s="40" t="n">
        <v>4671</v>
      </c>
      <c r="AI147" s="40" t="n">
        <v>33</v>
      </c>
      <c r="AJ147" s="40" t="s">
        <v>650</v>
      </c>
      <c r="AK147" s="29"/>
      <c r="AL147" s="33"/>
      <c r="AM147" s="41" t="n">
        <v>10</v>
      </c>
      <c r="AO147" s="2" t="str">
        <f aca="false">CONCATENATE(AF147,AG147,AH147,AI147,AJ147)</f>
        <v>ES8801824671330201536818</v>
      </c>
    </row>
    <row r="148" customFormat="false" ht="15" hidden="false" customHeight="true" outlineLevel="0" collapsed="false">
      <c r="A148" s="8" t="n">
        <v>147</v>
      </c>
      <c r="B148" s="20"/>
      <c r="C148" s="21" t="n">
        <v>49</v>
      </c>
      <c r="D148" s="22"/>
      <c r="E148" s="26"/>
      <c r="F148" s="26"/>
      <c r="G148" s="26"/>
      <c r="H148" s="42"/>
      <c r="I148" s="26"/>
      <c r="J148" s="26"/>
      <c r="K148" s="26"/>
      <c r="L148" s="26"/>
      <c r="M148" s="26"/>
      <c r="N148" s="26"/>
      <c r="O148" s="43"/>
      <c r="P148" s="43"/>
      <c r="Q148" s="43"/>
      <c r="R148" s="26"/>
      <c r="S148" s="26"/>
      <c r="T148" s="26"/>
      <c r="U148" s="42"/>
      <c r="V148" s="26"/>
      <c r="W148" s="26"/>
      <c r="X148" s="43"/>
      <c r="Y148" s="26"/>
      <c r="Z148" s="26"/>
      <c r="AA148" s="26"/>
      <c r="AB148" s="26"/>
      <c r="AC148" s="26"/>
      <c r="AD148" s="26"/>
      <c r="AE148" s="44"/>
      <c r="AF148" s="28"/>
      <c r="AG148" s="28"/>
      <c r="AH148" s="28"/>
      <c r="AI148" s="28"/>
      <c r="AJ148" s="28"/>
      <c r="AK148" s="29"/>
      <c r="AL148" s="30" t="n">
        <v>30</v>
      </c>
      <c r="AM148" s="30"/>
      <c r="AN148" s="32" t="e">
        <f aca="false">#REF!</f>
        <v>#REF!</v>
      </c>
      <c r="AO148" s="2" t="str">
        <f aca="false">CONCATENATE(AF148,AG148,AH148,AI148,AJ148)</f>
        <v/>
      </c>
    </row>
    <row r="149" customFormat="false" ht="15" hidden="false" customHeight="true" outlineLevel="0" collapsed="false">
      <c r="A149" s="8" t="n">
        <v>148</v>
      </c>
      <c r="B149" s="20"/>
      <c r="C149" s="33"/>
      <c r="D149" s="34" t="s">
        <v>651</v>
      </c>
      <c r="E149" s="34" t="s">
        <v>68</v>
      </c>
      <c r="F149" s="34" t="s">
        <v>652</v>
      </c>
      <c r="G149" s="34" t="s">
        <v>118</v>
      </c>
      <c r="H149" s="35" t="n">
        <v>42256</v>
      </c>
      <c r="I149" s="36"/>
      <c r="J149" s="34" t="s">
        <v>33</v>
      </c>
      <c r="K149" s="34" t="s">
        <v>69</v>
      </c>
      <c r="L149" s="34" t="s">
        <v>36</v>
      </c>
      <c r="M149" s="34" t="str">
        <f aca="false">CONCATENATE(K149," ",L149)</f>
        <v>ASCAZ HOSPITALARIA</v>
      </c>
      <c r="N149" s="34" t="s">
        <v>102</v>
      </c>
      <c r="O149" s="37" t="s">
        <v>653</v>
      </c>
      <c r="P149" s="37" t="s">
        <v>654</v>
      </c>
      <c r="Q149" s="37" t="s">
        <v>655</v>
      </c>
      <c r="R149" s="34"/>
      <c r="S149" s="34" t="s">
        <v>656</v>
      </c>
      <c r="T149" s="34" t="s">
        <v>43</v>
      </c>
      <c r="U149" s="35" t="n">
        <v>23898</v>
      </c>
      <c r="V149" s="38" t="n">
        <f aca="false">YEAR($V$1)-YEAR(U149)</f>
        <v>53</v>
      </c>
      <c r="W149" s="34" t="s">
        <v>657</v>
      </c>
      <c r="X149" s="37" t="s">
        <v>658</v>
      </c>
      <c r="Y149" s="34" t="s">
        <v>659</v>
      </c>
      <c r="Z149" s="34"/>
      <c r="AA149" s="34" t="s">
        <v>46</v>
      </c>
      <c r="AB149" s="34" t="s">
        <v>47</v>
      </c>
      <c r="AC149" s="34" t="n">
        <v>33205</v>
      </c>
      <c r="AD149" s="34" t="n">
        <v>617354915</v>
      </c>
      <c r="AE149" s="39" t="s">
        <v>660</v>
      </c>
      <c r="AF149" s="40" t="s">
        <v>661</v>
      </c>
      <c r="AG149" s="40" t="n">
        <v>2100</v>
      </c>
      <c r="AH149" s="40" t="n">
        <v>1452</v>
      </c>
      <c r="AI149" s="40" t="n">
        <v>84</v>
      </c>
      <c r="AJ149" s="40" t="s">
        <v>662</v>
      </c>
      <c r="AK149" s="29"/>
      <c r="AL149" s="33"/>
      <c r="AM149" s="41" t="n">
        <v>10</v>
      </c>
      <c r="AO149" s="2" t="str">
        <f aca="false">CONCATENATE(AF149,AG149,AH149,AI149,AJ149)</f>
        <v>ES1121001452840200044654</v>
      </c>
    </row>
    <row r="150" customFormat="false" ht="15" hidden="false" customHeight="true" outlineLevel="0" collapsed="false">
      <c r="A150" s="8" t="n">
        <v>149</v>
      </c>
      <c r="B150" s="20"/>
      <c r="C150" s="33"/>
      <c r="D150" s="34" t="s">
        <v>663</v>
      </c>
      <c r="E150" s="34" t="s">
        <v>68</v>
      </c>
      <c r="F150" s="34" t="s">
        <v>652</v>
      </c>
      <c r="G150" s="34" t="s">
        <v>118</v>
      </c>
      <c r="H150" s="35" t="n">
        <v>42256</v>
      </c>
      <c r="I150" s="36"/>
      <c r="J150" s="34" t="s">
        <v>33</v>
      </c>
      <c r="K150" s="34" t="s">
        <v>69</v>
      </c>
      <c r="L150" s="34" t="s">
        <v>36</v>
      </c>
      <c r="M150" s="34" t="str">
        <f aca="false">CONCATENATE(K150," ",L150)</f>
        <v>ASCAZ HOSPITALARIA</v>
      </c>
      <c r="N150" s="34" t="s">
        <v>54</v>
      </c>
      <c r="O150" s="37" t="s">
        <v>664</v>
      </c>
      <c r="P150" s="37" t="s">
        <v>380</v>
      </c>
      <c r="Q150" s="37" t="s">
        <v>665</v>
      </c>
      <c r="R150" s="34"/>
      <c r="S150" s="34" t="s">
        <v>666</v>
      </c>
      <c r="T150" s="34" t="s">
        <v>59</v>
      </c>
      <c r="U150" s="35" t="n">
        <v>25404</v>
      </c>
      <c r="V150" s="38" t="n">
        <f aca="false">YEAR($V$1)-YEAR(U150)</f>
        <v>49</v>
      </c>
      <c r="W150" s="34"/>
      <c r="X150" s="37"/>
      <c r="Y150" s="34"/>
      <c r="Z150" s="34"/>
      <c r="AA150" s="34"/>
      <c r="AB150" s="34"/>
      <c r="AC150" s="34"/>
      <c r="AD150" s="34"/>
      <c r="AE150" s="39"/>
      <c r="AF150" s="40"/>
      <c r="AG150" s="40"/>
      <c r="AH150" s="40"/>
      <c r="AI150" s="40"/>
      <c r="AJ150" s="40"/>
      <c r="AK150" s="29"/>
      <c r="AL150" s="33"/>
      <c r="AM150" s="41" t="n">
        <v>10</v>
      </c>
      <c r="AO150" s="2" t="str">
        <f aca="false">CONCATENATE(AF150,AG150,AH150,AI150,AJ150)</f>
        <v/>
      </c>
    </row>
    <row r="151" customFormat="false" ht="15" hidden="false" customHeight="true" outlineLevel="0" collapsed="false">
      <c r="A151" s="8" t="n">
        <v>150</v>
      </c>
      <c r="B151" s="20"/>
      <c r="C151" s="21" t="n">
        <v>50</v>
      </c>
      <c r="D151" s="22"/>
      <c r="E151" s="26"/>
      <c r="F151" s="26"/>
      <c r="G151" s="26"/>
      <c r="H151" s="42"/>
      <c r="I151" s="26"/>
      <c r="J151" s="26"/>
      <c r="K151" s="26"/>
      <c r="L151" s="26"/>
      <c r="M151" s="26"/>
      <c r="N151" s="26"/>
      <c r="O151" s="43"/>
      <c r="P151" s="43"/>
      <c r="Q151" s="43"/>
      <c r="R151" s="26"/>
      <c r="S151" s="26"/>
      <c r="T151" s="26"/>
      <c r="U151" s="42"/>
      <c r="V151" s="26"/>
      <c r="W151" s="26"/>
      <c r="X151" s="43"/>
      <c r="Y151" s="26"/>
      <c r="Z151" s="26"/>
      <c r="AA151" s="26"/>
      <c r="AB151" s="26"/>
      <c r="AC151" s="26"/>
      <c r="AD151" s="26"/>
      <c r="AE151" s="44"/>
      <c r="AF151" s="28"/>
      <c r="AG151" s="28"/>
      <c r="AH151" s="28"/>
      <c r="AI151" s="28"/>
      <c r="AJ151" s="28"/>
      <c r="AK151" s="29"/>
      <c r="AL151" s="30" t="n">
        <v>30</v>
      </c>
      <c r="AM151" s="30"/>
      <c r="AN151" s="32" t="e">
        <f aca="false">#REF!</f>
        <v>#REF!</v>
      </c>
      <c r="AO151" s="2" t="str">
        <f aca="false">CONCATENATE(AF151,AG151,AH151,AI151,AJ151)</f>
        <v/>
      </c>
    </row>
    <row r="152" customFormat="false" ht="15" hidden="false" customHeight="true" outlineLevel="0" collapsed="false">
      <c r="A152" s="8" t="n">
        <v>151</v>
      </c>
      <c r="B152" s="20"/>
      <c r="C152" s="33"/>
      <c r="D152" s="34" t="s">
        <v>667</v>
      </c>
      <c r="E152" s="34" t="s">
        <v>68</v>
      </c>
      <c r="F152" s="34" t="s">
        <v>668</v>
      </c>
      <c r="G152" s="34" t="s">
        <v>118</v>
      </c>
      <c r="H152" s="35"/>
      <c r="I152" s="36"/>
      <c r="J152" s="34" t="s">
        <v>33</v>
      </c>
      <c r="K152" s="34" t="s">
        <v>69</v>
      </c>
      <c r="L152" s="34" t="s">
        <v>36</v>
      </c>
      <c r="M152" s="34" t="str">
        <f aca="false">CONCATENATE(K152," ",L152)</f>
        <v>ASCAZ HOSPITALARIA</v>
      </c>
      <c r="N152" s="34" t="s">
        <v>102</v>
      </c>
      <c r="O152" s="37" t="s">
        <v>669</v>
      </c>
      <c r="P152" s="37" t="s">
        <v>670</v>
      </c>
      <c r="Q152" s="37" t="s">
        <v>40</v>
      </c>
      <c r="R152" s="34" t="s">
        <v>41</v>
      </c>
      <c r="S152" s="34" t="s">
        <v>671</v>
      </c>
      <c r="T152" s="34" t="s">
        <v>43</v>
      </c>
      <c r="U152" s="35" t="n">
        <v>25797</v>
      </c>
      <c r="V152" s="38" t="n">
        <f aca="false">YEAR($V$1)-YEAR(U152)</f>
        <v>48</v>
      </c>
      <c r="W152" s="34" t="s">
        <v>672</v>
      </c>
      <c r="X152" s="37" t="s">
        <v>300</v>
      </c>
      <c r="Y152" s="34" t="n">
        <v>9</v>
      </c>
      <c r="Z152" s="34" t="s">
        <v>673</v>
      </c>
      <c r="AA152" s="34" t="s">
        <v>46</v>
      </c>
      <c r="AB152" s="34" t="s">
        <v>47</v>
      </c>
      <c r="AC152" s="34" t="n">
        <v>33211</v>
      </c>
      <c r="AD152" s="34" t="n">
        <v>675287503</v>
      </c>
      <c r="AE152" s="39" t="s">
        <v>674</v>
      </c>
      <c r="AF152" s="40" t="s">
        <v>675</v>
      </c>
      <c r="AG152" s="40" t="s">
        <v>110</v>
      </c>
      <c r="AH152" s="40" t="n">
        <v>1752</v>
      </c>
      <c r="AI152" s="40" t="n">
        <v>31</v>
      </c>
      <c r="AJ152" s="40" t="n">
        <v>2790017911</v>
      </c>
      <c r="AK152" s="29"/>
      <c r="AL152" s="33"/>
      <c r="AM152" s="41" t="n">
        <v>10</v>
      </c>
      <c r="AO152" s="2" t="str">
        <f aca="false">CONCATENATE(AF152,AG152,AH152,AI152,AJ152)</f>
        <v>ES2100491752312790017911</v>
      </c>
    </row>
    <row r="153" customFormat="false" ht="15" hidden="false" customHeight="true" outlineLevel="0" collapsed="false">
      <c r="A153" s="8" t="n">
        <v>152</v>
      </c>
      <c r="B153" s="20"/>
      <c r="C153" s="21" t="n">
        <v>51</v>
      </c>
      <c r="D153" s="22"/>
      <c r="E153" s="26"/>
      <c r="F153" s="26"/>
      <c r="G153" s="26"/>
      <c r="H153" s="42"/>
      <c r="I153" s="26"/>
      <c r="J153" s="26"/>
      <c r="K153" s="26"/>
      <c r="L153" s="26"/>
      <c r="M153" s="26"/>
      <c r="N153" s="26"/>
      <c r="O153" s="43"/>
      <c r="P153" s="43"/>
      <c r="Q153" s="43"/>
      <c r="R153" s="26"/>
      <c r="S153" s="26"/>
      <c r="T153" s="26"/>
      <c r="U153" s="42"/>
      <c r="V153" s="26"/>
      <c r="W153" s="26"/>
      <c r="X153" s="43"/>
      <c r="Y153" s="26"/>
      <c r="Z153" s="26"/>
      <c r="AA153" s="26"/>
      <c r="AB153" s="26"/>
      <c r="AC153" s="26"/>
      <c r="AD153" s="26"/>
      <c r="AE153" s="44"/>
      <c r="AF153" s="28"/>
      <c r="AG153" s="28"/>
      <c r="AH153" s="28"/>
      <c r="AI153" s="28"/>
      <c r="AJ153" s="28"/>
      <c r="AK153" s="29"/>
      <c r="AL153" s="30" t="n">
        <v>30</v>
      </c>
      <c r="AM153" s="30"/>
      <c r="AN153" s="32" t="e">
        <f aca="false">#REF!</f>
        <v>#REF!</v>
      </c>
      <c r="AO153" s="2" t="str">
        <f aca="false">CONCATENATE(AF153,AG153,AH153,AI153,AJ153)</f>
        <v/>
      </c>
    </row>
    <row r="154" customFormat="false" ht="15" hidden="false" customHeight="true" outlineLevel="0" collapsed="false">
      <c r="A154" s="8" t="n">
        <v>153</v>
      </c>
      <c r="B154" s="20"/>
      <c r="C154" s="33"/>
      <c r="D154" s="34" t="s">
        <v>676</v>
      </c>
      <c r="E154" s="34" t="s">
        <v>68</v>
      </c>
      <c r="F154" s="34"/>
      <c r="G154" s="34" t="s">
        <v>118</v>
      </c>
      <c r="H154" s="35"/>
      <c r="I154" s="36"/>
      <c r="J154" s="34" t="s">
        <v>33</v>
      </c>
      <c r="K154" s="34" t="s">
        <v>69</v>
      </c>
      <c r="L154" s="34" t="s">
        <v>36</v>
      </c>
      <c r="M154" s="34" t="str">
        <f aca="false">CONCATENATE(K154," ",L154)</f>
        <v>ASCAZ HOSPITALARIA</v>
      </c>
      <c r="N154" s="34" t="s">
        <v>102</v>
      </c>
      <c r="O154" s="37" t="s">
        <v>677</v>
      </c>
      <c r="P154" s="37" t="s">
        <v>190</v>
      </c>
      <c r="Q154" s="37" t="s">
        <v>678</v>
      </c>
      <c r="R154" s="34" t="s">
        <v>41</v>
      </c>
      <c r="S154" s="34" t="s">
        <v>679</v>
      </c>
      <c r="T154" s="34" t="s">
        <v>43</v>
      </c>
      <c r="U154" s="35" t="n">
        <v>26220</v>
      </c>
      <c r="V154" s="38" t="n">
        <f aca="false">YEAR($V$1)-YEAR(U154)</f>
        <v>47</v>
      </c>
      <c r="W154" s="34" t="s">
        <v>44</v>
      </c>
      <c r="X154" s="37" t="s">
        <v>680</v>
      </c>
      <c r="Y154" s="34" t="n">
        <v>2</v>
      </c>
      <c r="Z154" s="34" t="s">
        <v>681</v>
      </c>
      <c r="AA154" s="34" t="s">
        <v>46</v>
      </c>
      <c r="AB154" s="34" t="s">
        <v>300</v>
      </c>
      <c r="AC154" s="34" t="n">
        <v>33008</v>
      </c>
      <c r="AD154" s="34" t="n">
        <v>665408754</v>
      </c>
      <c r="AE154" s="39" t="s">
        <v>682</v>
      </c>
      <c r="AF154" s="40" t="s">
        <v>683</v>
      </c>
      <c r="AG154" s="40" t="s">
        <v>684</v>
      </c>
      <c r="AH154" s="40" t="n">
        <v>7008</v>
      </c>
      <c r="AI154" s="40" t="n">
        <v>69</v>
      </c>
      <c r="AJ154" s="40" t="s">
        <v>685</v>
      </c>
      <c r="AK154" s="29"/>
      <c r="AL154" s="33"/>
      <c r="AM154" s="41" t="n">
        <v>10</v>
      </c>
      <c r="AO154" s="2" t="str">
        <f aca="false">CONCATENATE(AF154,AG154,AH154,AI154,AJ154)</f>
        <v>ES2800307008690003042271</v>
      </c>
    </row>
    <row r="155" customFormat="false" ht="15" hidden="false" customHeight="true" outlineLevel="0" collapsed="false">
      <c r="A155" s="8" t="n">
        <v>154</v>
      </c>
      <c r="B155" s="20"/>
      <c r="C155" s="21" t="n">
        <v>52</v>
      </c>
      <c r="D155" s="22"/>
      <c r="E155" s="26"/>
      <c r="F155" s="26"/>
      <c r="G155" s="26"/>
      <c r="H155" s="42"/>
      <c r="I155" s="26"/>
      <c r="J155" s="26"/>
      <c r="K155" s="26"/>
      <c r="L155" s="26"/>
      <c r="M155" s="26"/>
      <c r="N155" s="26"/>
      <c r="O155" s="43"/>
      <c r="P155" s="43"/>
      <c r="Q155" s="43"/>
      <c r="R155" s="26"/>
      <c r="S155" s="26"/>
      <c r="T155" s="26"/>
      <c r="U155" s="42"/>
      <c r="V155" s="26"/>
      <c r="W155" s="26"/>
      <c r="X155" s="43"/>
      <c r="Y155" s="26"/>
      <c r="Z155" s="26"/>
      <c r="AA155" s="26"/>
      <c r="AB155" s="26"/>
      <c r="AC155" s="26"/>
      <c r="AD155" s="26"/>
      <c r="AE155" s="44"/>
      <c r="AF155" s="28"/>
      <c r="AG155" s="28"/>
      <c r="AH155" s="28"/>
      <c r="AI155" s="28"/>
      <c r="AJ155" s="28"/>
      <c r="AK155" s="29"/>
      <c r="AL155" s="30" t="n">
        <v>30</v>
      </c>
      <c r="AM155" s="30"/>
      <c r="AN155" s="32" t="e">
        <f aca="false">#REF!</f>
        <v>#REF!</v>
      </c>
      <c r="AO155" s="2" t="str">
        <f aca="false">CONCATENATE(AF155,AG155,AH155,AI155,AJ155)</f>
        <v/>
      </c>
    </row>
    <row r="156" customFormat="false" ht="15" hidden="false" customHeight="true" outlineLevel="0" collapsed="false">
      <c r="A156" s="8" t="n">
        <v>155</v>
      </c>
      <c r="B156" s="20"/>
      <c r="C156" s="33"/>
      <c r="D156" s="34" t="s">
        <v>686</v>
      </c>
      <c r="E156" s="34" t="s">
        <v>68</v>
      </c>
      <c r="F156" s="34" t="s">
        <v>687</v>
      </c>
      <c r="G156" s="34" t="s">
        <v>118</v>
      </c>
      <c r="H156" s="35"/>
      <c r="I156" s="36"/>
      <c r="J156" s="34" t="s">
        <v>33</v>
      </c>
      <c r="K156" s="34" t="s">
        <v>69</v>
      </c>
      <c r="L156" s="34" t="s">
        <v>36</v>
      </c>
      <c r="M156" s="34" t="str">
        <f aca="false">CONCATENATE(K156," ",L156)</f>
        <v>ASCAZ HOSPITALARIA</v>
      </c>
      <c r="N156" s="34" t="s">
        <v>102</v>
      </c>
      <c r="O156" s="37" t="s">
        <v>688</v>
      </c>
      <c r="P156" s="37" t="s">
        <v>380</v>
      </c>
      <c r="Q156" s="37" t="s">
        <v>689</v>
      </c>
      <c r="R156" s="34" t="s">
        <v>41</v>
      </c>
      <c r="S156" s="34" t="s">
        <v>690</v>
      </c>
      <c r="T156" s="34" t="s">
        <v>43</v>
      </c>
      <c r="U156" s="35" t="n">
        <v>42232</v>
      </c>
      <c r="V156" s="38" t="n">
        <f aca="false">YEAR($V$1)-YEAR(U156)</f>
        <v>3</v>
      </c>
      <c r="W156" s="34" t="s">
        <v>218</v>
      </c>
      <c r="X156" s="37" t="s">
        <v>219</v>
      </c>
      <c r="Y156" s="34" t="n">
        <v>1</v>
      </c>
      <c r="Z156" s="34" t="s">
        <v>220</v>
      </c>
      <c r="AA156" s="34" t="s">
        <v>221</v>
      </c>
      <c r="AB156" s="34" t="s">
        <v>222</v>
      </c>
      <c r="AC156" s="34" t="n">
        <v>33208</v>
      </c>
      <c r="AD156" s="34" t="n">
        <v>680267012</v>
      </c>
      <c r="AE156" s="39" t="s">
        <v>691</v>
      </c>
      <c r="AF156" s="40" t="s">
        <v>692</v>
      </c>
      <c r="AG156" s="40" t="n">
        <v>2048</v>
      </c>
      <c r="AH156" s="40" t="s">
        <v>693</v>
      </c>
      <c r="AI156" s="40" t="n">
        <v>62</v>
      </c>
      <c r="AJ156" s="40" t="n">
        <v>3000054271</v>
      </c>
      <c r="AK156" s="29"/>
      <c r="AL156" s="33"/>
      <c r="AM156" s="41" t="n">
        <v>10</v>
      </c>
      <c r="AO156" s="2" t="str">
        <f aca="false">CONCATENATE(AF156,AG156,AH156,AI156,AJ156)</f>
        <v>ES6620480134623000054271</v>
      </c>
    </row>
    <row r="157" customFormat="false" ht="15" hidden="false" customHeight="true" outlineLevel="0" collapsed="false">
      <c r="A157" s="8" t="n">
        <v>156</v>
      </c>
      <c r="B157" s="20"/>
      <c r="C157" s="21" t="n">
        <v>53</v>
      </c>
      <c r="D157" s="22"/>
      <c r="E157" s="26"/>
      <c r="F157" s="26"/>
      <c r="G157" s="26"/>
      <c r="H157" s="42"/>
      <c r="I157" s="26"/>
      <c r="J157" s="26"/>
      <c r="K157" s="26"/>
      <c r="L157" s="26"/>
      <c r="M157" s="26"/>
      <c r="N157" s="26"/>
      <c r="O157" s="43"/>
      <c r="P157" s="43"/>
      <c r="Q157" s="43"/>
      <c r="R157" s="26"/>
      <c r="S157" s="26"/>
      <c r="T157" s="26"/>
      <c r="U157" s="42"/>
      <c r="V157" s="26"/>
      <c r="W157" s="26"/>
      <c r="X157" s="43"/>
      <c r="Y157" s="26"/>
      <c r="Z157" s="26"/>
      <c r="AA157" s="26"/>
      <c r="AB157" s="26"/>
      <c r="AC157" s="26"/>
      <c r="AD157" s="26"/>
      <c r="AE157" s="44"/>
      <c r="AF157" s="28"/>
      <c r="AG157" s="28"/>
      <c r="AH157" s="28"/>
      <c r="AI157" s="28"/>
      <c r="AJ157" s="28"/>
      <c r="AK157" s="29"/>
      <c r="AL157" s="30" t="n">
        <v>30</v>
      </c>
      <c r="AM157" s="30"/>
      <c r="AN157" s="32" t="e">
        <f aca="false">#REF!</f>
        <v>#REF!</v>
      </c>
      <c r="AO157" s="2" t="str">
        <f aca="false">CONCATENATE(AF157,AG157,AH157,AI157,AJ157)</f>
        <v/>
      </c>
    </row>
    <row r="158" customFormat="false" ht="15" hidden="false" customHeight="true" outlineLevel="0" collapsed="false">
      <c r="A158" s="8" t="n">
        <v>157</v>
      </c>
      <c r="B158" s="20"/>
      <c r="C158" s="33"/>
      <c r="D158" s="34" t="s">
        <v>694</v>
      </c>
      <c r="E158" s="34" t="s">
        <v>68</v>
      </c>
      <c r="F158" s="34"/>
      <c r="G158" s="34" t="s">
        <v>118</v>
      </c>
      <c r="H158" s="35"/>
      <c r="I158" s="36"/>
      <c r="J158" s="34" t="s">
        <v>33</v>
      </c>
      <c r="K158" s="34" t="s">
        <v>69</v>
      </c>
      <c r="L158" s="34" t="s">
        <v>36</v>
      </c>
      <c r="M158" s="34" t="str">
        <f aca="false">CONCATENATE(K158," ",L158)</f>
        <v>ASCAZ HOSPITALARIA</v>
      </c>
      <c r="N158" s="34" t="s">
        <v>102</v>
      </c>
      <c r="O158" s="37" t="s">
        <v>695</v>
      </c>
      <c r="P158" s="37" t="s">
        <v>134</v>
      </c>
      <c r="Q158" s="37" t="s">
        <v>258</v>
      </c>
      <c r="R158" s="34" t="s">
        <v>41</v>
      </c>
      <c r="S158" s="34" t="s">
        <v>696</v>
      </c>
      <c r="T158" s="34" t="s">
        <v>43</v>
      </c>
      <c r="U158" s="35" t="n">
        <v>28485</v>
      </c>
      <c r="V158" s="38" t="n">
        <f aca="false">YEAR($V$1)-YEAR(U158)</f>
        <v>41</v>
      </c>
      <c r="W158" s="34" t="s">
        <v>44</v>
      </c>
      <c r="X158" s="37" t="s">
        <v>697</v>
      </c>
      <c r="Y158" s="34" t="n">
        <v>7</v>
      </c>
      <c r="Z158" s="34" t="s">
        <v>698</v>
      </c>
      <c r="AA158" s="34" t="s">
        <v>46</v>
      </c>
      <c r="AB158" s="34" t="s">
        <v>47</v>
      </c>
      <c r="AC158" s="34" t="n">
        <v>33204</v>
      </c>
      <c r="AD158" s="34" t="n">
        <v>651496685</v>
      </c>
      <c r="AE158" s="39" t="s">
        <v>699</v>
      </c>
      <c r="AF158" s="40" t="s">
        <v>700</v>
      </c>
      <c r="AG158" s="40" t="n">
        <v>2048</v>
      </c>
      <c r="AH158" s="40" t="s">
        <v>701</v>
      </c>
      <c r="AI158" s="40" t="n">
        <v>58</v>
      </c>
      <c r="AJ158" s="40" t="n">
        <v>3000095915</v>
      </c>
      <c r="AK158" s="29"/>
      <c r="AL158" s="33"/>
      <c r="AM158" s="41" t="n">
        <v>10</v>
      </c>
      <c r="AO158" s="2" t="str">
        <f aca="false">CONCATENATE(AF158,AG158,AH158,AI158,AJ158)</f>
        <v>ES2020480117583000095915</v>
      </c>
    </row>
    <row r="159" customFormat="false" ht="15" hidden="false" customHeight="true" outlineLevel="0" collapsed="false">
      <c r="A159" s="8" t="n">
        <v>158</v>
      </c>
      <c r="B159" s="20"/>
      <c r="C159" s="21" t="n">
        <v>54</v>
      </c>
      <c r="D159" s="22"/>
      <c r="E159" s="26"/>
      <c r="F159" s="26"/>
      <c r="G159" s="26"/>
      <c r="H159" s="42"/>
      <c r="I159" s="26"/>
      <c r="J159" s="26"/>
      <c r="K159" s="26"/>
      <c r="L159" s="26"/>
      <c r="M159" s="26"/>
      <c r="N159" s="26"/>
      <c r="O159" s="43"/>
      <c r="P159" s="43"/>
      <c r="Q159" s="43"/>
      <c r="R159" s="26"/>
      <c r="S159" s="26"/>
      <c r="T159" s="26"/>
      <c r="U159" s="42"/>
      <c r="V159" s="26"/>
      <c r="W159" s="26"/>
      <c r="X159" s="43"/>
      <c r="Y159" s="26"/>
      <c r="Z159" s="26"/>
      <c r="AA159" s="26"/>
      <c r="AB159" s="26"/>
      <c r="AC159" s="26"/>
      <c r="AD159" s="26"/>
      <c r="AE159" s="44"/>
      <c r="AF159" s="28"/>
      <c r="AG159" s="28"/>
      <c r="AH159" s="28"/>
      <c r="AI159" s="28"/>
      <c r="AJ159" s="28"/>
      <c r="AK159" s="29"/>
      <c r="AL159" s="30" t="n">
        <v>30</v>
      </c>
      <c r="AM159" s="30"/>
      <c r="AN159" s="32" t="e">
        <f aca="false">#REF!</f>
        <v>#REF!</v>
      </c>
      <c r="AO159" s="2" t="str">
        <f aca="false">CONCATENATE(AF159,AG159,AH159,AI159,AJ159)</f>
        <v/>
      </c>
    </row>
    <row r="160" customFormat="false" ht="15" hidden="false" customHeight="true" outlineLevel="0" collapsed="false">
      <c r="A160" s="8" t="n">
        <v>159</v>
      </c>
      <c r="B160" s="20"/>
      <c r="C160" s="33"/>
      <c r="D160" s="34" t="s">
        <v>702</v>
      </c>
      <c r="E160" s="34" t="s">
        <v>68</v>
      </c>
      <c r="F160" s="34"/>
      <c r="G160" s="34" t="s">
        <v>118</v>
      </c>
      <c r="H160" s="35"/>
      <c r="I160" s="36"/>
      <c r="J160" s="34" t="s">
        <v>33</v>
      </c>
      <c r="K160" s="34" t="s">
        <v>69</v>
      </c>
      <c r="L160" s="34" t="s">
        <v>36</v>
      </c>
      <c r="M160" s="34" t="str">
        <f aca="false">CONCATENATE(K160," ",L160)</f>
        <v>ASCAZ HOSPITALARIA</v>
      </c>
      <c r="N160" s="34" t="s">
        <v>37</v>
      </c>
      <c r="O160" s="37" t="s">
        <v>703</v>
      </c>
      <c r="P160" s="37" t="s">
        <v>243</v>
      </c>
      <c r="Q160" s="37" t="s">
        <v>704</v>
      </c>
      <c r="R160" s="34" t="s">
        <v>41</v>
      </c>
      <c r="S160" s="34" t="s">
        <v>705</v>
      </c>
      <c r="T160" s="34" t="s">
        <v>59</v>
      </c>
      <c r="U160" s="35" t="n">
        <v>20908</v>
      </c>
      <c r="V160" s="38" t="n">
        <f aca="false">YEAR($V$1)-YEAR(U160)</f>
        <v>61</v>
      </c>
      <c r="W160" s="34" t="s">
        <v>44</v>
      </c>
      <c r="X160" s="37" t="s">
        <v>245</v>
      </c>
      <c r="Y160" s="34" t="n">
        <v>12</v>
      </c>
      <c r="Z160" s="34" t="s">
        <v>246</v>
      </c>
      <c r="AA160" s="34" t="s">
        <v>46</v>
      </c>
      <c r="AB160" s="34" t="s">
        <v>47</v>
      </c>
      <c r="AC160" s="34" t="n">
        <v>33212</v>
      </c>
      <c r="AD160" s="34" t="n">
        <v>625028284</v>
      </c>
      <c r="AE160" s="39" t="s">
        <v>247</v>
      </c>
      <c r="AF160" s="50" t="s">
        <v>706</v>
      </c>
      <c r="AG160" s="40" t="n">
        <v>2100</v>
      </c>
      <c r="AH160" s="40" t="n">
        <v>5471</v>
      </c>
      <c r="AI160" s="40" t="n">
        <v>50</v>
      </c>
      <c r="AJ160" s="40" t="s">
        <v>707</v>
      </c>
      <c r="AK160" s="29"/>
      <c r="AL160" s="33"/>
      <c r="AM160" s="41" t="n">
        <v>10</v>
      </c>
      <c r="AO160" s="2" t="str">
        <f aca="false">CONCATENATE(AF160,AG160,AH160,AI160,AJ160)</f>
        <v>ES4221005471500100195469</v>
      </c>
    </row>
    <row r="161" customFormat="false" ht="15" hidden="false" customHeight="true" outlineLevel="0" collapsed="false">
      <c r="A161" s="8" t="n">
        <v>160</v>
      </c>
      <c r="B161" s="20"/>
      <c r="C161" s="21" t="n">
        <v>55</v>
      </c>
      <c r="D161" s="22"/>
      <c r="E161" s="26"/>
      <c r="F161" s="26"/>
      <c r="G161" s="26"/>
      <c r="H161" s="42"/>
      <c r="I161" s="26"/>
      <c r="J161" s="26"/>
      <c r="K161" s="26"/>
      <c r="L161" s="26"/>
      <c r="M161" s="26"/>
      <c r="N161" s="26"/>
      <c r="O161" s="43"/>
      <c r="P161" s="43"/>
      <c r="Q161" s="43"/>
      <c r="R161" s="26"/>
      <c r="S161" s="26"/>
      <c r="T161" s="26"/>
      <c r="U161" s="42"/>
      <c r="V161" s="26"/>
      <c r="W161" s="26"/>
      <c r="X161" s="43"/>
      <c r="Y161" s="26"/>
      <c r="Z161" s="26"/>
      <c r="AA161" s="26"/>
      <c r="AB161" s="26"/>
      <c r="AC161" s="26"/>
      <c r="AD161" s="26"/>
      <c r="AE161" s="44"/>
      <c r="AF161" s="28"/>
      <c r="AG161" s="28"/>
      <c r="AH161" s="28"/>
      <c r="AI161" s="28"/>
      <c r="AJ161" s="28"/>
      <c r="AK161" s="29"/>
      <c r="AL161" s="30" t="n">
        <v>30</v>
      </c>
      <c r="AM161" s="30"/>
      <c r="AN161" s="32" t="e">
        <f aca="false">#REF!</f>
        <v>#REF!</v>
      </c>
      <c r="AO161" s="2" t="str">
        <f aca="false">CONCATENATE(AF161,AG161,AH161,AI161,AJ161)</f>
        <v/>
      </c>
    </row>
    <row r="162" customFormat="false" ht="15" hidden="false" customHeight="true" outlineLevel="0" collapsed="false">
      <c r="A162" s="8" t="n">
        <v>161</v>
      </c>
      <c r="B162" s="20"/>
      <c r="C162" s="33"/>
      <c r="D162" s="34" t="s">
        <v>708</v>
      </c>
      <c r="E162" s="34" t="s">
        <v>68</v>
      </c>
      <c r="F162" s="34" t="s">
        <v>652</v>
      </c>
      <c r="G162" s="34" t="s">
        <v>118</v>
      </c>
      <c r="H162" s="35"/>
      <c r="I162" s="36"/>
      <c r="J162" s="34" t="s">
        <v>33</v>
      </c>
      <c r="K162" s="34" t="s">
        <v>69</v>
      </c>
      <c r="L162" s="34" t="s">
        <v>36</v>
      </c>
      <c r="M162" s="34" t="str">
        <f aca="false">CONCATENATE(K162," ",L162)</f>
        <v>ASCAZ HOSPITALARIA</v>
      </c>
      <c r="N162" s="34" t="s">
        <v>102</v>
      </c>
      <c r="O162" s="37" t="s">
        <v>709</v>
      </c>
      <c r="P162" s="37" t="s">
        <v>710</v>
      </c>
      <c r="Q162" s="37" t="s">
        <v>200</v>
      </c>
      <c r="R162" s="34" t="s">
        <v>41</v>
      </c>
      <c r="S162" s="34" t="s">
        <v>711</v>
      </c>
      <c r="T162" s="34" t="s">
        <v>59</v>
      </c>
      <c r="U162" s="35" t="n">
        <v>25510</v>
      </c>
      <c r="V162" s="38" t="n">
        <f aca="false">YEAR($V$1)-YEAR(U162)</f>
        <v>49</v>
      </c>
      <c r="W162" s="34" t="s">
        <v>44</v>
      </c>
      <c r="X162" s="37" t="s">
        <v>712</v>
      </c>
      <c r="Y162" s="34" t="n">
        <v>7</v>
      </c>
      <c r="Z162" s="34" t="s">
        <v>405</v>
      </c>
      <c r="AA162" s="34" t="s">
        <v>46</v>
      </c>
      <c r="AB162" s="34" t="s">
        <v>47</v>
      </c>
      <c r="AC162" s="34" t="n">
        <v>33210</v>
      </c>
      <c r="AD162" s="34" t="n">
        <v>635321505</v>
      </c>
      <c r="AE162" s="39" t="s">
        <v>713</v>
      </c>
      <c r="AF162" s="40" t="s">
        <v>714</v>
      </c>
      <c r="AG162" s="40" t="n">
        <v>1465</v>
      </c>
      <c r="AH162" s="40" t="s">
        <v>715</v>
      </c>
      <c r="AI162" s="40" t="n">
        <v>82</v>
      </c>
      <c r="AJ162" s="40" t="n">
        <v>1711893678</v>
      </c>
      <c r="AK162" s="29"/>
      <c r="AL162" s="33"/>
      <c r="AM162" s="41" t="n">
        <v>10</v>
      </c>
      <c r="AO162" s="2" t="str">
        <f aca="false">CONCATENATE(AF162,AG162,AH162,AI162,AJ162)</f>
        <v>ES3714650330821711893678</v>
      </c>
    </row>
    <row r="163" customFormat="false" ht="15" hidden="false" customHeight="true" outlineLevel="0" collapsed="false">
      <c r="A163" s="8" t="n">
        <v>162</v>
      </c>
      <c r="B163" s="20"/>
      <c r="C163" s="33"/>
      <c r="D163" s="34" t="s">
        <v>716</v>
      </c>
      <c r="E163" s="34" t="s">
        <v>68</v>
      </c>
      <c r="F163" s="34" t="s">
        <v>652</v>
      </c>
      <c r="G163" s="34" t="s">
        <v>118</v>
      </c>
      <c r="H163" s="35"/>
      <c r="I163" s="36"/>
      <c r="J163" s="34" t="s">
        <v>33</v>
      </c>
      <c r="K163" s="34" t="s">
        <v>69</v>
      </c>
      <c r="L163" s="34" t="s">
        <v>36</v>
      </c>
      <c r="M163" s="34" t="str">
        <f aca="false">CONCATENATE(K163," ",L163)</f>
        <v>ASCAZ HOSPITALARIA</v>
      </c>
      <c r="N163" s="34" t="s">
        <v>54</v>
      </c>
      <c r="O163" s="37" t="s">
        <v>717</v>
      </c>
      <c r="P163" s="37" t="s">
        <v>718</v>
      </c>
      <c r="Q163" s="37" t="s">
        <v>380</v>
      </c>
      <c r="R163" s="34" t="s">
        <v>41</v>
      </c>
      <c r="S163" s="34" t="s">
        <v>719</v>
      </c>
      <c r="T163" s="34" t="s">
        <v>43</v>
      </c>
      <c r="U163" s="35" t="n">
        <v>26666</v>
      </c>
      <c r="V163" s="38" t="n">
        <f aca="false">YEAR($V$1)-YEAR(U163)</f>
        <v>45</v>
      </c>
      <c r="W163" s="34"/>
      <c r="X163" s="37"/>
      <c r="Y163" s="34"/>
      <c r="Z163" s="34"/>
      <c r="AA163" s="34"/>
      <c r="AB163" s="34"/>
      <c r="AC163" s="34"/>
      <c r="AD163" s="34" t="n">
        <v>684632501</v>
      </c>
      <c r="AE163" s="39" t="s">
        <v>720</v>
      </c>
      <c r="AF163" s="40"/>
      <c r="AG163" s="40"/>
      <c r="AH163" s="40"/>
      <c r="AI163" s="40"/>
      <c r="AJ163" s="40"/>
      <c r="AK163" s="29"/>
      <c r="AL163" s="33"/>
      <c r="AM163" s="41" t="n">
        <v>10</v>
      </c>
      <c r="AO163" s="2" t="str">
        <f aca="false">CONCATENATE(AF163,AG163,AH163,AI163,AJ163)</f>
        <v/>
      </c>
    </row>
    <row r="164" customFormat="false" ht="15" hidden="false" customHeight="true" outlineLevel="0" collapsed="false">
      <c r="A164" s="8" t="n">
        <v>163</v>
      </c>
      <c r="B164" s="20"/>
      <c r="D164" s="34" t="s">
        <v>721</v>
      </c>
      <c r="E164" s="34" t="s">
        <v>68</v>
      </c>
      <c r="F164" s="34" t="s">
        <v>652</v>
      </c>
      <c r="G164" s="34" t="s">
        <v>118</v>
      </c>
      <c r="I164" s="36"/>
      <c r="J164" s="34" t="s">
        <v>33</v>
      </c>
      <c r="K164" s="34" t="s">
        <v>69</v>
      </c>
      <c r="L164" s="34" t="s">
        <v>36</v>
      </c>
      <c r="M164" s="34" t="str">
        <f aca="false">CONCATENATE(K164," ",L164)</f>
        <v>ASCAZ HOSPITALARIA</v>
      </c>
      <c r="N164" s="34" t="s">
        <v>62</v>
      </c>
      <c r="O164" s="4" t="s">
        <v>722</v>
      </c>
      <c r="P164" s="37" t="s">
        <v>718</v>
      </c>
      <c r="Q164" s="37" t="s">
        <v>710</v>
      </c>
      <c r="R164" s="34" t="s">
        <v>41</v>
      </c>
      <c r="S164" s="34" t="s">
        <v>723</v>
      </c>
      <c r="T164" s="34" t="s">
        <v>59</v>
      </c>
      <c r="U164" s="3" t="n">
        <v>36463</v>
      </c>
      <c r="V164" s="38" t="n">
        <f aca="false">YEAR($V$1)-YEAR(U164)</f>
        <v>19</v>
      </c>
      <c r="X164" s="2"/>
      <c r="AE164" s="51"/>
      <c r="AF164" s="52"/>
      <c r="AG164" s="52"/>
      <c r="AH164" s="52"/>
      <c r="AI164" s="52"/>
      <c r="AJ164" s="52"/>
      <c r="AK164" s="29"/>
      <c r="AM164" s="41" t="n">
        <v>10</v>
      </c>
      <c r="AO164" s="2" t="str">
        <f aca="false">CONCATENATE(AF164,AG164,AH164,AI164,AJ164)</f>
        <v/>
      </c>
    </row>
    <row r="165" customFormat="false" ht="15" hidden="false" customHeight="true" outlineLevel="0" collapsed="false">
      <c r="A165" s="8" t="n">
        <v>164</v>
      </c>
      <c r="B165" s="20"/>
      <c r="C165" s="21" t="n">
        <v>56</v>
      </c>
      <c r="D165" s="22"/>
      <c r="E165" s="26"/>
      <c r="F165" s="26"/>
      <c r="G165" s="26"/>
      <c r="H165" s="42"/>
      <c r="I165" s="26"/>
      <c r="J165" s="26"/>
      <c r="K165" s="26"/>
      <c r="L165" s="26"/>
      <c r="M165" s="26"/>
      <c r="N165" s="26"/>
      <c r="O165" s="43"/>
      <c r="P165" s="43"/>
      <c r="Q165" s="43"/>
      <c r="R165" s="26"/>
      <c r="S165" s="26"/>
      <c r="T165" s="26"/>
      <c r="U165" s="42"/>
      <c r="V165" s="26"/>
      <c r="W165" s="26"/>
      <c r="X165" s="43"/>
      <c r="Y165" s="26"/>
      <c r="Z165" s="26"/>
      <c r="AA165" s="26"/>
      <c r="AB165" s="26"/>
      <c r="AC165" s="26"/>
      <c r="AD165" s="26"/>
      <c r="AE165" s="44"/>
      <c r="AF165" s="28"/>
      <c r="AG165" s="28"/>
      <c r="AH165" s="28"/>
      <c r="AI165" s="28"/>
      <c r="AJ165" s="28"/>
      <c r="AK165" s="29"/>
      <c r="AL165" s="30" t="n">
        <v>0</v>
      </c>
      <c r="AM165" s="30"/>
      <c r="AN165" s="32" t="e">
        <f aca="false">#REF!</f>
        <v>#REF!</v>
      </c>
      <c r="AO165" s="2" t="str">
        <f aca="false">CONCATENATE(AF165,AG165,AH165,AI165,AJ165)</f>
        <v/>
      </c>
    </row>
    <row r="166" customFormat="false" ht="15" hidden="false" customHeight="true" outlineLevel="0" collapsed="false">
      <c r="A166" s="8" t="n">
        <v>165</v>
      </c>
      <c r="B166" s="20"/>
      <c r="C166" s="33"/>
      <c r="D166" s="34" t="s">
        <v>724</v>
      </c>
      <c r="E166" s="34" t="s">
        <v>68</v>
      </c>
      <c r="F166" s="34" t="s">
        <v>588</v>
      </c>
      <c r="G166" s="34" t="s">
        <v>34</v>
      </c>
      <c r="H166" s="35"/>
      <c r="I166" s="36"/>
      <c r="J166" s="34" t="s">
        <v>33</v>
      </c>
      <c r="K166" s="34" t="s">
        <v>69</v>
      </c>
      <c r="L166" s="34" t="s">
        <v>36</v>
      </c>
      <c r="M166" s="34" t="str">
        <f aca="false">CONCATENATE(K166," ",L166)</f>
        <v>ASCAZ HOSPITALARIA</v>
      </c>
      <c r="N166" s="34" t="s">
        <v>102</v>
      </c>
      <c r="O166" s="37" t="s">
        <v>725</v>
      </c>
      <c r="P166" s="37" t="s">
        <v>56</v>
      </c>
      <c r="Q166" s="37" t="s">
        <v>726</v>
      </c>
      <c r="R166" s="34" t="s">
        <v>41</v>
      </c>
      <c r="S166" s="34" t="s">
        <v>727</v>
      </c>
      <c r="T166" s="34" t="s">
        <v>43</v>
      </c>
      <c r="U166" s="35" t="n">
        <v>19865</v>
      </c>
      <c r="V166" s="38" t="n">
        <f aca="false">YEAR($V$1)-YEAR(U166)</f>
        <v>64</v>
      </c>
      <c r="W166" s="34" t="s">
        <v>728</v>
      </c>
      <c r="X166" s="37" t="s">
        <v>729</v>
      </c>
      <c r="Y166" s="34" t="n">
        <v>137</v>
      </c>
      <c r="Z166" s="34" t="s">
        <v>730</v>
      </c>
      <c r="AA166" s="34" t="s">
        <v>46</v>
      </c>
      <c r="AB166" s="34" t="s">
        <v>47</v>
      </c>
      <c r="AC166" s="34" t="n">
        <v>33203</v>
      </c>
      <c r="AD166" s="34" t="n">
        <v>684612693</v>
      </c>
      <c r="AE166" s="39" t="s">
        <v>731</v>
      </c>
      <c r="AF166" s="40" t="s">
        <v>732</v>
      </c>
      <c r="AG166" s="40" t="s">
        <v>128</v>
      </c>
      <c r="AH166" s="40" t="n">
        <v>7300</v>
      </c>
      <c r="AI166" s="40" t="n">
        <v>98</v>
      </c>
      <c r="AJ166" s="40" t="s">
        <v>733</v>
      </c>
      <c r="AK166" s="29"/>
      <c r="AL166" s="33"/>
      <c r="AM166" s="41" t="n">
        <v>10</v>
      </c>
      <c r="AO166" s="2" t="str">
        <f aca="false">CONCATENATE(AF166,AG166,AH166,AI166,AJ166)</f>
        <v>ES7900817300980001006704</v>
      </c>
    </row>
    <row r="167" customFormat="false" ht="15" hidden="false" customHeight="true" outlineLevel="0" collapsed="false">
      <c r="A167" s="8" t="n">
        <v>166</v>
      </c>
      <c r="B167" s="20"/>
      <c r="C167" s="33"/>
      <c r="D167" s="34" t="s">
        <v>734</v>
      </c>
      <c r="E167" s="34" t="s">
        <v>68</v>
      </c>
      <c r="F167" s="34" t="s">
        <v>588</v>
      </c>
      <c r="G167" s="34" t="s">
        <v>34</v>
      </c>
      <c r="H167" s="35"/>
      <c r="I167" s="36"/>
      <c r="J167" s="34" t="s">
        <v>33</v>
      </c>
      <c r="K167" s="34" t="s">
        <v>69</v>
      </c>
      <c r="L167" s="34" t="s">
        <v>36</v>
      </c>
      <c r="M167" s="34" t="str">
        <f aca="false">CONCATENATE(K167," ",L167)</f>
        <v>ASCAZ HOSPITALARIA</v>
      </c>
      <c r="N167" s="34" t="s">
        <v>54</v>
      </c>
      <c r="O167" s="37" t="s">
        <v>735</v>
      </c>
      <c r="P167" s="37" t="s">
        <v>57</v>
      </c>
      <c r="Q167" s="37" t="s">
        <v>736</v>
      </c>
      <c r="R167" s="34" t="s">
        <v>41</v>
      </c>
      <c r="S167" s="34" t="s">
        <v>737</v>
      </c>
      <c r="T167" s="34" t="s">
        <v>59</v>
      </c>
      <c r="U167" s="35" t="n">
        <v>19496</v>
      </c>
      <c r="V167" s="38" t="n">
        <f aca="false">YEAR($V$1)-YEAR(U167)</f>
        <v>65</v>
      </c>
      <c r="W167" s="34"/>
      <c r="X167" s="37"/>
      <c r="Y167" s="34"/>
      <c r="Z167" s="34"/>
      <c r="AA167" s="34"/>
      <c r="AB167" s="34"/>
      <c r="AC167" s="34"/>
      <c r="AD167" s="34" t="n">
        <v>675059555</v>
      </c>
      <c r="AE167" s="39" t="s">
        <v>738</v>
      </c>
      <c r="AF167" s="40"/>
      <c r="AG167" s="40"/>
      <c r="AH167" s="40"/>
      <c r="AI167" s="40"/>
      <c r="AJ167" s="40"/>
      <c r="AK167" s="29"/>
      <c r="AL167" s="33"/>
      <c r="AM167" s="41" t="n">
        <v>10</v>
      </c>
      <c r="AO167" s="2" t="str">
        <f aca="false">CONCATENATE(AF167,AG167,AH167,AI167,AJ167)</f>
        <v/>
      </c>
    </row>
    <row r="168" customFormat="false" ht="15" hidden="false" customHeight="true" outlineLevel="0" collapsed="false">
      <c r="A168" s="8" t="n">
        <v>167</v>
      </c>
      <c r="B168" s="20"/>
      <c r="C168" s="21" t="n">
        <v>57</v>
      </c>
      <c r="D168" s="22"/>
      <c r="E168" s="26"/>
      <c r="F168" s="26"/>
      <c r="G168" s="26"/>
      <c r="H168" s="42"/>
      <c r="I168" s="26"/>
      <c r="J168" s="26"/>
      <c r="K168" s="26"/>
      <c r="L168" s="26"/>
      <c r="M168" s="26"/>
      <c r="N168" s="26"/>
      <c r="O168" s="43"/>
      <c r="P168" s="43"/>
      <c r="Q168" s="43"/>
      <c r="R168" s="26"/>
      <c r="S168" s="26"/>
      <c r="T168" s="26"/>
      <c r="U168" s="42"/>
      <c r="V168" s="26"/>
      <c r="W168" s="26"/>
      <c r="X168" s="43"/>
      <c r="Y168" s="26"/>
      <c r="Z168" s="26"/>
      <c r="AA168" s="26"/>
      <c r="AB168" s="26"/>
      <c r="AC168" s="26"/>
      <c r="AD168" s="26"/>
      <c r="AE168" s="44"/>
      <c r="AF168" s="28"/>
      <c r="AG168" s="28"/>
      <c r="AH168" s="28"/>
      <c r="AI168" s="28"/>
      <c r="AJ168" s="28"/>
      <c r="AK168" s="29"/>
      <c r="AL168" s="30" t="n">
        <v>0</v>
      </c>
      <c r="AM168" s="30"/>
      <c r="AN168" s="32" t="e">
        <f aca="false">#REF!</f>
        <v>#REF!</v>
      </c>
      <c r="AO168" s="2" t="str">
        <f aca="false">CONCATENATE(AF168,AG168,AH168,AI168,AJ168)</f>
        <v/>
      </c>
    </row>
    <row r="169" customFormat="false" ht="15" hidden="false" customHeight="true" outlineLevel="0" collapsed="false">
      <c r="A169" s="8" t="n">
        <v>168</v>
      </c>
      <c r="B169" s="20"/>
      <c r="C169" s="33"/>
      <c r="D169" s="34" t="s">
        <v>739</v>
      </c>
      <c r="E169" s="34" t="s">
        <v>68</v>
      </c>
      <c r="F169" s="34"/>
      <c r="G169" s="34" t="s">
        <v>34</v>
      </c>
      <c r="H169" s="35"/>
      <c r="I169" s="36"/>
      <c r="J169" s="34" t="s">
        <v>33</v>
      </c>
      <c r="K169" s="34" t="s">
        <v>69</v>
      </c>
      <c r="L169" s="34" t="s">
        <v>36</v>
      </c>
      <c r="M169" s="34" t="str">
        <f aca="false">CONCATENATE(K169," ",L169)</f>
        <v>ASCAZ HOSPITALARIA</v>
      </c>
      <c r="N169" s="34" t="s">
        <v>102</v>
      </c>
      <c r="O169" s="37" t="s">
        <v>740</v>
      </c>
      <c r="P169" s="37" t="s">
        <v>134</v>
      </c>
      <c r="Q169" s="37" t="s">
        <v>134</v>
      </c>
      <c r="R169" s="34" t="s">
        <v>41</v>
      </c>
      <c r="S169" s="34" t="s">
        <v>741</v>
      </c>
      <c r="T169" s="34" t="s">
        <v>43</v>
      </c>
      <c r="U169" s="35" t="n">
        <v>28669</v>
      </c>
      <c r="V169" s="38" t="n">
        <f aca="false">YEAR($V$1)-YEAR(U169)</f>
        <v>40</v>
      </c>
      <c r="W169" s="34" t="s">
        <v>44</v>
      </c>
      <c r="X169" s="37" t="s">
        <v>742</v>
      </c>
      <c r="Y169" s="34" t="n">
        <v>5</v>
      </c>
      <c r="Z169" s="34" t="s">
        <v>743</v>
      </c>
      <c r="AA169" s="34" t="s">
        <v>46</v>
      </c>
      <c r="AB169" s="34" t="s">
        <v>300</v>
      </c>
      <c r="AC169" s="34" t="n">
        <v>33011</v>
      </c>
      <c r="AD169" s="34"/>
      <c r="AE169" s="39" t="s">
        <v>744</v>
      </c>
      <c r="AF169" s="40" t="s">
        <v>745</v>
      </c>
      <c r="AG169" s="40" t="s">
        <v>128</v>
      </c>
      <c r="AH169" s="40" t="n">
        <v>5386</v>
      </c>
      <c r="AI169" s="40" t="s">
        <v>746</v>
      </c>
      <c r="AJ169" s="40" t="s">
        <v>747</v>
      </c>
      <c r="AK169" s="29"/>
      <c r="AL169" s="33"/>
      <c r="AM169" s="41" t="n">
        <v>10</v>
      </c>
      <c r="AO169" s="2" t="str">
        <f aca="false">CONCATENATE(AF169,AG169,AH169,AI169,AJ169)</f>
        <v>ES0400815386000001061511</v>
      </c>
    </row>
    <row r="170" customFormat="false" ht="15" hidden="false" customHeight="true" outlineLevel="0" collapsed="false">
      <c r="A170" s="8" t="n">
        <v>169</v>
      </c>
      <c r="B170" s="20"/>
      <c r="C170" s="33"/>
      <c r="D170" s="34" t="s">
        <v>748</v>
      </c>
      <c r="E170" s="34" t="s">
        <v>68</v>
      </c>
      <c r="F170" s="34"/>
      <c r="G170" s="34" t="s">
        <v>34</v>
      </c>
      <c r="H170" s="35"/>
      <c r="I170" s="36"/>
      <c r="J170" s="34" t="s">
        <v>33</v>
      </c>
      <c r="K170" s="34" t="s">
        <v>69</v>
      </c>
      <c r="L170" s="34" t="s">
        <v>36</v>
      </c>
      <c r="M170" s="34" t="str">
        <f aca="false">CONCATENATE(K170," ",L170)</f>
        <v>ASCAZ HOSPITALARIA</v>
      </c>
      <c r="N170" s="34" t="s">
        <v>54</v>
      </c>
      <c r="O170" s="37" t="s">
        <v>749</v>
      </c>
      <c r="P170" s="37" t="s">
        <v>750</v>
      </c>
      <c r="Q170" s="37" t="s">
        <v>751</v>
      </c>
      <c r="R170" s="34" t="s">
        <v>41</v>
      </c>
      <c r="S170" s="34" t="s">
        <v>752</v>
      </c>
      <c r="T170" s="34" t="s">
        <v>59</v>
      </c>
      <c r="U170" s="35" t="n">
        <v>28697</v>
      </c>
      <c r="V170" s="38" t="n">
        <f aca="false">YEAR($V$1)-YEAR(U170)</f>
        <v>40</v>
      </c>
      <c r="W170" s="34"/>
      <c r="X170" s="37"/>
      <c r="Y170" s="34"/>
      <c r="Z170" s="34"/>
      <c r="AA170" s="34"/>
      <c r="AB170" s="34"/>
      <c r="AC170" s="34"/>
      <c r="AD170" s="34"/>
      <c r="AE170" s="39" t="s">
        <v>753</v>
      </c>
      <c r="AF170" s="40"/>
      <c r="AG170" s="40"/>
      <c r="AH170" s="40"/>
      <c r="AI170" s="40"/>
      <c r="AJ170" s="40"/>
      <c r="AK170" s="29"/>
      <c r="AL170" s="33"/>
      <c r="AM170" s="41" t="n">
        <v>10</v>
      </c>
      <c r="AO170" s="2" t="str">
        <f aca="false">CONCATENATE(AF170,AG170,AH170,AI170,AJ170)</f>
        <v/>
      </c>
    </row>
    <row r="171" customFormat="false" ht="15" hidden="false" customHeight="true" outlineLevel="0" collapsed="false">
      <c r="A171" s="8" t="n">
        <v>170</v>
      </c>
      <c r="B171" s="20"/>
      <c r="C171" s="33"/>
      <c r="D171" s="34" t="s">
        <v>754</v>
      </c>
      <c r="E171" s="34" t="s">
        <v>68</v>
      </c>
      <c r="F171" s="34"/>
      <c r="G171" s="34" t="s">
        <v>34</v>
      </c>
      <c r="H171" s="35"/>
      <c r="I171" s="36"/>
      <c r="J171" s="34" t="s">
        <v>33</v>
      </c>
      <c r="K171" s="34" t="s">
        <v>69</v>
      </c>
      <c r="L171" s="34" t="s">
        <v>36</v>
      </c>
      <c r="M171" s="34" t="str">
        <f aca="false">CONCATENATE(K171," ",L171)</f>
        <v>ASCAZ HOSPITALARIA</v>
      </c>
      <c r="N171" s="34" t="s">
        <v>62</v>
      </c>
      <c r="O171" s="37" t="s">
        <v>315</v>
      </c>
      <c r="P171" s="37" t="s">
        <v>134</v>
      </c>
      <c r="Q171" s="37" t="s">
        <v>750</v>
      </c>
      <c r="R171" s="34" t="s">
        <v>41</v>
      </c>
      <c r="S171" s="34"/>
      <c r="T171" s="34" t="s">
        <v>43</v>
      </c>
      <c r="U171" s="35" t="n">
        <v>40372</v>
      </c>
      <c r="V171" s="38" t="n">
        <f aca="false">YEAR($V$1)-YEAR(U171)</f>
        <v>8</v>
      </c>
      <c r="W171" s="34"/>
      <c r="X171" s="37"/>
      <c r="Y171" s="34"/>
      <c r="Z171" s="34"/>
      <c r="AA171" s="34"/>
      <c r="AB171" s="34"/>
      <c r="AC171" s="34"/>
      <c r="AD171" s="34"/>
      <c r="AE171" s="39"/>
      <c r="AF171" s="40"/>
      <c r="AG171" s="40"/>
      <c r="AH171" s="40"/>
      <c r="AI171" s="40"/>
      <c r="AJ171" s="40"/>
      <c r="AK171" s="29"/>
      <c r="AL171" s="33"/>
      <c r="AM171" s="41" t="n">
        <v>10</v>
      </c>
      <c r="AO171" s="2" t="str">
        <f aca="false">CONCATENATE(AF171,AG171,AH171,AI171,AJ171)</f>
        <v/>
      </c>
    </row>
    <row r="172" customFormat="false" ht="15" hidden="false" customHeight="true" outlineLevel="0" collapsed="false">
      <c r="A172" s="8" t="n">
        <v>171</v>
      </c>
      <c r="B172" s="20"/>
      <c r="C172" s="21" t="n">
        <v>58</v>
      </c>
      <c r="D172" s="22"/>
      <c r="E172" s="26"/>
      <c r="F172" s="26"/>
      <c r="G172" s="26"/>
      <c r="H172" s="42"/>
      <c r="I172" s="26"/>
      <c r="J172" s="26"/>
      <c r="K172" s="26"/>
      <c r="L172" s="26"/>
      <c r="M172" s="26"/>
      <c r="N172" s="26"/>
      <c r="O172" s="43"/>
      <c r="P172" s="43"/>
      <c r="Q172" s="43"/>
      <c r="R172" s="26"/>
      <c r="S172" s="26"/>
      <c r="T172" s="26"/>
      <c r="U172" s="42"/>
      <c r="V172" s="26"/>
      <c r="W172" s="26"/>
      <c r="X172" s="43"/>
      <c r="Y172" s="26"/>
      <c r="Z172" s="26"/>
      <c r="AA172" s="26"/>
      <c r="AB172" s="26"/>
      <c r="AC172" s="26"/>
      <c r="AD172" s="26"/>
      <c r="AE172" s="44"/>
      <c r="AF172" s="28"/>
      <c r="AG172" s="28"/>
      <c r="AH172" s="28"/>
      <c r="AI172" s="28"/>
      <c r="AJ172" s="28"/>
      <c r="AK172" s="29"/>
      <c r="AL172" s="30" t="n">
        <v>0</v>
      </c>
      <c r="AM172" s="30"/>
      <c r="AN172" s="32" t="e">
        <f aca="false">#REF!</f>
        <v>#REF!</v>
      </c>
      <c r="AO172" s="2" t="str">
        <f aca="false">CONCATENATE(AF172,AG172,AH172,AI172,AJ172)</f>
        <v/>
      </c>
    </row>
    <row r="173" customFormat="false" ht="15" hidden="false" customHeight="true" outlineLevel="0" collapsed="false">
      <c r="A173" s="8" t="n">
        <v>172</v>
      </c>
      <c r="B173" s="20"/>
      <c r="C173" s="33"/>
      <c r="D173" s="34" t="s">
        <v>755</v>
      </c>
      <c r="E173" s="34" t="s">
        <v>68</v>
      </c>
      <c r="F173" s="34" t="s">
        <v>756</v>
      </c>
      <c r="G173" s="34" t="s">
        <v>34</v>
      </c>
      <c r="H173" s="35"/>
      <c r="I173" s="36"/>
      <c r="J173" s="34" t="s">
        <v>33</v>
      </c>
      <c r="K173" s="34" t="s">
        <v>69</v>
      </c>
      <c r="L173" s="34" t="s">
        <v>36</v>
      </c>
      <c r="M173" s="34" t="str">
        <f aca="false">CONCATENATE(K173," ",L173)</f>
        <v>ASCAZ HOSPITALARIA</v>
      </c>
      <c r="N173" s="34" t="s">
        <v>102</v>
      </c>
      <c r="O173" s="37" t="s">
        <v>757</v>
      </c>
      <c r="P173" s="37" t="s">
        <v>265</v>
      </c>
      <c r="Q173" s="37" t="s">
        <v>322</v>
      </c>
      <c r="R173" s="34" t="s">
        <v>41</v>
      </c>
      <c r="S173" s="34" t="s">
        <v>758</v>
      </c>
      <c r="T173" s="34" t="s">
        <v>43</v>
      </c>
      <c r="U173" s="35" t="n">
        <v>20836</v>
      </c>
      <c r="V173" s="38" t="n">
        <f aca="false">YEAR($V$1)-YEAR(U173)</f>
        <v>61</v>
      </c>
      <c r="W173" s="34" t="s">
        <v>759</v>
      </c>
      <c r="X173" s="37" t="s">
        <v>760</v>
      </c>
      <c r="Y173" s="34" t="s">
        <v>236</v>
      </c>
      <c r="Z173" s="34"/>
      <c r="AA173" s="34" t="s">
        <v>46</v>
      </c>
      <c r="AB173" s="34" t="s">
        <v>761</v>
      </c>
      <c r="AC173" s="34" t="n">
        <v>33199</v>
      </c>
      <c r="AD173" s="34" t="n">
        <v>606660185</v>
      </c>
      <c r="AE173" s="39" t="s">
        <v>271</v>
      </c>
      <c r="AF173" s="40" t="s">
        <v>683</v>
      </c>
      <c r="AG173" s="40" t="n">
        <v>2048</v>
      </c>
      <c r="AH173" s="40" t="s">
        <v>762</v>
      </c>
      <c r="AI173" s="40" t="s">
        <v>763</v>
      </c>
      <c r="AJ173" s="40" t="n">
        <v>3000059709</v>
      </c>
      <c r="AK173" s="29"/>
      <c r="AL173" s="33"/>
      <c r="AM173" s="41" t="n">
        <v>10</v>
      </c>
      <c r="AO173" s="2" t="str">
        <f aca="false">CONCATENATE(AF173,AG173,AH173,AI173,AJ173)</f>
        <v>ES2820480120053000059709</v>
      </c>
    </row>
    <row r="174" customFormat="false" ht="15" hidden="false" customHeight="true" outlineLevel="0" collapsed="false">
      <c r="A174" s="8" t="n">
        <v>173</v>
      </c>
      <c r="B174" s="20"/>
      <c r="C174" s="33"/>
      <c r="D174" s="34" t="s">
        <v>764</v>
      </c>
      <c r="E174" s="34" t="s">
        <v>68</v>
      </c>
      <c r="F174" s="34" t="s">
        <v>756</v>
      </c>
      <c r="G174" s="34" t="s">
        <v>34</v>
      </c>
      <c r="H174" s="35"/>
      <c r="I174" s="36"/>
      <c r="J174" s="34" t="s">
        <v>33</v>
      </c>
      <c r="K174" s="34" t="s">
        <v>69</v>
      </c>
      <c r="L174" s="34" t="s">
        <v>36</v>
      </c>
      <c r="M174" s="34" t="str">
        <f aca="false">CONCATENATE(K174," ",L174)</f>
        <v>ASCAZ HOSPITALARIA</v>
      </c>
      <c r="N174" s="34" t="s">
        <v>54</v>
      </c>
      <c r="O174" s="37" t="s">
        <v>765</v>
      </c>
      <c r="P174" s="37" t="s">
        <v>766</v>
      </c>
      <c r="Q174" s="37" t="s">
        <v>380</v>
      </c>
      <c r="R174" s="34"/>
      <c r="S174" s="34" t="s">
        <v>767</v>
      </c>
      <c r="T174" s="34" t="s">
        <v>59</v>
      </c>
      <c r="U174" s="35" t="n">
        <v>21083</v>
      </c>
      <c r="V174" s="38" t="n">
        <f aca="false">YEAR($V$1)-YEAR(U174)</f>
        <v>61</v>
      </c>
      <c r="W174" s="34"/>
      <c r="X174" s="37"/>
      <c r="Y174" s="34"/>
      <c r="Z174" s="34"/>
      <c r="AA174" s="34"/>
      <c r="AB174" s="34"/>
      <c r="AC174" s="34"/>
      <c r="AD174" s="34"/>
      <c r="AE174" s="39"/>
      <c r="AF174" s="40"/>
      <c r="AG174" s="40"/>
      <c r="AH174" s="40"/>
      <c r="AI174" s="40"/>
      <c r="AJ174" s="40"/>
      <c r="AK174" s="29"/>
      <c r="AL174" s="33"/>
      <c r="AM174" s="41" t="n">
        <v>10</v>
      </c>
      <c r="AO174" s="2" t="str">
        <f aca="false">CONCATENATE(AF174,AG174,AH174,AI174,AJ174)</f>
        <v/>
      </c>
    </row>
    <row r="175" customFormat="false" ht="15" hidden="false" customHeight="true" outlineLevel="0" collapsed="false">
      <c r="A175" s="8" t="n">
        <v>174</v>
      </c>
      <c r="B175" s="20"/>
      <c r="C175" s="21" t="n">
        <v>59</v>
      </c>
      <c r="D175" s="22"/>
      <c r="E175" s="26"/>
      <c r="F175" s="26"/>
      <c r="G175" s="26"/>
      <c r="H175" s="42"/>
      <c r="I175" s="26"/>
      <c r="J175" s="26"/>
      <c r="K175" s="26"/>
      <c r="L175" s="26"/>
      <c r="M175" s="26"/>
      <c r="N175" s="26"/>
      <c r="O175" s="43"/>
      <c r="P175" s="43"/>
      <c r="Q175" s="43"/>
      <c r="R175" s="26"/>
      <c r="S175" s="26"/>
      <c r="T175" s="26"/>
      <c r="U175" s="42"/>
      <c r="V175" s="26"/>
      <c r="W175" s="26"/>
      <c r="X175" s="43"/>
      <c r="Y175" s="26"/>
      <c r="Z175" s="26"/>
      <c r="AA175" s="26"/>
      <c r="AB175" s="26"/>
      <c r="AC175" s="26"/>
      <c r="AD175" s="26"/>
      <c r="AE175" s="44"/>
      <c r="AF175" s="28"/>
      <c r="AG175" s="28"/>
      <c r="AH175" s="28"/>
      <c r="AI175" s="28"/>
      <c r="AJ175" s="28"/>
      <c r="AK175" s="29"/>
      <c r="AL175" s="30" t="n">
        <v>30</v>
      </c>
      <c r="AM175" s="30"/>
      <c r="AN175" s="32" t="e">
        <f aca="false">#REF!</f>
        <v>#REF!</v>
      </c>
      <c r="AO175" s="2" t="str">
        <f aca="false">CONCATENATE(AF175,AG175,AH175,AI175,AJ175)</f>
        <v/>
      </c>
    </row>
    <row r="176" customFormat="false" ht="15" hidden="false" customHeight="true" outlineLevel="0" collapsed="false">
      <c r="A176" s="8" t="n">
        <v>175</v>
      </c>
      <c r="B176" s="20"/>
      <c r="C176" s="33"/>
      <c r="D176" s="34" t="s">
        <v>768</v>
      </c>
      <c r="E176" s="34" t="s">
        <v>68</v>
      </c>
      <c r="F176" s="34" t="s">
        <v>630</v>
      </c>
      <c r="G176" s="34" t="s">
        <v>118</v>
      </c>
      <c r="H176" s="35"/>
      <c r="I176" s="36"/>
      <c r="J176" s="34" t="s">
        <v>33</v>
      </c>
      <c r="K176" s="34" t="s">
        <v>69</v>
      </c>
      <c r="L176" s="34" t="s">
        <v>36</v>
      </c>
      <c r="M176" s="34" t="str">
        <f aca="false">CONCATENATE(K176," ",L176)</f>
        <v>ASCAZ HOSPITALARIA</v>
      </c>
      <c r="N176" s="34" t="s">
        <v>102</v>
      </c>
      <c r="O176" s="37" t="s">
        <v>769</v>
      </c>
      <c r="P176" s="37" t="s">
        <v>134</v>
      </c>
      <c r="Q176" s="37" t="s">
        <v>134</v>
      </c>
      <c r="R176" s="34" t="s">
        <v>41</v>
      </c>
      <c r="S176" s="34" t="s">
        <v>770</v>
      </c>
      <c r="T176" s="34" t="s">
        <v>59</v>
      </c>
      <c r="U176" s="35" t="n">
        <v>20123</v>
      </c>
      <c r="V176" s="38" t="n">
        <f aca="false">YEAR($V$1)-YEAR(U176)</f>
        <v>63</v>
      </c>
      <c r="W176" s="34" t="s">
        <v>44</v>
      </c>
      <c r="X176" s="37" t="s">
        <v>771</v>
      </c>
      <c r="Y176" s="34" t="n">
        <v>1</v>
      </c>
      <c r="Z176" s="34" t="s">
        <v>405</v>
      </c>
      <c r="AA176" s="34" t="s">
        <v>46</v>
      </c>
      <c r="AB176" s="34" t="s">
        <v>47</v>
      </c>
      <c r="AC176" s="34" t="n">
        <v>33212</v>
      </c>
      <c r="AD176" s="34" t="n">
        <v>985327818</v>
      </c>
      <c r="AE176" s="39" t="s">
        <v>271</v>
      </c>
      <c r="AF176" s="40" t="s">
        <v>772</v>
      </c>
      <c r="AG176" s="40" t="s">
        <v>128</v>
      </c>
      <c r="AH176" s="40" t="n">
        <v>7300</v>
      </c>
      <c r="AI176" s="40" t="n">
        <v>93</v>
      </c>
      <c r="AJ176" s="40" t="s">
        <v>773</v>
      </c>
      <c r="AK176" s="29"/>
      <c r="AL176" s="33"/>
      <c r="AM176" s="41" t="n">
        <v>10</v>
      </c>
      <c r="AO176" s="2" t="str">
        <f aca="false">CONCATENATE(AF176,AG176,AH176,AI176,AJ176)</f>
        <v>ES0200817300930001379845</v>
      </c>
    </row>
    <row r="177" customFormat="false" ht="15" hidden="false" customHeight="true" outlineLevel="0" collapsed="false">
      <c r="A177" s="8" t="n">
        <v>176</v>
      </c>
      <c r="B177" s="20"/>
      <c r="C177" s="33"/>
      <c r="D177" s="34" t="s">
        <v>774</v>
      </c>
      <c r="E177" s="34" t="s">
        <v>68</v>
      </c>
      <c r="F177" s="34" t="s">
        <v>630</v>
      </c>
      <c r="G177" s="34" t="s">
        <v>118</v>
      </c>
      <c r="H177" s="35"/>
      <c r="I177" s="36"/>
      <c r="J177" s="34" t="s">
        <v>33</v>
      </c>
      <c r="K177" s="34" t="s">
        <v>69</v>
      </c>
      <c r="L177" s="34" t="s">
        <v>36</v>
      </c>
      <c r="M177" s="34" t="str">
        <f aca="false">CONCATENATE(K177," ",L177)</f>
        <v>ASCAZ HOSPITALARIA</v>
      </c>
      <c r="N177" s="34" t="s">
        <v>54</v>
      </c>
      <c r="O177" s="37" t="s">
        <v>775</v>
      </c>
      <c r="P177" s="37" t="s">
        <v>274</v>
      </c>
      <c r="Q177" s="37" t="s">
        <v>776</v>
      </c>
      <c r="R177" s="34"/>
      <c r="S177" s="34" t="s">
        <v>777</v>
      </c>
      <c r="T177" s="34" t="s">
        <v>43</v>
      </c>
      <c r="U177" s="35" t="n">
        <v>17551</v>
      </c>
      <c r="V177" s="38" t="n">
        <f aca="false">YEAR($V$1)-YEAR(U177)</f>
        <v>70</v>
      </c>
      <c r="W177" s="34"/>
      <c r="X177" s="37"/>
      <c r="Y177" s="34"/>
      <c r="Z177" s="34"/>
      <c r="AA177" s="34"/>
      <c r="AB177" s="34"/>
      <c r="AC177" s="34"/>
      <c r="AD177" s="34"/>
      <c r="AE177" s="39"/>
      <c r="AF177" s="40"/>
      <c r="AG177" s="40"/>
      <c r="AH177" s="40"/>
      <c r="AI177" s="40"/>
      <c r="AJ177" s="40"/>
      <c r="AK177" s="29"/>
      <c r="AL177" s="33"/>
      <c r="AM177" s="41" t="n">
        <v>10</v>
      </c>
      <c r="AO177" s="2" t="str">
        <f aca="false">CONCATENATE(AF177,AG177,AH177,AI177,AJ177)</f>
        <v/>
      </c>
    </row>
    <row r="178" customFormat="false" ht="15" hidden="false" customHeight="true" outlineLevel="0" collapsed="false">
      <c r="A178" s="8" t="n">
        <v>177</v>
      </c>
      <c r="B178" s="20"/>
      <c r="C178" s="21" t="n">
        <v>60</v>
      </c>
      <c r="D178" s="22"/>
      <c r="E178" s="26"/>
      <c r="F178" s="26"/>
      <c r="G178" s="26"/>
      <c r="H178" s="42"/>
      <c r="I178" s="26"/>
      <c r="J178" s="26"/>
      <c r="K178" s="26"/>
      <c r="L178" s="26"/>
      <c r="M178" s="26"/>
      <c r="N178" s="26"/>
      <c r="O178" s="43"/>
      <c r="P178" s="43"/>
      <c r="Q178" s="43"/>
      <c r="R178" s="26"/>
      <c r="S178" s="26"/>
      <c r="T178" s="26"/>
      <c r="U178" s="42"/>
      <c r="V178" s="26"/>
      <c r="W178" s="26"/>
      <c r="X178" s="43"/>
      <c r="Y178" s="26"/>
      <c r="Z178" s="26"/>
      <c r="AA178" s="26"/>
      <c r="AB178" s="26"/>
      <c r="AC178" s="26"/>
      <c r="AD178" s="26"/>
      <c r="AE178" s="44"/>
      <c r="AF178" s="28"/>
      <c r="AG178" s="28"/>
      <c r="AH178" s="28"/>
      <c r="AI178" s="28"/>
      <c r="AJ178" s="28"/>
      <c r="AK178" s="29"/>
      <c r="AL178" s="30" t="n">
        <v>30</v>
      </c>
      <c r="AM178" s="30"/>
      <c r="AN178" s="32" t="e">
        <f aca="false">#REF!</f>
        <v>#REF!</v>
      </c>
      <c r="AO178" s="2" t="str">
        <f aca="false">CONCATENATE(AF178,AG178,AH178,AI178,AJ178)</f>
        <v/>
      </c>
    </row>
    <row r="179" customFormat="false" ht="15" hidden="false" customHeight="true" outlineLevel="0" collapsed="false">
      <c r="A179" s="8" t="n">
        <v>178</v>
      </c>
      <c r="B179" s="20"/>
      <c r="C179" s="33"/>
      <c r="D179" s="34" t="s">
        <v>778</v>
      </c>
      <c r="E179" s="34" t="s">
        <v>68</v>
      </c>
      <c r="F179" s="34" t="s">
        <v>630</v>
      </c>
      <c r="G179" s="34" t="s">
        <v>118</v>
      </c>
      <c r="H179" s="35"/>
      <c r="I179" s="36"/>
      <c r="J179" s="34" t="s">
        <v>33</v>
      </c>
      <c r="K179" s="34" t="s">
        <v>69</v>
      </c>
      <c r="L179" s="34" t="s">
        <v>36</v>
      </c>
      <c r="M179" s="34" t="str">
        <f aca="false">CONCATENATE(K179," ",L179)</f>
        <v>ASCAZ HOSPITALARIA</v>
      </c>
      <c r="N179" s="34" t="s">
        <v>102</v>
      </c>
      <c r="O179" s="37" t="s">
        <v>779</v>
      </c>
      <c r="P179" s="37" t="s">
        <v>134</v>
      </c>
      <c r="Q179" s="37" t="s">
        <v>134</v>
      </c>
      <c r="R179" s="34" t="s">
        <v>41</v>
      </c>
      <c r="S179" s="34" t="s">
        <v>780</v>
      </c>
      <c r="T179" s="34" t="s">
        <v>59</v>
      </c>
      <c r="U179" s="35" t="n">
        <v>21103</v>
      </c>
      <c r="V179" s="38" t="n">
        <f aca="false">YEAR($V$1)-YEAR(U179)</f>
        <v>61</v>
      </c>
      <c r="W179" s="34" t="s">
        <v>620</v>
      </c>
      <c r="X179" s="37" t="s">
        <v>781</v>
      </c>
      <c r="Y179" s="34" t="n">
        <v>16</v>
      </c>
      <c r="Z179" s="34" t="s">
        <v>782</v>
      </c>
      <c r="AA179" s="34" t="s">
        <v>46</v>
      </c>
      <c r="AB179" s="34" t="s">
        <v>47</v>
      </c>
      <c r="AC179" s="34" t="n">
        <v>33212</v>
      </c>
      <c r="AD179" s="34" t="n">
        <v>619952739</v>
      </c>
      <c r="AE179" s="39" t="s">
        <v>271</v>
      </c>
      <c r="AF179" s="40" t="s">
        <v>637</v>
      </c>
      <c r="AG179" s="40" t="s">
        <v>128</v>
      </c>
      <c r="AH179" s="40" t="n">
        <v>7300</v>
      </c>
      <c r="AI179" s="40" t="n">
        <v>92</v>
      </c>
      <c r="AJ179" s="40" t="s">
        <v>783</v>
      </c>
      <c r="AK179" s="29"/>
      <c r="AL179" s="33"/>
      <c r="AM179" s="41" t="n">
        <v>10</v>
      </c>
      <c r="AO179" s="2" t="str">
        <f aca="false">CONCATENATE(AF179,AG179,AH179,AI179,AJ179)</f>
        <v>ES3300817300920001137418</v>
      </c>
    </row>
    <row r="180" customFormat="false" ht="15" hidden="false" customHeight="true" outlineLevel="0" collapsed="false">
      <c r="A180" s="8" t="n">
        <v>178</v>
      </c>
      <c r="B180" s="20"/>
      <c r="C180" s="33"/>
      <c r="D180" s="34" t="s">
        <v>778</v>
      </c>
      <c r="E180" s="34" t="s">
        <v>68</v>
      </c>
      <c r="F180" s="34" t="s">
        <v>630</v>
      </c>
      <c r="G180" s="35" t="n">
        <v>43130</v>
      </c>
      <c r="H180" s="35"/>
      <c r="I180" s="36"/>
      <c r="J180" s="34" t="s">
        <v>33</v>
      </c>
      <c r="K180" s="34" t="s">
        <v>69</v>
      </c>
      <c r="L180" s="34" t="s">
        <v>36</v>
      </c>
      <c r="M180" s="34" t="str">
        <f aca="false">CONCATENATE(K180," ",L180)</f>
        <v>ASCAZ HOSPITALARIA</v>
      </c>
      <c r="N180" s="34" t="s">
        <v>62</v>
      </c>
      <c r="O180" s="37" t="s">
        <v>784</v>
      </c>
      <c r="P180" s="37" t="s">
        <v>258</v>
      </c>
      <c r="Q180" s="37" t="s">
        <v>134</v>
      </c>
      <c r="R180" s="34" t="s">
        <v>41</v>
      </c>
      <c r="S180" s="34" t="s">
        <v>785</v>
      </c>
      <c r="T180" s="34" t="s">
        <v>59</v>
      </c>
      <c r="U180" s="35" t="n">
        <v>33716</v>
      </c>
      <c r="V180" s="38" t="n">
        <f aca="false">YEAR($V$1)-YEAR(U180)</f>
        <v>26</v>
      </c>
      <c r="W180" s="34"/>
      <c r="X180" s="37"/>
      <c r="Y180" s="34"/>
      <c r="Z180" s="34"/>
      <c r="AA180" s="34"/>
      <c r="AB180" s="34"/>
      <c r="AC180" s="34"/>
      <c r="AD180" s="34"/>
      <c r="AE180" s="39"/>
      <c r="AF180" s="40"/>
      <c r="AG180" s="40"/>
      <c r="AH180" s="40"/>
      <c r="AI180" s="40"/>
      <c r="AJ180" s="40"/>
      <c r="AK180" s="29"/>
      <c r="AL180" s="33"/>
      <c r="AM180" s="41" t="n">
        <v>10</v>
      </c>
      <c r="AO180" s="2" t="str">
        <f aca="false">CONCATENATE(AF180,AG180,AH180,AI180,AJ180)</f>
        <v/>
      </c>
    </row>
    <row r="181" customFormat="false" ht="15" hidden="false" customHeight="true" outlineLevel="0" collapsed="false">
      <c r="A181" s="8" t="n">
        <v>179</v>
      </c>
      <c r="B181" s="20"/>
      <c r="C181" s="21" t="n">
        <v>61</v>
      </c>
      <c r="D181" s="22"/>
      <c r="E181" s="26"/>
      <c r="F181" s="26"/>
      <c r="G181" s="26"/>
      <c r="H181" s="42"/>
      <c r="I181" s="26"/>
      <c r="J181" s="26"/>
      <c r="K181" s="26"/>
      <c r="L181" s="26"/>
      <c r="M181" s="26"/>
      <c r="N181" s="26"/>
      <c r="O181" s="43"/>
      <c r="P181" s="43"/>
      <c r="Q181" s="43"/>
      <c r="R181" s="26"/>
      <c r="S181" s="26"/>
      <c r="T181" s="26"/>
      <c r="U181" s="42"/>
      <c r="V181" s="26"/>
      <c r="W181" s="26"/>
      <c r="X181" s="43"/>
      <c r="Y181" s="26"/>
      <c r="Z181" s="26"/>
      <c r="AA181" s="26"/>
      <c r="AB181" s="26"/>
      <c r="AC181" s="26"/>
      <c r="AD181" s="26"/>
      <c r="AE181" s="44"/>
      <c r="AF181" s="28"/>
      <c r="AG181" s="28"/>
      <c r="AH181" s="28"/>
      <c r="AI181" s="28"/>
      <c r="AJ181" s="28"/>
      <c r="AK181" s="29"/>
      <c r="AL181" s="30" t="n">
        <v>0</v>
      </c>
      <c r="AM181" s="30"/>
      <c r="AN181" s="32" t="e">
        <f aca="false">#REF!</f>
        <v>#REF!</v>
      </c>
      <c r="AO181" s="2" t="str">
        <f aca="false">CONCATENATE(AF181,AG181,AH181,AI181,AJ181)</f>
        <v/>
      </c>
    </row>
    <row r="182" customFormat="false" ht="15" hidden="false" customHeight="true" outlineLevel="0" collapsed="false">
      <c r="A182" s="8" t="n">
        <v>180</v>
      </c>
      <c r="B182" s="20"/>
      <c r="C182" s="33"/>
      <c r="D182" s="34" t="s">
        <v>786</v>
      </c>
      <c r="E182" s="34" t="s">
        <v>68</v>
      </c>
      <c r="F182" s="34" t="s">
        <v>787</v>
      </c>
      <c r="G182" s="34" t="s">
        <v>34</v>
      </c>
      <c r="H182" s="35"/>
      <c r="I182" s="36"/>
      <c r="J182" s="34" t="s">
        <v>33</v>
      </c>
      <c r="K182" s="34" t="s">
        <v>69</v>
      </c>
      <c r="L182" s="34" t="s">
        <v>36</v>
      </c>
      <c r="M182" s="34" t="str">
        <f aca="false">CONCATENATE(K182," ",L182)</f>
        <v>ASCAZ HOSPITALARIA</v>
      </c>
      <c r="N182" s="34" t="s">
        <v>102</v>
      </c>
      <c r="O182" s="37" t="s">
        <v>788</v>
      </c>
      <c r="P182" s="37" t="s">
        <v>40</v>
      </c>
      <c r="Q182" s="37" t="s">
        <v>281</v>
      </c>
      <c r="R182" s="34" t="s">
        <v>41</v>
      </c>
      <c r="S182" s="34" t="s">
        <v>789</v>
      </c>
      <c r="T182" s="34" t="s">
        <v>59</v>
      </c>
      <c r="U182" s="35" t="n">
        <v>28451</v>
      </c>
      <c r="V182" s="38" t="n">
        <f aca="false">YEAR($V$1)-YEAR(U182)</f>
        <v>41</v>
      </c>
      <c r="W182" s="34" t="s">
        <v>790</v>
      </c>
      <c r="X182" s="37" t="s">
        <v>791</v>
      </c>
      <c r="Y182" s="34" t="n">
        <v>19</v>
      </c>
      <c r="Z182" s="34" t="s">
        <v>792</v>
      </c>
      <c r="AA182" s="34" t="s">
        <v>46</v>
      </c>
      <c r="AB182" s="34" t="s">
        <v>47</v>
      </c>
      <c r="AC182" s="34" t="n">
        <v>33210</v>
      </c>
      <c r="AD182" s="34" t="n">
        <v>645495596</v>
      </c>
      <c r="AE182" s="39" t="s">
        <v>793</v>
      </c>
      <c r="AF182" s="40" t="s">
        <v>794</v>
      </c>
      <c r="AG182" s="40" t="s">
        <v>128</v>
      </c>
      <c r="AH182" s="40" t="n">
        <v>5657</v>
      </c>
      <c r="AI182" s="40" t="n">
        <v>48</v>
      </c>
      <c r="AJ182" s="40" t="s">
        <v>795</v>
      </c>
      <c r="AK182" s="29"/>
      <c r="AL182" s="33"/>
      <c r="AM182" s="41" t="n">
        <v>10</v>
      </c>
      <c r="AO182" s="2" t="str">
        <f aca="false">CONCATENATE(AF182,AG182,AH182,AI182,AJ182)</f>
        <v>ES6800815657480006418548</v>
      </c>
    </row>
    <row r="183" s="63" customFormat="true" ht="15" hidden="false" customHeight="true" outlineLevel="0" collapsed="false">
      <c r="A183" s="53" t="n">
        <v>181</v>
      </c>
      <c r="B183" s="54"/>
      <c r="C183" s="55" t="n">
        <v>62</v>
      </c>
      <c r="D183" s="56"/>
      <c r="E183" s="56"/>
      <c r="F183" s="56"/>
      <c r="G183" s="56"/>
      <c r="H183" s="57"/>
      <c r="I183" s="56"/>
      <c r="J183" s="56"/>
      <c r="K183" s="56"/>
      <c r="L183" s="56"/>
      <c r="M183" s="56"/>
      <c r="N183" s="56"/>
      <c r="O183" s="58"/>
      <c r="P183" s="58"/>
      <c r="Q183" s="58"/>
      <c r="R183" s="56"/>
      <c r="S183" s="56"/>
      <c r="T183" s="56"/>
      <c r="U183" s="57"/>
      <c r="V183" s="56"/>
      <c r="W183" s="56"/>
      <c r="X183" s="58"/>
      <c r="Y183" s="56"/>
      <c r="Z183" s="56"/>
      <c r="AA183" s="56"/>
      <c r="AB183" s="56"/>
      <c r="AC183" s="56"/>
      <c r="AD183" s="56"/>
      <c r="AE183" s="56"/>
      <c r="AF183" s="59"/>
      <c r="AG183" s="59"/>
      <c r="AH183" s="59"/>
      <c r="AI183" s="59"/>
      <c r="AJ183" s="59"/>
      <c r="AK183" s="60"/>
      <c r="AL183" s="61"/>
      <c r="AM183" s="61"/>
      <c r="AN183" s="62" t="e">
        <f aca="false">#REF!</f>
        <v>#REF!</v>
      </c>
      <c r="AO183" s="63" t="str">
        <f aca="false">CONCATENATE(AF183,AG183,AH183,AI183,AJ183)</f>
        <v/>
      </c>
      <c r="AMI183" s="0"/>
      <c r="AMJ183" s="0"/>
    </row>
    <row r="184" s="63" customFormat="true" ht="15" hidden="false" customHeight="true" outlineLevel="0" collapsed="false">
      <c r="A184" s="53" t="n">
        <v>182</v>
      </c>
      <c r="B184" s="54"/>
      <c r="C184" s="64"/>
      <c r="D184" s="39" t="s">
        <v>796</v>
      </c>
      <c r="E184" s="39" t="s">
        <v>68</v>
      </c>
      <c r="F184" s="39" t="s">
        <v>668</v>
      </c>
      <c r="G184" s="39" t="s">
        <v>118</v>
      </c>
      <c r="H184" s="65"/>
      <c r="I184" s="66" t="n">
        <v>0</v>
      </c>
      <c r="J184" s="39" t="s">
        <v>68</v>
      </c>
      <c r="K184" s="39"/>
      <c r="L184" s="39"/>
      <c r="M184" s="39" t="str">
        <f aca="false">CONCATENATE(K184," ",L184)</f>
        <v> </v>
      </c>
      <c r="N184" s="39" t="s">
        <v>102</v>
      </c>
      <c r="O184" s="67" t="s">
        <v>797</v>
      </c>
      <c r="P184" s="67" t="s">
        <v>798</v>
      </c>
      <c r="Q184" s="67" t="s">
        <v>799</v>
      </c>
      <c r="R184" s="39" t="s">
        <v>41</v>
      </c>
      <c r="S184" s="39" t="s">
        <v>800</v>
      </c>
      <c r="T184" s="39" t="s">
        <v>43</v>
      </c>
      <c r="U184" s="65" t="n">
        <v>20317</v>
      </c>
      <c r="V184" s="68" t="n">
        <f aca="false">YEAR($V$1)-YEAR(U184)</f>
        <v>63</v>
      </c>
      <c r="W184" s="39" t="s">
        <v>44</v>
      </c>
      <c r="X184" s="67" t="s">
        <v>801</v>
      </c>
      <c r="Y184" s="39" t="n">
        <v>17</v>
      </c>
      <c r="Z184" s="39" t="s">
        <v>802</v>
      </c>
      <c r="AA184" s="39" t="s">
        <v>46</v>
      </c>
      <c r="AB184" s="39" t="s">
        <v>47</v>
      </c>
      <c r="AC184" s="39" t="n">
        <v>33212</v>
      </c>
      <c r="AD184" s="39" t="n">
        <v>675600832</v>
      </c>
      <c r="AE184" s="39" t="s">
        <v>803</v>
      </c>
      <c r="AF184" s="69" t="s">
        <v>804</v>
      </c>
      <c r="AG184" s="69" t="n">
        <v>2048</v>
      </c>
      <c r="AH184" s="69" t="s">
        <v>805</v>
      </c>
      <c r="AI184" s="69" t="n">
        <v>38</v>
      </c>
      <c r="AJ184" s="69" t="n">
        <v>3000128004</v>
      </c>
      <c r="AK184" s="70"/>
      <c r="AL184" s="64"/>
      <c r="AM184" s="71"/>
      <c r="AN184" s="72"/>
      <c r="AO184" s="63" t="str">
        <f aca="false">CONCATENATE(AF184,AG184,AH184,AI184,AJ184)</f>
        <v>ES6420480028383000128004</v>
      </c>
      <c r="AMI184" s="0"/>
      <c r="AMJ184" s="0"/>
    </row>
    <row r="185" customFormat="false" ht="15" hidden="false" customHeight="true" outlineLevel="0" collapsed="false">
      <c r="A185" s="8" t="n">
        <v>183</v>
      </c>
      <c r="B185" s="20"/>
      <c r="C185" s="21" t="n">
        <v>63</v>
      </c>
      <c r="D185" s="22"/>
      <c r="E185" s="26"/>
      <c r="F185" s="26"/>
      <c r="G185" s="26"/>
      <c r="H185" s="42"/>
      <c r="I185" s="26"/>
      <c r="J185" s="26"/>
      <c r="K185" s="26"/>
      <c r="L185" s="26"/>
      <c r="M185" s="26"/>
      <c r="N185" s="26"/>
      <c r="O185" s="43"/>
      <c r="P185" s="43"/>
      <c r="Q185" s="43"/>
      <c r="R185" s="26"/>
      <c r="S185" s="26"/>
      <c r="T185" s="26"/>
      <c r="U185" s="42"/>
      <c r="V185" s="26"/>
      <c r="W185" s="26"/>
      <c r="X185" s="43"/>
      <c r="Y185" s="26"/>
      <c r="Z185" s="26"/>
      <c r="AA185" s="26"/>
      <c r="AB185" s="26"/>
      <c r="AC185" s="26"/>
      <c r="AD185" s="26"/>
      <c r="AE185" s="44"/>
      <c r="AF185" s="28"/>
      <c r="AG185" s="28"/>
      <c r="AH185" s="28"/>
      <c r="AI185" s="28"/>
      <c r="AJ185" s="28"/>
      <c r="AK185" s="29"/>
      <c r="AL185" s="30" t="n">
        <v>0</v>
      </c>
      <c r="AM185" s="30"/>
      <c r="AN185" s="32" t="e">
        <f aca="false">#REF!</f>
        <v>#REF!</v>
      </c>
      <c r="AO185" s="2" t="str">
        <f aca="false">CONCATENATE(AF185,AG185,AH185,AI185,AJ185)</f>
        <v/>
      </c>
    </row>
    <row r="186" customFormat="false" ht="15" hidden="false" customHeight="true" outlineLevel="0" collapsed="false">
      <c r="A186" s="8" t="n">
        <v>184</v>
      </c>
      <c r="B186" s="20"/>
      <c r="C186" s="33"/>
      <c r="D186" s="34" t="s">
        <v>806</v>
      </c>
      <c r="E186" s="34" t="s">
        <v>68</v>
      </c>
      <c r="F186" s="34" t="s">
        <v>588</v>
      </c>
      <c r="G186" s="34" t="s">
        <v>34</v>
      </c>
      <c r="H186" s="35"/>
      <c r="I186" s="36"/>
      <c r="J186" s="34" t="s">
        <v>33</v>
      </c>
      <c r="K186" s="34" t="s">
        <v>69</v>
      </c>
      <c r="L186" s="34" t="s">
        <v>36</v>
      </c>
      <c r="M186" s="34" t="str">
        <f aca="false">CONCATENATE(K186," ",L186)</f>
        <v>ASCAZ HOSPITALARIA</v>
      </c>
      <c r="N186" s="34" t="s">
        <v>102</v>
      </c>
      <c r="O186" s="37" t="s">
        <v>807</v>
      </c>
      <c r="P186" s="37" t="s">
        <v>190</v>
      </c>
      <c r="Q186" s="37" t="s">
        <v>322</v>
      </c>
      <c r="R186" s="34" t="s">
        <v>41</v>
      </c>
      <c r="S186" s="34" t="s">
        <v>808</v>
      </c>
      <c r="T186" s="34" t="s">
        <v>59</v>
      </c>
      <c r="U186" s="35" t="n">
        <v>29865</v>
      </c>
      <c r="V186" s="38" t="n">
        <f aca="false">YEAR($V$1)-YEAR(U186)</f>
        <v>37</v>
      </c>
      <c r="W186" s="34" t="s">
        <v>44</v>
      </c>
      <c r="X186" s="37" t="s">
        <v>809</v>
      </c>
      <c r="Y186" s="34" t="n">
        <v>16</v>
      </c>
      <c r="Z186" s="34" t="s">
        <v>810</v>
      </c>
      <c r="AA186" s="34" t="s">
        <v>46</v>
      </c>
      <c r="AB186" s="34" t="s">
        <v>47</v>
      </c>
      <c r="AC186" s="34" t="n">
        <v>33213</v>
      </c>
      <c r="AD186" s="34" t="n">
        <v>699674596</v>
      </c>
      <c r="AE186" s="39" t="s">
        <v>811</v>
      </c>
      <c r="AF186" s="40" t="s">
        <v>812</v>
      </c>
      <c r="AG186" s="40" t="n">
        <v>2048</v>
      </c>
      <c r="AH186" s="40" t="s">
        <v>180</v>
      </c>
      <c r="AI186" s="40" t="n">
        <v>66</v>
      </c>
      <c r="AJ186" s="40" t="n">
        <v>3001125283</v>
      </c>
      <c r="AK186" s="29"/>
      <c r="AL186" s="33"/>
      <c r="AM186" s="41" t="n">
        <v>10</v>
      </c>
      <c r="AO186" s="2" t="str">
        <f aca="false">CONCATENATE(AF186,AG186,AH186,AI186,AJ186)</f>
        <v>ES5620480003663001125283</v>
      </c>
    </row>
    <row r="187" customFormat="false" ht="15" hidden="false" customHeight="true" outlineLevel="0" collapsed="false">
      <c r="A187" s="8" t="n">
        <v>185</v>
      </c>
      <c r="B187" s="20"/>
      <c r="C187" s="21" t="n">
        <v>64</v>
      </c>
      <c r="D187" s="22"/>
      <c r="E187" s="26"/>
      <c r="F187" s="26"/>
      <c r="G187" s="26"/>
      <c r="H187" s="42"/>
      <c r="I187" s="26"/>
      <c r="J187" s="26"/>
      <c r="K187" s="26"/>
      <c r="L187" s="26"/>
      <c r="M187" s="26"/>
      <c r="N187" s="26"/>
      <c r="O187" s="43"/>
      <c r="P187" s="43"/>
      <c r="Q187" s="43"/>
      <c r="R187" s="26"/>
      <c r="S187" s="26"/>
      <c r="T187" s="26"/>
      <c r="U187" s="42"/>
      <c r="V187" s="26"/>
      <c r="W187" s="26"/>
      <c r="X187" s="43"/>
      <c r="Y187" s="26"/>
      <c r="Z187" s="26"/>
      <c r="AA187" s="26"/>
      <c r="AB187" s="26"/>
      <c r="AC187" s="26"/>
      <c r="AD187" s="26"/>
      <c r="AE187" s="44"/>
      <c r="AF187" s="28"/>
      <c r="AG187" s="28"/>
      <c r="AH187" s="28"/>
      <c r="AI187" s="28"/>
      <c r="AJ187" s="28"/>
      <c r="AK187" s="29"/>
      <c r="AL187" s="30" t="n">
        <v>0</v>
      </c>
      <c r="AM187" s="30"/>
      <c r="AN187" s="32" t="e">
        <f aca="false">#REF!</f>
        <v>#REF!</v>
      </c>
      <c r="AO187" s="2" t="str">
        <f aca="false">CONCATENATE(AF187,AG187,AH187,AI187,AJ187)</f>
        <v/>
      </c>
    </row>
    <row r="188" customFormat="false" ht="15" hidden="false" customHeight="true" outlineLevel="0" collapsed="false">
      <c r="A188" s="8" t="n">
        <v>186</v>
      </c>
      <c r="B188" s="20"/>
      <c r="C188" s="33"/>
      <c r="D188" s="34" t="s">
        <v>813</v>
      </c>
      <c r="E188" s="34" t="s">
        <v>33</v>
      </c>
      <c r="F188" s="34" t="s">
        <v>2</v>
      </c>
      <c r="G188" s="34" t="s">
        <v>814</v>
      </c>
      <c r="H188" s="35"/>
      <c r="I188" s="36"/>
      <c r="J188" s="34" t="s">
        <v>68</v>
      </c>
      <c r="K188" s="34"/>
      <c r="L188" s="34"/>
      <c r="M188" s="26"/>
      <c r="N188" s="34" t="s">
        <v>102</v>
      </c>
      <c r="O188" s="37" t="s">
        <v>815</v>
      </c>
      <c r="P188" s="37" t="s">
        <v>380</v>
      </c>
      <c r="Q188" s="37" t="s">
        <v>401</v>
      </c>
      <c r="R188" s="34" t="s">
        <v>41</v>
      </c>
      <c r="S188" s="34" t="s">
        <v>816</v>
      </c>
      <c r="T188" s="34" t="s">
        <v>43</v>
      </c>
      <c r="U188" s="35" t="n">
        <v>28157</v>
      </c>
      <c r="V188" s="38" t="n">
        <f aca="false">YEAR($V$1)-YEAR(U188)</f>
        <v>41</v>
      </c>
      <c r="W188" s="34" t="s">
        <v>44</v>
      </c>
      <c r="X188" s="37" t="s">
        <v>817</v>
      </c>
      <c r="Y188" s="34" t="s">
        <v>818</v>
      </c>
      <c r="Z188" s="34" t="s">
        <v>819</v>
      </c>
      <c r="AA188" s="34" t="s">
        <v>46</v>
      </c>
      <c r="AB188" s="34" t="s">
        <v>47</v>
      </c>
      <c r="AC188" s="34" t="s">
        <v>820</v>
      </c>
      <c r="AD188" s="34" t="n">
        <v>655118621</v>
      </c>
      <c r="AE188" s="39" t="s">
        <v>821</v>
      </c>
      <c r="AF188" s="40" t="s">
        <v>822</v>
      </c>
      <c r="AG188" s="40" t="s">
        <v>649</v>
      </c>
      <c r="AH188" s="40" t="s">
        <v>823</v>
      </c>
      <c r="AI188" s="40" t="s">
        <v>181</v>
      </c>
      <c r="AJ188" s="40" t="s">
        <v>824</v>
      </c>
      <c r="AK188" s="29"/>
      <c r="AL188" s="33"/>
      <c r="AM188" s="41" t="n">
        <v>10</v>
      </c>
      <c r="AO188" s="2" t="str">
        <f aca="false">CONCATENATE(AF188,AG188,AH188,AI188,AJ188)</f>
        <v>ES9401820602190208556745</v>
      </c>
    </row>
    <row r="189" customFormat="false" ht="15" hidden="false" customHeight="true" outlineLevel="0" collapsed="false">
      <c r="A189" s="8" t="n">
        <v>187</v>
      </c>
      <c r="B189" s="20"/>
      <c r="C189" s="21" t="n">
        <v>65</v>
      </c>
      <c r="D189" s="22"/>
      <c r="E189" s="26"/>
      <c r="F189" s="26"/>
      <c r="G189" s="26"/>
      <c r="H189" s="42"/>
      <c r="I189" s="26"/>
      <c r="J189" s="26"/>
      <c r="K189" s="26"/>
      <c r="L189" s="26"/>
      <c r="M189" s="26"/>
      <c r="N189" s="26"/>
      <c r="O189" s="43"/>
      <c r="P189" s="43"/>
      <c r="Q189" s="43"/>
      <c r="R189" s="26"/>
      <c r="S189" s="26"/>
      <c r="T189" s="26"/>
      <c r="U189" s="42"/>
      <c r="V189" s="26"/>
      <c r="W189" s="26"/>
      <c r="X189" s="43"/>
      <c r="Y189" s="26"/>
      <c r="Z189" s="26"/>
      <c r="AA189" s="26"/>
      <c r="AB189" s="26"/>
      <c r="AC189" s="26"/>
      <c r="AD189" s="26"/>
      <c r="AE189" s="44"/>
      <c r="AF189" s="28"/>
      <c r="AG189" s="28"/>
      <c r="AH189" s="28"/>
      <c r="AI189" s="28"/>
      <c r="AJ189" s="28"/>
      <c r="AK189" s="29"/>
      <c r="AL189" s="30" t="n">
        <v>30</v>
      </c>
      <c r="AM189" s="30"/>
      <c r="AN189" s="32" t="e">
        <f aca="false">#REF!</f>
        <v>#REF!</v>
      </c>
      <c r="AO189" s="2" t="str">
        <f aca="false">CONCATENATE(AF189,AG189,AH189,AI189,AJ189)</f>
        <v/>
      </c>
    </row>
    <row r="190" customFormat="false" ht="15" hidden="false" customHeight="true" outlineLevel="0" collapsed="false">
      <c r="A190" s="8" t="n">
        <v>188</v>
      </c>
      <c r="B190" s="20"/>
      <c r="C190" s="33"/>
      <c r="D190" s="34" t="s">
        <v>825</v>
      </c>
      <c r="E190" s="34" t="s">
        <v>68</v>
      </c>
      <c r="F190" s="34"/>
      <c r="G190" s="34" t="s">
        <v>118</v>
      </c>
      <c r="H190" s="35"/>
      <c r="I190" s="36"/>
      <c r="J190" s="34" t="s">
        <v>33</v>
      </c>
      <c r="K190" s="34" t="s">
        <v>69</v>
      </c>
      <c r="L190" s="34" t="s">
        <v>36</v>
      </c>
      <c r="M190" s="34" t="str">
        <f aca="false">CONCATENATE(K190," ",L190)</f>
        <v>ASCAZ HOSPITALARIA</v>
      </c>
      <c r="N190" s="34" t="s">
        <v>102</v>
      </c>
      <c r="O190" s="37" t="s">
        <v>826</v>
      </c>
      <c r="P190" s="37" t="s">
        <v>322</v>
      </c>
      <c r="Q190" s="37" t="s">
        <v>307</v>
      </c>
      <c r="R190" s="34" t="s">
        <v>41</v>
      </c>
      <c r="S190" s="34" t="s">
        <v>827</v>
      </c>
      <c r="T190" s="34" t="s">
        <v>59</v>
      </c>
      <c r="U190" s="35" t="n">
        <v>26477</v>
      </c>
      <c r="V190" s="38" t="n">
        <f aca="false">YEAR($V$1)-YEAR(U190)</f>
        <v>46</v>
      </c>
      <c r="W190" s="34" t="s">
        <v>44</v>
      </c>
      <c r="X190" s="37" t="s">
        <v>828</v>
      </c>
      <c r="Y190" s="34" t="n">
        <v>4</v>
      </c>
      <c r="Z190" s="34" t="s">
        <v>405</v>
      </c>
      <c r="AA190" s="34" t="s">
        <v>46</v>
      </c>
      <c r="AB190" s="34" t="s">
        <v>300</v>
      </c>
      <c r="AC190" s="34" t="n">
        <v>33011</v>
      </c>
      <c r="AD190" s="34" t="n">
        <v>669330115</v>
      </c>
      <c r="AE190" s="39" t="s">
        <v>829</v>
      </c>
      <c r="AF190" s="40" t="s">
        <v>830</v>
      </c>
      <c r="AG190" s="40" t="n">
        <v>2085</v>
      </c>
      <c r="AH190" s="40" t="n">
        <v>8147</v>
      </c>
      <c r="AI190" s="40" t="s">
        <v>831</v>
      </c>
      <c r="AJ190" s="40" t="s">
        <v>832</v>
      </c>
      <c r="AK190" s="29"/>
      <c r="AL190" s="33"/>
      <c r="AM190" s="41" t="n">
        <v>10</v>
      </c>
      <c r="AO190" s="2" t="str">
        <f aca="false">CONCATENATE(AF190,AG190,AH190,AI190,AJ190)</f>
        <v>ES7320858147060330276607</v>
      </c>
    </row>
    <row r="191" customFormat="false" ht="15" hidden="false" customHeight="true" outlineLevel="0" collapsed="false">
      <c r="A191" s="8" t="n">
        <v>189</v>
      </c>
      <c r="B191" s="20"/>
      <c r="C191" s="21" t="n">
        <v>66</v>
      </c>
      <c r="D191" s="22"/>
      <c r="E191" s="26"/>
      <c r="F191" s="26"/>
      <c r="G191" s="26"/>
      <c r="H191" s="42"/>
      <c r="I191" s="26"/>
      <c r="J191" s="26"/>
      <c r="K191" s="26"/>
      <c r="L191" s="26"/>
      <c r="M191" s="26"/>
      <c r="N191" s="26"/>
      <c r="O191" s="43"/>
      <c r="P191" s="43"/>
      <c r="Q191" s="43"/>
      <c r="R191" s="26"/>
      <c r="S191" s="26"/>
      <c r="T191" s="26"/>
      <c r="U191" s="42"/>
      <c r="V191" s="26"/>
      <c r="W191" s="26"/>
      <c r="X191" s="43"/>
      <c r="Y191" s="26"/>
      <c r="Z191" s="26"/>
      <c r="AA191" s="26"/>
      <c r="AB191" s="26"/>
      <c r="AC191" s="26"/>
      <c r="AD191" s="26"/>
      <c r="AE191" s="44"/>
      <c r="AF191" s="28"/>
      <c r="AG191" s="28"/>
      <c r="AH191" s="28"/>
      <c r="AI191" s="28"/>
      <c r="AJ191" s="28"/>
      <c r="AK191" s="29"/>
      <c r="AL191" s="30" t="n">
        <v>30</v>
      </c>
      <c r="AM191" s="30"/>
      <c r="AN191" s="32" t="e">
        <f aca="false">#REF!</f>
        <v>#REF!</v>
      </c>
      <c r="AO191" s="2" t="str">
        <f aca="false">CONCATENATE(AF191,AG191,AH191,AI191,AJ191)</f>
        <v/>
      </c>
    </row>
    <row r="192" customFormat="false" ht="15" hidden="false" customHeight="true" outlineLevel="0" collapsed="false">
      <c r="A192" s="8" t="n">
        <v>190</v>
      </c>
      <c r="B192" s="20"/>
      <c r="C192" s="33"/>
      <c r="D192" s="34" t="s">
        <v>833</v>
      </c>
      <c r="E192" s="34" t="s">
        <v>68</v>
      </c>
      <c r="F192" s="34"/>
      <c r="G192" s="34" t="s">
        <v>118</v>
      </c>
      <c r="H192" s="35"/>
      <c r="I192" s="36"/>
      <c r="J192" s="34" t="s">
        <v>33</v>
      </c>
      <c r="K192" s="34" t="s">
        <v>69</v>
      </c>
      <c r="L192" s="34" t="s">
        <v>36</v>
      </c>
      <c r="M192" s="34" t="str">
        <f aca="false">CONCATENATE(K192," ",L192)</f>
        <v>ASCAZ HOSPITALARIA</v>
      </c>
      <c r="N192" s="34" t="s">
        <v>102</v>
      </c>
      <c r="O192" s="37" t="s">
        <v>834</v>
      </c>
      <c r="P192" s="37" t="s">
        <v>322</v>
      </c>
      <c r="Q192" s="37" t="s">
        <v>200</v>
      </c>
      <c r="R192" s="34" t="s">
        <v>41</v>
      </c>
      <c r="S192" s="34" t="s">
        <v>835</v>
      </c>
      <c r="T192" s="34" t="s">
        <v>43</v>
      </c>
      <c r="U192" s="35" t="n">
        <v>14400</v>
      </c>
      <c r="V192" s="38" t="n">
        <f aca="false">YEAR($V$1)-YEAR(U192)</f>
        <v>79</v>
      </c>
      <c r="W192" s="34" t="s">
        <v>44</v>
      </c>
      <c r="X192" s="37" t="s">
        <v>828</v>
      </c>
      <c r="Y192" s="34" t="n">
        <v>4</v>
      </c>
      <c r="Z192" s="34" t="s">
        <v>405</v>
      </c>
      <c r="AA192" s="34" t="s">
        <v>46</v>
      </c>
      <c r="AB192" s="34" t="s">
        <v>300</v>
      </c>
      <c r="AC192" s="34" t="n">
        <v>33011</v>
      </c>
      <c r="AD192" s="34" t="n">
        <v>660323924</v>
      </c>
      <c r="AE192" s="39" t="s">
        <v>829</v>
      </c>
      <c r="AF192" s="40" t="s">
        <v>836</v>
      </c>
      <c r="AG192" s="40" t="n">
        <v>2048</v>
      </c>
      <c r="AH192" s="40" t="s">
        <v>837</v>
      </c>
      <c r="AI192" s="40" t="n">
        <v>50</v>
      </c>
      <c r="AJ192" s="40" t="n">
        <v>3000165383</v>
      </c>
      <c r="AK192" s="29"/>
      <c r="AL192" s="33"/>
      <c r="AM192" s="41" t="n">
        <v>10</v>
      </c>
      <c r="AO192" s="2" t="str">
        <f aca="false">CONCATENATE(AF192,AG192,AH192,AI192,AJ192)</f>
        <v>ES5520480077503000165383</v>
      </c>
    </row>
    <row r="193" customFormat="false" ht="15" hidden="false" customHeight="true" outlineLevel="0" collapsed="false">
      <c r="A193" s="8" t="n">
        <v>191</v>
      </c>
      <c r="B193" s="20"/>
      <c r="C193" s="21" t="n">
        <v>67</v>
      </c>
      <c r="D193" s="22"/>
      <c r="E193" s="26"/>
      <c r="F193" s="26"/>
      <c r="G193" s="26"/>
      <c r="H193" s="42"/>
      <c r="I193" s="26"/>
      <c r="J193" s="26"/>
      <c r="K193" s="26"/>
      <c r="L193" s="26"/>
      <c r="M193" s="26"/>
      <c r="N193" s="26"/>
      <c r="O193" s="43"/>
      <c r="P193" s="43"/>
      <c r="Q193" s="43"/>
      <c r="R193" s="26"/>
      <c r="S193" s="26"/>
      <c r="T193" s="26"/>
      <c r="U193" s="42"/>
      <c r="V193" s="26"/>
      <c r="W193" s="26"/>
      <c r="X193" s="43"/>
      <c r="Y193" s="26"/>
      <c r="Z193" s="26"/>
      <c r="AA193" s="26"/>
      <c r="AB193" s="26"/>
      <c r="AC193" s="26"/>
      <c r="AD193" s="26"/>
      <c r="AE193" s="44"/>
      <c r="AF193" s="28"/>
      <c r="AG193" s="28"/>
      <c r="AH193" s="28"/>
      <c r="AI193" s="28"/>
      <c r="AJ193" s="28"/>
      <c r="AK193" s="29"/>
      <c r="AL193" s="30" t="n">
        <v>30</v>
      </c>
      <c r="AM193" s="30"/>
      <c r="AN193" s="32" t="e">
        <f aca="false">#REF!</f>
        <v>#REF!</v>
      </c>
      <c r="AO193" s="2" t="str">
        <f aca="false">CONCATENATE(AF193,AG193,AH193,AI193,AJ193)</f>
        <v/>
      </c>
    </row>
    <row r="194" customFormat="false" ht="15" hidden="false" customHeight="true" outlineLevel="0" collapsed="false">
      <c r="A194" s="8" t="n">
        <v>192</v>
      </c>
      <c r="B194" s="20"/>
      <c r="C194" s="33"/>
      <c r="D194" s="34" t="s">
        <v>838</v>
      </c>
      <c r="E194" s="34" t="s">
        <v>68</v>
      </c>
      <c r="F194" s="34"/>
      <c r="G194" s="34" t="s">
        <v>118</v>
      </c>
      <c r="H194" s="35"/>
      <c r="I194" s="36"/>
      <c r="J194" s="34" t="s">
        <v>33</v>
      </c>
      <c r="K194" s="34" t="s">
        <v>69</v>
      </c>
      <c r="L194" s="34" t="s">
        <v>36</v>
      </c>
      <c r="M194" s="34" t="str">
        <f aca="false">CONCATENATE(K194," ",L194)</f>
        <v>ASCAZ HOSPITALARIA</v>
      </c>
      <c r="N194" s="34" t="s">
        <v>102</v>
      </c>
      <c r="O194" s="37" t="s">
        <v>839</v>
      </c>
      <c r="P194" s="37" t="s">
        <v>322</v>
      </c>
      <c r="Q194" s="37" t="s">
        <v>307</v>
      </c>
      <c r="R194" s="34" t="s">
        <v>41</v>
      </c>
      <c r="S194" s="34" t="s">
        <v>840</v>
      </c>
      <c r="T194" s="34" t="s">
        <v>59</v>
      </c>
      <c r="U194" s="35" t="n">
        <v>28336</v>
      </c>
      <c r="V194" s="38" t="n">
        <f aca="false">YEAR($V$1)-YEAR(U194)</f>
        <v>41</v>
      </c>
      <c r="W194" s="34" t="s">
        <v>44</v>
      </c>
      <c r="X194" s="37" t="s">
        <v>828</v>
      </c>
      <c r="Y194" s="34" t="n">
        <v>29</v>
      </c>
      <c r="Z194" s="34" t="s">
        <v>841</v>
      </c>
      <c r="AA194" s="34" t="s">
        <v>46</v>
      </c>
      <c r="AB194" s="34" t="s">
        <v>300</v>
      </c>
      <c r="AC194" s="34" t="n">
        <v>33011</v>
      </c>
      <c r="AD194" s="34" t="n">
        <v>659842182</v>
      </c>
      <c r="AE194" s="39" t="s">
        <v>842</v>
      </c>
      <c r="AF194" s="40" t="s">
        <v>843</v>
      </c>
      <c r="AG194" s="40" t="s">
        <v>110</v>
      </c>
      <c r="AH194" s="40" t="n">
        <v>3709</v>
      </c>
      <c r="AI194" s="40" t="n">
        <v>28</v>
      </c>
      <c r="AJ194" s="40" t="n">
        <v>2195558854</v>
      </c>
      <c r="AK194" s="29"/>
      <c r="AL194" s="33"/>
      <c r="AM194" s="41" t="n">
        <v>10</v>
      </c>
      <c r="AO194" s="2" t="str">
        <f aca="false">CONCATENATE(AF194,AG194,AH194,AI194,AJ194)</f>
        <v>ES4600493709282195558854</v>
      </c>
      <c r="AR194" s="73" t="s">
        <v>844</v>
      </c>
    </row>
    <row r="195" customFormat="false" ht="15" hidden="false" customHeight="true" outlineLevel="0" collapsed="false">
      <c r="A195" s="8" t="n">
        <v>193</v>
      </c>
      <c r="B195" s="20"/>
      <c r="C195" s="21" t="n">
        <v>68</v>
      </c>
      <c r="D195" s="22"/>
      <c r="E195" s="26"/>
      <c r="F195" s="26"/>
      <c r="G195" s="26"/>
      <c r="H195" s="42"/>
      <c r="I195" s="26"/>
      <c r="J195" s="26"/>
      <c r="K195" s="26"/>
      <c r="L195" s="26"/>
      <c r="M195" s="26"/>
      <c r="N195" s="26"/>
      <c r="O195" s="43"/>
      <c r="P195" s="43"/>
      <c r="Q195" s="43"/>
      <c r="R195" s="26"/>
      <c r="S195" s="26"/>
      <c r="T195" s="26"/>
      <c r="U195" s="42"/>
      <c r="V195" s="26"/>
      <c r="W195" s="26"/>
      <c r="X195" s="43"/>
      <c r="Y195" s="26"/>
      <c r="Z195" s="26"/>
      <c r="AA195" s="26"/>
      <c r="AB195" s="26"/>
      <c r="AC195" s="26"/>
      <c r="AD195" s="26"/>
      <c r="AE195" s="44"/>
      <c r="AF195" s="28"/>
      <c r="AG195" s="28"/>
      <c r="AH195" s="28"/>
      <c r="AI195" s="28"/>
      <c r="AJ195" s="28"/>
      <c r="AK195" s="29"/>
      <c r="AL195" s="30" t="n">
        <v>0</v>
      </c>
      <c r="AM195" s="30"/>
      <c r="AN195" s="32" t="e">
        <f aca="false">#REF!</f>
        <v>#REF!</v>
      </c>
      <c r="AO195" s="2" t="str">
        <f aca="false">CONCATENATE(AF195,AG195,AH195,AI195,AJ195)</f>
        <v/>
      </c>
    </row>
    <row r="196" customFormat="false" ht="15" hidden="false" customHeight="true" outlineLevel="0" collapsed="false">
      <c r="A196" s="8" t="n">
        <v>194</v>
      </c>
      <c r="B196" s="20"/>
      <c r="C196" s="33"/>
      <c r="D196" s="34" t="s">
        <v>845</v>
      </c>
      <c r="E196" s="34" t="s">
        <v>68</v>
      </c>
      <c r="F196" s="34"/>
      <c r="G196" s="34" t="s">
        <v>34</v>
      </c>
      <c r="H196" s="35"/>
      <c r="I196" s="36"/>
      <c r="J196" s="34" t="s">
        <v>33</v>
      </c>
      <c r="K196" s="34" t="s">
        <v>69</v>
      </c>
      <c r="L196" s="34" t="s">
        <v>36</v>
      </c>
      <c r="M196" s="34" t="str">
        <f aca="false">CONCATENATE(K196," ",L196)</f>
        <v>ASCAZ HOSPITALARIA</v>
      </c>
      <c r="N196" s="34" t="s">
        <v>102</v>
      </c>
      <c r="O196" s="37" t="s">
        <v>66</v>
      </c>
      <c r="P196" s="37" t="s">
        <v>322</v>
      </c>
      <c r="Q196" s="37" t="s">
        <v>265</v>
      </c>
      <c r="R196" s="34" t="s">
        <v>41</v>
      </c>
      <c r="S196" s="34" t="s">
        <v>846</v>
      </c>
      <c r="T196" s="34" t="s">
        <v>43</v>
      </c>
      <c r="U196" s="35" t="n">
        <v>28853</v>
      </c>
      <c r="V196" s="38" t="n">
        <f aca="false">YEAR($V$1)-YEAR(U196)</f>
        <v>40</v>
      </c>
      <c r="W196" s="34"/>
      <c r="X196" s="37" t="s">
        <v>847</v>
      </c>
      <c r="Y196" s="34" t="n">
        <v>10</v>
      </c>
      <c r="Z196" s="34" t="s">
        <v>848</v>
      </c>
      <c r="AA196" s="34" t="s">
        <v>46</v>
      </c>
      <c r="AB196" s="34" t="s">
        <v>285</v>
      </c>
      <c r="AC196" s="34" t="n">
        <v>33936</v>
      </c>
      <c r="AD196" s="34" t="n">
        <v>696465869</v>
      </c>
      <c r="AE196" s="39" t="s">
        <v>849</v>
      </c>
      <c r="AF196" s="40" t="s">
        <v>843</v>
      </c>
      <c r="AG196" s="40" t="n">
        <v>3059</v>
      </c>
      <c r="AH196" s="40" t="s">
        <v>850</v>
      </c>
      <c r="AI196" s="40" t="n">
        <v>88</v>
      </c>
      <c r="AJ196" s="40" t="n">
        <v>2736383726</v>
      </c>
      <c r="AK196" s="29"/>
      <c r="AL196" s="33"/>
      <c r="AM196" s="41" t="n">
        <v>10</v>
      </c>
      <c r="AO196" s="2" t="str">
        <f aca="false">CONCATENATE(AF196,AG196,AH196,AI196,AJ196)</f>
        <v>ES4630590096882736383726</v>
      </c>
    </row>
    <row r="197" customFormat="false" ht="15" hidden="false" customHeight="true" outlineLevel="0" collapsed="false">
      <c r="A197" s="8" t="n">
        <v>195</v>
      </c>
      <c r="B197" s="20"/>
      <c r="C197" s="33"/>
      <c r="D197" s="34" t="s">
        <v>851</v>
      </c>
      <c r="E197" s="34" t="s">
        <v>68</v>
      </c>
      <c r="F197" s="34"/>
      <c r="G197" s="34" t="s">
        <v>34</v>
      </c>
      <c r="H197" s="35"/>
      <c r="I197" s="36"/>
      <c r="J197" s="34" t="s">
        <v>33</v>
      </c>
      <c r="K197" s="34" t="s">
        <v>69</v>
      </c>
      <c r="L197" s="34" t="s">
        <v>36</v>
      </c>
      <c r="M197" s="34" t="str">
        <f aca="false">CONCATENATE(K197," ",L197)</f>
        <v>ASCAZ HOSPITALARIA</v>
      </c>
      <c r="N197" s="34" t="s">
        <v>54</v>
      </c>
      <c r="O197" s="37" t="s">
        <v>115</v>
      </c>
      <c r="P197" s="37" t="s">
        <v>852</v>
      </c>
      <c r="Q197" s="37" t="s">
        <v>853</v>
      </c>
      <c r="R197" s="34"/>
      <c r="S197" s="34" t="s">
        <v>854</v>
      </c>
      <c r="T197" s="34" t="s">
        <v>59</v>
      </c>
      <c r="U197" s="35" t="n">
        <v>28101</v>
      </c>
      <c r="V197" s="38" t="n">
        <f aca="false">YEAR($V$1)-YEAR(U197)</f>
        <v>42</v>
      </c>
      <c r="W197" s="34"/>
      <c r="X197" s="74"/>
      <c r="Y197" s="34"/>
      <c r="Z197" s="34"/>
      <c r="AA197" s="34"/>
      <c r="AB197" s="34"/>
      <c r="AC197" s="34"/>
      <c r="AD197" s="34"/>
      <c r="AE197" s="39"/>
      <c r="AF197" s="40"/>
      <c r="AG197" s="40"/>
      <c r="AH197" s="40"/>
      <c r="AI197" s="40"/>
      <c r="AJ197" s="40"/>
      <c r="AK197" s="29"/>
      <c r="AL197" s="33"/>
      <c r="AM197" s="41" t="n">
        <v>10</v>
      </c>
      <c r="AO197" s="2" t="str">
        <f aca="false">CONCATENATE(AF197,AG197,AH197,AI197,AJ197)</f>
        <v/>
      </c>
    </row>
    <row r="198" customFormat="false" ht="15" hidden="false" customHeight="true" outlineLevel="0" collapsed="false">
      <c r="A198" s="8" t="n">
        <v>196</v>
      </c>
      <c r="B198" s="20"/>
      <c r="C198" s="21" t="n">
        <v>69</v>
      </c>
      <c r="D198" s="22"/>
      <c r="E198" s="26"/>
      <c r="F198" s="26"/>
      <c r="G198" s="26"/>
      <c r="H198" s="42"/>
      <c r="I198" s="26"/>
      <c r="J198" s="26"/>
      <c r="K198" s="26"/>
      <c r="L198" s="26"/>
      <c r="M198" s="26"/>
      <c r="N198" s="26"/>
      <c r="O198" s="43"/>
      <c r="P198" s="43"/>
      <c r="Q198" s="43"/>
      <c r="R198" s="26"/>
      <c r="S198" s="26"/>
      <c r="T198" s="26"/>
      <c r="U198" s="42"/>
      <c r="V198" s="26"/>
      <c r="W198" s="26"/>
      <c r="X198" s="43"/>
      <c r="Y198" s="26"/>
      <c r="Z198" s="26"/>
      <c r="AA198" s="26"/>
      <c r="AB198" s="26"/>
      <c r="AC198" s="26"/>
      <c r="AD198" s="26"/>
      <c r="AE198" s="44"/>
      <c r="AF198" s="28"/>
      <c r="AG198" s="28"/>
      <c r="AH198" s="28"/>
      <c r="AI198" s="28"/>
      <c r="AJ198" s="28"/>
      <c r="AK198" s="29"/>
      <c r="AL198" s="30" t="n">
        <v>0</v>
      </c>
      <c r="AM198" s="30"/>
      <c r="AN198" s="32" t="e">
        <f aca="false">#REF!</f>
        <v>#REF!</v>
      </c>
      <c r="AO198" s="2" t="str">
        <f aca="false">CONCATENATE(AF198,AG198,AH198,AI198,AJ198)</f>
        <v/>
      </c>
    </row>
    <row r="199" customFormat="false" ht="15" hidden="false" customHeight="true" outlineLevel="0" collapsed="false">
      <c r="A199" s="8" t="n">
        <v>197</v>
      </c>
      <c r="B199" s="20"/>
      <c r="C199" s="33"/>
      <c r="D199" s="34" t="s">
        <v>855</v>
      </c>
      <c r="E199" s="34" t="s">
        <v>68</v>
      </c>
      <c r="F199" s="34" t="s">
        <v>856</v>
      </c>
      <c r="G199" s="34" t="s">
        <v>34</v>
      </c>
      <c r="H199" s="35"/>
      <c r="I199" s="36"/>
      <c r="J199" s="34" t="s">
        <v>33</v>
      </c>
      <c r="K199" s="34" t="s">
        <v>69</v>
      </c>
      <c r="L199" s="34" t="s">
        <v>36</v>
      </c>
      <c r="M199" s="34" t="str">
        <f aca="false">CONCATENATE(K199," ",L199)</f>
        <v>ASCAZ HOSPITALARIA</v>
      </c>
      <c r="N199" s="34" t="s">
        <v>102</v>
      </c>
      <c r="O199" s="37" t="s">
        <v>857</v>
      </c>
      <c r="P199" s="37" t="s">
        <v>296</v>
      </c>
      <c r="Q199" s="37" t="s">
        <v>858</v>
      </c>
      <c r="R199" s="34" t="s">
        <v>41</v>
      </c>
      <c r="S199" s="34" t="s">
        <v>859</v>
      </c>
      <c r="T199" s="34" t="s">
        <v>59</v>
      </c>
      <c r="U199" s="35" t="n">
        <v>16132</v>
      </c>
      <c r="V199" s="38" t="n">
        <f aca="false">YEAR($V$1)-YEAR(U199)</f>
        <v>74</v>
      </c>
      <c r="W199" s="34" t="s">
        <v>44</v>
      </c>
      <c r="X199" s="37" t="s">
        <v>860</v>
      </c>
      <c r="Y199" s="34" t="n">
        <v>20</v>
      </c>
      <c r="Z199" s="34" t="s">
        <v>861</v>
      </c>
      <c r="AA199" s="34" t="s">
        <v>46</v>
      </c>
      <c r="AB199" s="34" t="s">
        <v>300</v>
      </c>
      <c r="AC199" s="34" t="n">
        <v>33007</v>
      </c>
      <c r="AD199" s="34" t="n">
        <v>985234383</v>
      </c>
      <c r="AE199" s="47" t="s">
        <v>301</v>
      </c>
      <c r="AF199" s="40" t="s">
        <v>683</v>
      </c>
      <c r="AG199" s="40" t="n">
        <v>1465</v>
      </c>
      <c r="AH199" s="40" t="s">
        <v>862</v>
      </c>
      <c r="AI199" s="40" t="n">
        <v>19</v>
      </c>
      <c r="AJ199" s="40" t="n">
        <v>1715700000</v>
      </c>
      <c r="AK199" s="29"/>
      <c r="AL199" s="33"/>
      <c r="AM199" s="41" t="n">
        <v>10</v>
      </c>
      <c r="AO199" s="2" t="str">
        <f aca="false">CONCATENATE(AF199,AG199,AH199,AI199,AJ199)</f>
        <v>ES2814650360191715700000</v>
      </c>
    </row>
    <row r="200" customFormat="false" ht="15" hidden="false" customHeight="true" outlineLevel="0" collapsed="false">
      <c r="A200" s="8" t="n">
        <v>198</v>
      </c>
      <c r="B200" s="20"/>
      <c r="C200" s="21" t="n">
        <v>70</v>
      </c>
      <c r="D200" s="22"/>
      <c r="E200" s="26"/>
      <c r="F200" s="26"/>
      <c r="G200" s="26"/>
      <c r="H200" s="42"/>
      <c r="I200" s="26"/>
      <c r="J200" s="26"/>
      <c r="K200" s="26"/>
      <c r="L200" s="26"/>
      <c r="M200" s="26"/>
      <c r="N200" s="26"/>
      <c r="O200" s="43"/>
      <c r="P200" s="43"/>
      <c r="Q200" s="43"/>
      <c r="R200" s="26"/>
      <c r="S200" s="26"/>
      <c r="T200" s="26"/>
      <c r="U200" s="42"/>
      <c r="V200" s="26"/>
      <c r="W200" s="26"/>
      <c r="X200" s="43"/>
      <c r="Y200" s="26"/>
      <c r="Z200" s="26"/>
      <c r="AA200" s="26"/>
      <c r="AB200" s="26"/>
      <c r="AC200" s="26"/>
      <c r="AD200" s="26"/>
      <c r="AE200" s="44"/>
      <c r="AF200" s="28"/>
      <c r="AG200" s="28"/>
      <c r="AH200" s="28"/>
      <c r="AI200" s="28"/>
      <c r="AJ200" s="28"/>
      <c r="AK200" s="29"/>
      <c r="AL200" s="30" t="n">
        <v>30</v>
      </c>
      <c r="AM200" s="30"/>
      <c r="AN200" s="32" t="e">
        <f aca="false">#REF!</f>
        <v>#REF!</v>
      </c>
      <c r="AO200" s="2" t="str">
        <f aca="false">CONCATENATE(AF200,AG200,AH200,AI200,AJ200)</f>
        <v/>
      </c>
    </row>
    <row r="201" customFormat="false" ht="15" hidden="false" customHeight="true" outlineLevel="0" collapsed="false">
      <c r="A201" s="8" t="n">
        <v>199</v>
      </c>
      <c r="B201" s="20"/>
      <c r="C201" s="33"/>
      <c r="D201" s="34" t="s">
        <v>863</v>
      </c>
      <c r="E201" s="34" t="s">
        <v>68</v>
      </c>
      <c r="F201" s="34" t="s">
        <v>856</v>
      </c>
      <c r="G201" s="34" t="s">
        <v>118</v>
      </c>
      <c r="H201" s="35"/>
      <c r="I201" s="36"/>
      <c r="J201" s="34" t="s">
        <v>33</v>
      </c>
      <c r="K201" s="34" t="s">
        <v>69</v>
      </c>
      <c r="L201" s="34" t="s">
        <v>36</v>
      </c>
      <c r="M201" s="34" t="str">
        <f aca="false">CONCATENATE(K201," ",L201)</f>
        <v>ASCAZ HOSPITALARIA</v>
      </c>
      <c r="N201" s="34" t="s">
        <v>102</v>
      </c>
      <c r="O201" s="37" t="s">
        <v>864</v>
      </c>
      <c r="P201" s="37" t="s">
        <v>296</v>
      </c>
      <c r="Q201" s="37" t="s">
        <v>858</v>
      </c>
      <c r="R201" s="34" t="s">
        <v>41</v>
      </c>
      <c r="S201" s="34" t="s">
        <v>865</v>
      </c>
      <c r="T201" s="34" t="s">
        <v>59</v>
      </c>
      <c r="U201" s="35" t="n">
        <v>13457</v>
      </c>
      <c r="V201" s="38" t="n">
        <f aca="false">YEAR($V$1)-YEAR(U201)</f>
        <v>82</v>
      </c>
      <c r="W201" s="34" t="s">
        <v>44</v>
      </c>
      <c r="X201" s="37" t="s">
        <v>866</v>
      </c>
      <c r="Y201" s="34" t="n">
        <v>4</v>
      </c>
      <c r="Z201" s="34" t="s">
        <v>867</v>
      </c>
      <c r="AA201" s="34" t="s">
        <v>46</v>
      </c>
      <c r="AB201" s="34" t="s">
        <v>300</v>
      </c>
      <c r="AC201" s="34" t="n">
        <v>33001</v>
      </c>
      <c r="AD201" s="34"/>
      <c r="AE201" s="39" t="s">
        <v>301</v>
      </c>
      <c r="AF201" s="40" t="s">
        <v>611</v>
      </c>
      <c r="AG201" s="40" t="s">
        <v>128</v>
      </c>
      <c r="AH201" s="40" t="n">
        <v>5051</v>
      </c>
      <c r="AI201" s="40" t="n">
        <v>54</v>
      </c>
      <c r="AJ201" s="40" t="s">
        <v>868</v>
      </c>
      <c r="AK201" s="29"/>
      <c r="AL201" s="33"/>
      <c r="AM201" s="41" t="n">
        <v>10</v>
      </c>
      <c r="AO201" s="2" t="str">
        <f aca="false">CONCATENATE(AF201,AG201,AH201,AI201,AJ201)</f>
        <v>ES4300815051540007510960</v>
      </c>
    </row>
    <row r="202" customFormat="false" ht="15" hidden="false" customHeight="true" outlineLevel="0" collapsed="false">
      <c r="A202" s="8" t="n">
        <v>200</v>
      </c>
      <c r="B202" s="20"/>
      <c r="C202" s="33"/>
      <c r="D202" s="34" t="s">
        <v>869</v>
      </c>
      <c r="E202" s="34" t="s">
        <v>68</v>
      </c>
      <c r="F202" s="34" t="s">
        <v>856</v>
      </c>
      <c r="G202" s="34" t="s">
        <v>118</v>
      </c>
      <c r="H202" s="35"/>
      <c r="I202" s="36"/>
      <c r="J202" s="34" t="s">
        <v>33</v>
      </c>
      <c r="K202" s="34" t="s">
        <v>69</v>
      </c>
      <c r="L202" s="34" t="s">
        <v>36</v>
      </c>
      <c r="M202" s="34" t="str">
        <f aca="false">CONCATENATE(K202," ",L202)</f>
        <v>ASCAZ HOSPITALARIA</v>
      </c>
      <c r="N202" s="34" t="s">
        <v>54</v>
      </c>
      <c r="O202" s="37" t="s">
        <v>870</v>
      </c>
      <c r="P202" s="37" t="s">
        <v>296</v>
      </c>
      <c r="Q202" s="37" t="s">
        <v>858</v>
      </c>
      <c r="R202" s="34"/>
      <c r="S202" s="34" t="s">
        <v>871</v>
      </c>
      <c r="T202" s="34" t="s">
        <v>59</v>
      </c>
      <c r="U202" s="35" t="n">
        <v>14185</v>
      </c>
      <c r="V202" s="38" t="n">
        <f aca="false">YEAR($V$1)-YEAR(U202)</f>
        <v>80</v>
      </c>
      <c r="W202" s="34"/>
      <c r="X202" s="37"/>
      <c r="Y202" s="34"/>
      <c r="Z202" s="34"/>
      <c r="AA202" s="34"/>
      <c r="AB202" s="34"/>
      <c r="AC202" s="34"/>
      <c r="AD202" s="34"/>
      <c r="AE202" s="39"/>
      <c r="AF202" s="40"/>
      <c r="AG202" s="40"/>
      <c r="AH202" s="40"/>
      <c r="AI202" s="40"/>
      <c r="AJ202" s="40"/>
      <c r="AK202" s="29"/>
      <c r="AL202" s="33"/>
      <c r="AM202" s="41" t="n">
        <v>10</v>
      </c>
      <c r="AO202" s="2" t="str">
        <f aca="false">CONCATENATE(AF202,AG202,AH202,AI202,AJ202)</f>
        <v/>
      </c>
    </row>
    <row r="203" customFormat="false" ht="15" hidden="false" customHeight="true" outlineLevel="0" collapsed="false">
      <c r="A203" s="8" t="n">
        <v>201</v>
      </c>
      <c r="B203" s="20"/>
      <c r="C203" s="21" t="n">
        <v>71</v>
      </c>
      <c r="D203" s="22"/>
      <c r="E203" s="26"/>
      <c r="F203" s="26"/>
      <c r="G203" s="26"/>
      <c r="H203" s="42"/>
      <c r="I203" s="26"/>
      <c r="J203" s="26"/>
      <c r="K203" s="26"/>
      <c r="L203" s="26"/>
      <c r="M203" s="26"/>
      <c r="N203" s="26"/>
      <c r="O203" s="43"/>
      <c r="P203" s="43"/>
      <c r="Q203" s="43"/>
      <c r="R203" s="26"/>
      <c r="S203" s="26"/>
      <c r="T203" s="26"/>
      <c r="U203" s="42"/>
      <c r="V203" s="26"/>
      <c r="W203" s="26"/>
      <c r="X203" s="43"/>
      <c r="Y203" s="26"/>
      <c r="Z203" s="26"/>
      <c r="AA203" s="26"/>
      <c r="AB203" s="26"/>
      <c r="AC203" s="26"/>
      <c r="AD203" s="26"/>
      <c r="AE203" s="44"/>
      <c r="AF203" s="28"/>
      <c r="AG203" s="28"/>
      <c r="AH203" s="28"/>
      <c r="AI203" s="28"/>
      <c r="AJ203" s="28"/>
      <c r="AK203" s="29"/>
      <c r="AL203" s="30" t="n">
        <v>30</v>
      </c>
      <c r="AM203" s="30"/>
      <c r="AN203" s="32" t="e">
        <f aca="false">#REF!</f>
        <v>#REF!</v>
      </c>
      <c r="AO203" s="2" t="str">
        <f aca="false">CONCATENATE(AF203,AG203,AH203,AI203,AJ203)</f>
        <v/>
      </c>
    </row>
    <row r="204" customFormat="false" ht="15" hidden="false" customHeight="true" outlineLevel="0" collapsed="false">
      <c r="A204" s="8" t="n">
        <v>202</v>
      </c>
      <c r="B204" s="20"/>
      <c r="C204" s="33"/>
      <c r="D204" s="34" t="s">
        <v>872</v>
      </c>
      <c r="E204" s="34" t="s">
        <v>68</v>
      </c>
      <c r="F204" s="34"/>
      <c r="G204" s="34" t="s">
        <v>118</v>
      </c>
      <c r="H204" s="35"/>
      <c r="I204" s="36"/>
      <c r="J204" s="34" t="s">
        <v>33</v>
      </c>
      <c r="K204" s="34" t="s">
        <v>69</v>
      </c>
      <c r="L204" s="34" t="s">
        <v>36</v>
      </c>
      <c r="M204" s="34" t="str">
        <f aca="false">CONCATENATE(K204," ",L204)</f>
        <v>ASCAZ HOSPITALARIA</v>
      </c>
      <c r="N204" s="34" t="s">
        <v>102</v>
      </c>
      <c r="O204" s="37" t="s">
        <v>873</v>
      </c>
      <c r="P204" s="37" t="s">
        <v>874</v>
      </c>
      <c r="Q204" s="37" t="s">
        <v>140</v>
      </c>
      <c r="R204" s="34" t="s">
        <v>41</v>
      </c>
      <c r="S204" s="34" t="s">
        <v>875</v>
      </c>
      <c r="T204" s="34" t="s">
        <v>43</v>
      </c>
      <c r="U204" s="35" t="n">
        <v>26528</v>
      </c>
      <c r="V204" s="38" t="n">
        <f aca="false">YEAR($V$1)-YEAR(U204)</f>
        <v>46</v>
      </c>
      <c r="W204" s="34" t="s">
        <v>44</v>
      </c>
      <c r="X204" s="37" t="s">
        <v>876</v>
      </c>
      <c r="Y204" s="34" t="n">
        <v>2</v>
      </c>
      <c r="Z204" s="34" t="s">
        <v>877</v>
      </c>
      <c r="AA204" s="34" t="s">
        <v>46</v>
      </c>
      <c r="AB204" s="34" t="s">
        <v>47</v>
      </c>
      <c r="AC204" s="34" t="n">
        <v>33208</v>
      </c>
      <c r="AD204" s="34" t="n">
        <v>670687086</v>
      </c>
      <c r="AE204" s="39"/>
      <c r="AF204" s="40" t="s">
        <v>878</v>
      </c>
      <c r="AG204" s="40" t="s">
        <v>684</v>
      </c>
      <c r="AH204" s="40" t="n">
        <v>7170</v>
      </c>
      <c r="AI204" s="40" t="n">
        <v>46</v>
      </c>
      <c r="AJ204" s="40" t="s">
        <v>879</v>
      </c>
      <c r="AK204" s="29"/>
      <c r="AL204" s="33"/>
      <c r="AM204" s="41" t="n">
        <v>10</v>
      </c>
      <c r="AO204" s="2" t="str">
        <f aca="false">CONCATENATE(AF204,AG204,AH204,AI204,AJ204)</f>
        <v>ES5700307170460387271273</v>
      </c>
    </row>
    <row r="205" customFormat="false" ht="15" hidden="false" customHeight="true" outlineLevel="0" collapsed="false">
      <c r="A205" s="8" t="n">
        <v>203</v>
      </c>
      <c r="B205" s="20"/>
      <c r="C205" s="33"/>
      <c r="D205" s="34" t="s">
        <v>880</v>
      </c>
      <c r="E205" s="34" t="s">
        <v>68</v>
      </c>
      <c r="F205" s="34"/>
      <c r="G205" s="34" t="s">
        <v>118</v>
      </c>
      <c r="H205" s="35"/>
      <c r="I205" s="36"/>
      <c r="J205" s="34" t="s">
        <v>33</v>
      </c>
      <c r="K205" s="34" t="s">
        <v>69</v>
      </c>
      <c r="L205" s="34" t="s">
        <v>36</v>
      </c>
      <c r="M205" s="34" t="str">
        <f aca="false">CONCATENATE(K205," ",L205)</f>
        <v>ASCAZ HOSPITALARIA</v>
      </c>
      <c r="N205" s="34" t="s">
        <v>54</v>
      </c>
      <c r="O205" s="37" t="s">
        <v>115</v>
      </c>
      <c r="P205" s="37" t="s">
        <v>881</v>
      </c>
      <c r="Q205" s="37" t="s">
        <v>296</v>
      </c>
      <c r="R205" s="34" t="s">
        <v>41</v>
      </c>
      <c r="S205" s="34" t="s">
        <v>882</v>
      </c>
      <c r="T205" s="34" t="s">
        <v>59</v>
      </c>
      <c r="U205" s="35" t="n">
        <v>26897</v>
      </c>
      <c r="V205" s="38" t="n">
        <f aca="false">YEAR($V$1)-YEAR(U205)</f>
        <v>45</v>
      </c>
      <c r="W205" s="34"/>
      <c r="X205" s="37"/>
      <c r="Y205" s="34"/>
      <c r="Z205" s="34"/>
      <c r="AA205" s="34"/>
      <c r="AB205" s="34"/>
      <c r="AC205" s="34"/>
      <c r="AD205" s="34" t="n">
        <v>667305891</v>
      </c>
      <c r="AE205" s="39" t="s">
        <v>883</v>
      </c>
      <c r="AF205" s="40"/>
      <c r="AG205" s="40"/>
      <c r="AH205" s="40"/>
      <c r="AI205" s="40"/>
      <c r="AJ205" s="40"/>
      <c r="AK205" s="29"/>
      <c r="AL205" s="33"/>
      <c r="AM205" s="41" t="n">
        <v>10</v>
      </c>
      <c r="AO205" s="2" t="str">
        <f aca="false">CONCATENATE(AF205,AG205,AH205,AI205,AJ205)</f>
        <v/>
      </c>
    </row>
    <row r="206" customFormat="false" ht="15" hidden="false" customHeight="true" outlineLevel="0" collapsed="false">
      <c r="A206" s="8" t="n">
        <v>204</v>
      </c>
      <c r="B206" s="20"/>
      <c r="C206" s="33"/>
      <c r="D206" s="34" t="s">
        <v>884</v>
      </c>
      <c r="E206" s="34" t="s">
        <v>68</v>
      </c>
      <c r="F206" s="34"/>
      <c r="G206" s="34" t="s">
        <v>118</v>
      </c>
      <c r="H206" s="35"/>
      <c r="I206" s="36"/>
      <c r="J206" s="34" t="s">
        <v>33</v>
      </c>
      <c r="K206" s="34" t="s">
        <v>69</v>
      </c>
      <c r="L206" s="34" t="s">
        <v>36</v>
      </c>
      <c r="M206" s="34" t="str">
        <f aca="false">CONCATENATE(K206," ",L206)</f>
        <v>ASCAZ HOSPITALARIA</v>
      </c>
      <c r="N206" s="34" t="s">
        <v>62</v>
      </c>
      <c r="O206" s="37" t="s">
        <v>885</v>
      </c>
      <c r="P206" s="37" t="s">
        <v>874</v>
      </c>
      <c r="Q206" s="37" t="s">
        <v>881</v>
      </c>
      <c r="R206" s="34" t="s">
        <v>41</v>
      </c>
      <c r="S206" s="34" t="s">
        <v>886</v>
      </c>
      <c r="T206" s="34" t="s">
        <v>59</v>
      </c>
      <c r="U206" s="35" t="n">
        <v>37021</v>
      </c>
      <c r="V206" s="38" t="n">
        <f aca="false">YEAR($V$1)-YEAR(U206)</f>
        <v>17</v>
      </c>
      <c r="W206" s="34"/>
      <c r="X206" s="37"/>
      <c r="Y206" s="34"/>
      <c r="Z206" s="34"/>
      <c r="AA206" s="34"/>
      <c r="AB206" s="34"/>
      <c r="AC206" s="34"/>
      <c r="AD206" s="34"/>
      <c r="AE206" s="39"/>
      <c r="AF206" s="40"/>
      <c r="AG206" s="40"/>
      <c r="AH206" s="40"/>
      <c r="AI206" s="40"/>
      <c r="AJ206" s="40"/>
      <c r="AK206" s="29"/>
      <c r="AL206" s="33"/>
      <c r="AM206" s="41" t="n">
        <v>10</v>
      </c>
      <c r="AO206" s="2" t="str">
        <f aca="false">CONCATENATE(AF206,AG206,AH206,AI206,AJ206)</f>
        <v/>
      </c>
    </row>
    <row r="207" customFormat="false" ht="15" hidden="false" customHeight="true" outlineLevel="0" collapsed="false">
      <c r="A207" s="8" t="n">
        <v>205</v>
      </c>
      <c r="B207" s="20"/>
      <c r="C207" s="21" t="n">
        <v>72</v>
      </c>
      <c r="D207" s="22"/>
      <c r="E207" s="26"/>
      <c r="F207" s="26"/>
      <c r="G207" s="26"/>
      <c r="H207" s="42"/>
      <c r="I207" s="26"/>
      <c r="J207" s="26"/>
      <c r="K207" s="26"/>
      <c r="L207" s="26"/>
      <c r="M207" s="26"/>
      <c r="N207" s="26"/>
      <c r="O207" s="43"/>
      <c r="P207" s="43"/>
      <c r="Q207" s="43"/>
      <c r="R207" s="26"/>
      <c r="S207" s="26"/>
      <c r="T207" s="26"/>
      <c r="U207" s="42"/>
      <c r="V207" s="26"/>
      <c r="W207" s="26"/>
      <c r="X207" s="43"/>
      <c r="Y207" s="26"/>
      <c r="Z207" s="26"/>
      <c r="AA207" s="26"/>
      <c r="AB207" s="26"/>
      <c r="AC207" s="26"/>
      <c r="AD207" s="26"/>
      <c r="AE207" s="44"/>
      <c r="AF207" s="28"/>
      <c r="AG207" s="28"/>
      <c r="AH207" s="28"/>
      <c r="AI207" s="28"/>
      <c r="AJ207" s="28"/>
      <c r="AK207" s="29"/>
      <c r="AL207" s="30" t="n">
        <v>30</v>
      </c>
      <c r="AM207" s="30"/>
      <c r="AN207" s="32" t="e">
        <f aca="false">#REF!</f>
        <v>#REF!</v>
      </c>
      <c r="AO207" s="2" t="str">
        <f aca="false">CONCATENATE(AF207,AG207,AH207,AI207,AJ207)</f>
        <v/>
      </c>
    </row>
    <row r="208" customFormat="false" ht="15" hidden="false" customHeight="true" outlineLevel="0" collapsed="false">
      <c r="A208" s="8" t="n">
        <v>206</v>
      </c>
      <c r="B208" s="20"/>
      <c r="C208" s="33"/>
      <c r="D208" s="34" t="s">
        <v>887</v>
      </c>
      <c r="E208" s="34" t="s">
        <v>68</v>
      </c>
      <c r="F208" s="34" t="s">
        <v>652</v>
      </c>
      <c r="G208" s="34" t="s">
        <v>118</v>
      </c>
      <c r="H208" s="35" t="n">
        <v>42257</v>
      </c>
      <c r="I208" s="36"/>
      <c r="J208" s="34" t="s">
        <v>33</v>
      </c>
      <c r="K208" s="34" t="s">
        <v>69</v>
      </c>
      <c r="L208" s="34" t="s">
        <v>36</v>
      </c>
      <c r="M208" s="34" t="str">
        <f aca="false">CONCATENATE(K208," ",L208)</f>
        <v>ASCAZ HOSPITALARIA</v>
      </c>
      <c r="N208" s="34" t="s">
        <v>102</v>
      </c>
      <c r="O208" s="37" t="s">
        <v>888</v>
      </c>
      <c r="P208" s="37" t="s">
        <v>710</v>
      </c>
      <c r="Q208" s="37" t="s">
        <v>200</v>
      </c>
      <c r="R208" s="34" t="s">
        <v>41</v>
      </c>
      <c r="S208" s="34" t="s">
        <v>889</v>
      </c>
      <c r="T208" s="34" t="s">
        <v>59</v>
      </c>
      <c r="U208" s="35" t="n">
        <v>32098</v>
      </c>
      <c r="V208" s="38" t="n">
        <f aca="false">YEAR($V$1)-YEAR(U208)</f>
        <v>31</v>
      </c>
      <c r="W208" s="34" t="s">
        <v>44</v>
      </c>
      <c r="X208" s="37" t="s">
        <v>890</v>
      </c>
      <c r="Y208" s="34" t="n">
        <v>3</v>
      </c>
      <c r="Z208" s="34" t="s">
        <v>891</v>
      </c>
      <c r="AA208" s="34" t="s">
        <v>46</v>
      </c>
      <c r="AB208" s="34" t="s">
        <v>47</v>
      </c>
      <c r="AC208" s="34" t="n">
        <v>33210</v>
      </c>
      <c r="AD208" s="34" t="n">
        <v>638191778</v>
      </c>
      <c r="AE208" s="39" t="s">
        <v>892</v>
      </c>
      <c r="AF208" s="40" t="s">
        <v>893</v>
      </c>
      <c r="AG208" s="40" t="n">
        <v>1465</v>
      </c>
      <c r="AH208" s="40" t="s">
        <v>715</v>
      </c>
      <c r="AI208" s="40" t="n">
        <v>82</v>
      </c>
      <c r="AJ208" s="40" t="n">
        <v>1800086718</v>
      </c>
      <c r="AK208" s="29"/>
      <c r="AL208" s="33"/>
      <c r="AM208" s="41" t="n">
        <v>10</v>
      </c>
      <c r="AO208" s="2" t="str">
        <f aca="false">CONCATENATE(AF208,AG208,AH208,AI208,AJ208)</f>
        <v>ES2314650330821800086718</v>
      </c>
    </row>
    <row r="209" customFormat="false" ht="15" hidden="false" customHeight="true" outlineLevel="0" collapsed="false">
      <c r="A209" s="8" t="n">
        <v>207</v>
      </c>
      <c r="B209" s="20"/>
      <c r="C209" s="21" t="n">
        <v>73</v>
      </c>
      <c r="D209" s="22"/>
      <c r="E209" s="26"/>
      <c r="F209" s="26"/>
      <c r="G209" s="26"/>
      <c r="H209" s="42"/>
      <c r="I209" s="26"/>
      <c r="J209" s="26"/>
      <c r="K209" s="26"/>
      <c r="L209" s="26"/>
      <c r="M209" s="26"/>
      <c r="N209" s="26"/>
      <c r="O209" s="43"/>
      <c r="P209" s="43"/>
      <c r="Q209" s="43"/>
      <c r="R209" s="26"/>
      <c r="S209" s="26"/>
      <c r="T209" s="26"/>
      <c r="U209" s="42"/>
      <c r="V209" s="26"/>
      <c r="W209" s="26"/>
      <c r="X209" s="43"/>
      <c r="Y209" s="26"/>
      <c r="Z209" s="26"/>
      <c r="AA209" s="26"/>
      <c r="AB209" s="26"/>
      <c r="AC209" s="26"/>
      <c r="AD209" s="26"/>
      <c r="AE209" s="44"/>
      <c r="AF209" s="28"/>
      <c r="AG209" s="28"/>
      <c r="AH209" s="28"/>
      <c r="AI209" s="28"/>
      <c r="AJ209" s="28"/>
      <c r="AK209" s="29"/>
      <c r="AL209" s="30" t="n">
        <v>0</v>
      </c>
      <c r="AM209" s="30"/>
      <c r="AN209" s="32" t="e">
        <f aca="false">#REF!</f>
        <v>#REF!</v>
      </c>
      <c r="AO209" s="2" t="str">
        <f aca="false">CONCATENATE(AF209,AG209,AH209,AI209,AJ209)</f>
        <v/>
      </c>
    </row>
    <row r="210" customFormat="false" ht="15" hidden="false" customHeight="true" outlineLevel="0" collapsed="false">
      <c r="A210" s="8" t="n">
        <v>208</v>
      </c>
      <c r="B210" s="20"/>
      <c r="C210" s="33"/>
      <c r="D210" s="34" t="s">
        <v>894</v>
      </c>
      <c r="E210" s="34" t="s">
        <v>68</v>
      </c>
      <c r="F210" s="34" t="s">
        <v>756</v>
      </c>
      <c r="G210" s="34" t="s">
        <v>34</v>
      </c>
      <c r="H210" s="35"/>
      <c r="I210" s="36"/>
      <c r="J210" s="34" t="s">
        <v>33</v>
      </c>
      <c r="K210" s="34" t="s">
        <v>69</v>
      </c>
      <c r="L210" s="34" t="s">
        <v>36</v>
      </c>
      <c r="M210" s="34" t="str">
        <f aca="false">CONCATENATE(K210," ",L210)</f>
        <v>ASCAZ HOSPITALARIA</v>
      </c>
      <c r="N210" s="34" t="s">
        <v>102</v>
      </c>
      <c r="O210" s="37" t="s">
        <v>78</v>
      </c>
      <c r="P210" s="37" t="s">
        <v>79</v>
      </c>
      <c r="Q210" s="37" t="s">
        <v>40</v>
      </c>
      <c r="R210" s="34" t="s">
        <v>41</v>
      </c>
      <c r="S210" s="34" t="s">
        <v>895</v>
      </c>
      <c r="T210" s="34" t="s">
        <v>43</v>
      </c>
      <c r="U210" s="35" t="n">
        <v>19234</v>
      </c>
      <c r="V210" s="38" t="n">
        <f aca="false">YEAR($V$1)-YEAR(U210)</f>
        <v>66</v>
      </c>
      <c r="W210" s="34" t="s">
        <v>44</v>
      </c>
      <c r="X210" s="37" t="s">
        <v>81</v>
      </c>
      <c r="Y210" s="34" t="n">
        <v>33</v>
      </c>
      <c r="Z210" s="34" t="s">
        <v>896</v>
      </c>
      <c r="AA210" s="34" t="s">
        <v>46</v>
      </c>
      <c r="AB210" s="34" t="s">
        <v>47</v>
      </c>
      <c r="AC210" s="34" t="n">
        <v>33207</v>
      </c>
      <c r="AD210" s="34" t="n">
        <v>985347839</v>
      </c>
      <c r="AE210" s="39" t="s">
        <v>897</v>
      </c>
      <c r="AF210" s="40" t="s">
        <v>898</v>
      </c>
      <c r="AG210" s="40" t="s">
        <v>110</v>
      </c>
      <c r="AH210" s="40" t="n">
        <v>1336</v>
      </c>
      <c r="AI210" s="40" t="n">
        <v>24</v>
      </c>
      <c r="AJ210" s="40" t="n">
        <v>2590234046</v>
      </c>
      <c r="AK210" s="29"/>
      <c r="AL210" s="33"/>
      <c r="AM210" s="41" t="n">
        <v>10</v>
      </c>
      <c r="AO210" s="2" t="str">
        <f aca="false">CONCATENATE(AF210,AG210,AH210,AI210,AJ210)</f>
        <v>ES1800491336242590234046</v>
      </c>
    </row>
    <row r="211" customFormat="false" ht="15" hidden="false" customHeight="true" outlineLevel="0" collapsed="false">
      <c r="A211" s="8" t="n">
        <v>209</v>
      </c>
      <c r="B211" s="20"/>
      <c r="C211" s="33"/>
      <c r="D211" s="34" t="s">
        <v>899</v>
      </c>
      <c r="E211" s="34" t="s">
        <v>68</v>
      </c>
      <c r="F211" s="34" t="s">
        <v>756</v>
      </c>
      <c r="G211" s="34" t="s">
        <v>34</v>
      </c>
      <c r="H211" s="35"/>
      <c r="I211" s="36"/>
      <c r="J211" s="34" t="s">
        <v>33</v>
      </c>
      <c r="K211" s="34" t="s">
        <v>69</v>
      </c>
      <c r="L211" s="34" t="s">
        <v>36</v>
      </c>
      <c r="M211" s="34" t="str">
        <f aca="false">CONCATENATE(K211," ",L211)</f>
        <v>ASCAZ HOSPITALARIA</v>
      </c>
      <c r="N211" s="34" t="s">
        <v>54</v>
      </c>
      <c r="O211" s="37" t="s">
        <v>355</v>
      </c>
      <c r="P211" s="37" t="s">
        <v>40</v>
      </c>
      <c r="Q211" s="37" t="s">
        <v>401</v>
      </c>
      <c r="R211" s="34" t="s">
        <v>41</v>
      </c>
      <c r="S211" s="34" t="s">
        <v>900</v>
      </c>
      <c r="T211" s="34" t="s">
        <v>59</v>
      </c>
      <c r="U211" s="35" t="n">
        <v>20708</v>
      </c>
      <c r="V211" s="38" t="n">
        <f aca="false">YEAR($V$1)-YEAR(U211)</f>
        <v>62</v>
      </c>
      <c r="W211" s="34"/>
      <c r="X211" s="37"/>
      <c r="Y211" s="34"/>
      <c r="Z211" s="34"/>
      <c r="AA211" s="34"/>
      <c r="AB211" s="34"/>
      <c r="AC211" s="34"/>
      <c r="AD211" s="34"/>
      <c r="AE211" s="39"/>
      <c r="AF211" s="40"/>
      <c r="AG211" s="40"/>
      <c r="AH211" s="40"/>
      <c r="AI211" s="40"/>
      <c r="AJ211" s="40"/>
      <c r="AK211" s="29"/>
      <c r="AL211" s="33"/>
      <c r="AM211" s="41" t="n">
        <v>10</v>
      </c>
      <c r="AO211" s="2" t="str">
        <f aca="false">CONCATENATE(AF211,AG211,AH211,AI211,AJ211)</f>
        <v/>
      </c>
    </row>
    <row r="212" customFormat="false" ht="15" hidden="false" customHeight="true" outlineLevel="0" collapsed="false">
      <c r="A212" s="8" t="n">
        <v>210</v>
      </c>
      <c r="B212" s="20"/>
      <c r="C212" s="33"/>
      <c r="D212" s="34" t="s">
        <v>901</v>
      </c>
      <c r="E212" s="34" t="s">
        <v>68</v>
      </c>
      <c r="F212" s="34" t="s">
        <v>756</v>
      </c>
      <c r="G212" s="34" t="s">
        <v>34</v>
      </c>
      <c r="H212" s="35"/>
      <c r="I212" s="36"/>
      <c r="J212" s="34" t="s">
        <v>33</v>
      </c>
      <c r="K212" s="34" t="s">
        <v>69</v>
      </c>
      <c r="L212" s="34" t="s">
        <v>36</v>
      </c>
      <c r="M212" s="34" t="str">
        <f aca="false">CONCATENATE(K212," ",L212)</f>
        <v>ASCAZ HOSPITALARIA</v>
      </c>
      <c r="N212" s="34" t="s">
        <v>62</v>
      </c>
      <c r="O212" s="37" t="s">
        <v>476</v>
      </c>
      <c r="P212" s="37" t="s">
        <v>79</v>
      </c>
      <c r="Q212" s="37" t="s">
        <v>40</v>
      </c>
      <c r="R212" s="34" t="s">
        <v>41</v>
      </c>
      <c r="S212" s="34" t="s">
        <v>902</v>
      </c>
      <c r="T212" s="34" t="s">
        <v>43</v>
      </c>
      <c r="U212" s="35" t="n">
        <v>30724</v>
      </c>
      <c r="V212" s="38" t="n">
        <f aca="false">YEAR($V$1)-YEAR(U212)</f>
        <v>34</v>
      </c>
      <c r="W212" s="34"/>
      <c r="X212" s="37"/>
      <c r="Y212" s="34"/>
      <c r="Z212" s="34"/>
      <c r="AA212" s="34"/>
      <c r="AB212" s="34"/>
      <c r="AC212" s="34"/>
      <c r="AD212" s="34"/>
      <c r="AE212" s="39"/>
      <c r="AF212" s="40"/>
      <c r="AG212" s="40"/>
      <c r="AH212" s="40"/>
      <c r="AI212" s="40"/>
      <c r="AJ212" s="40"/>
      <c r="AK212" s="29"/>
      <c r="AL212" s="33"/>
      <c r="AM212" s="41" t="n">
        <v>10</v>
      </c>
      <c r="AO212" s="2" t="str">
        <f aca="false">CONCATENATE(AF212,AG212,AH212,AI212,AJ212)</f>
        <v/>
      </c>
    </row>
    <row r="213" customFormat="false" ht="15" hidden="false" customHeight="true" outlineLevel="0" collapsed="false">
      <c r="A213" s="8" t="n">
        <v>211</v>
      </c>
      <c r="B213" s="20"/>
      <c r="C213" s="21" t="n">
        <v>74</v>
      </c>
      <c r="D213" s="22"/>
      <c r="E213" s="26"/>
      <c r="F213" s="26"/>
      <c r="G213" s="26"/>
      <c r="H213" s="42"/>
      <c r="I213" s="26"/>
      <c r="J213" s="26"/>
      <c r="K213" s="26"/>
      <c r="L213" s="26"/>
      <c r="M213" s="26"/>
      <c r="N213" s="26"/>
      <c r="O213" s="43"/>
      <c r="P213" s="43"/>
      <c r="Q213" s="43"/>
      <c r="R213" s="26"/>
      <c r="S213" s="26"/>
      <c r="T213" s="26"/>
      <c r="U213" s="42"/>
      <c r="V213" s="26"/>
      <c r="W213" s="26"/>
      <c r="X213" s="43"/>
      <c r="Y213" s="26"/>
      <c r="Z213" s="26"/>
      <c r="AA213" s="26"/>
      <c r="AB213" s="26"/>
      <c r="AC213" s="26"/>
      <c r="AD213" s="26"/>
      <c r="AE213" s="44"/>
      <c r="AF213" s="28"/>
      <c r="AG213" s="28"/>
      <c r="AH213" s="28"/>
      <c r="AI213" s="28"/>
      <c r="AJ213" s="28"/>
      <c r="AK213" s="29"/>
      <c r="AL213" s="30" t="n">
        <v>0</v>
      </c>
      <c r="AM213" s="30"/>
      <c r="AN213" s="32" t="e">
        <f aca="false">#REF!</f>
        <v>#REF!</v>
      </c>
      <c r="AO213" s="2" t="str">
        <f aca="false">CONCATENATE(AF213,AG213,AH213,AI213,AJ213)</f>
        <v/>
      </c>
    </row>
    <row r="214" customFormat="false" ht="15" hidden="false" customHeight="true" outlineLevel="0" collapsed="false">
      <c r="A214" s="8" t="n">
        <v>212</v>
      </c>
      <c r="B214" s="20"/>
      <c r="C214" s="33"/>
      <c r="D214" s="34" t="s">
        <v>903</v>
      </c>
      <c r="E214" s="34" t="s">
        <v>68</v>
      </c>
      <c r="F214" s="34" t="s">
        <v>904</v>
      </c>
      <c r="G214" s="34" t="s">
        <v>34</v>
      </c>
      <c r="H214" s="35"/>
      <c r="I214" s="36"/>
      <c r="J214" s="34" t="s">
        <v>33</v>
      </c>
      <c r="K214" s="34" t="s">
        <v>69</v>
      </c>
      <c r="L214" s="34" t="s">
        <v>36</v>
      </c>
      <c r="M214" s="34" t="str">
        <f aca="false">CONCATENATE(K214," ",L214)</f>
        <v>ASCAZ HOSPITALARIA</v>
      </c>
      <c r="N214" s="34" t="s">
        <v>37</v>
      </c>
      <c r="O214" s="37" t="s">
        <v>905</v>
      </c>
      <c r="P214" s="37" t="s">
        <v>293</v>
      </c>
      <c r="Q214" s="37" t="s">
        <v>417</v>
      </c>
      <c r="R214" s="34" t="s">
        <v>41</v>
      </c>
      <c r="S214" s="34" t="s">
        <v>906</v>
      </c>
      <c r="T214" s="34" t="s">
        <v>43</v>
      </c>
      <c r="U214" s="35" t="n">
        <v>29044</v>
      </c>
      <c r="V214" s="38" t="n">
        <f aca="false">YEAR($V$1)-YEAR(U214)</f>
        <v>39</v>
      </c>
      <c r="W214" s="34" t="s">
        <v>44</v>
      </c>
      <c r="X214" s="37" t="s">
        <v>907</v>
      </c>
      <c r="Y214" s="34" t="n">
        <v>16</v>
      </c>
      <c r="Z214" s="34" t="s">
        <v>509</v>
      </c>
      <c r="AA214" s="34" t="s">
        <v>46</v>
      </c>
      <c r="AB214" s="34" t="s">
        <v>47</v>
      </c>
      <c r="AC214" s="34" t="n">
        <v>33203</v>
      </c>
      <c r="AD214" s="34" t="n">
        <v>685964904</v>
      </c>
      <c r="AE214" s="39" t="s">
        <v>908</v>
      </c>
      <c r="AF214" s="75" t="s">
        <v>909</v>
      </c>
      <c r="AG214" s="40" t="s">
        <v>649</v>
      </c>
      <c r="AH214" s="40" t="n">
        <v>2805</v>
      </c>
      <c r="AI214" s="40" t="n">
        <v>46</v>
      </c>
      <c r="AJ214" s="40" t="s">
        <v>910</v>
      </c>
      <c r="AK214" s="29"/>
      <c r="AL214" s="33"/>
      <c r="AM214" s="41" t="n">
        <v>10</v>
      </c>
      <c r="AO214" s="2" t="str">
        <f aca="false">CONCATENATE(AF214,AG214,AH214,AI214,AJ214)</f>
        <v>ES7801822805460201559627</v>
      </c>
    </row>
    <row r="215" customFormat="false" ht="15" hidden="false" customHeight="true" outlineLevel="0" collapsed="false">
      <c r="A215" s="8" t="n">
        <v>213</v>
      </c>
      <c r="B215" s="20"/>
      <c r="C215" s="33"/>
      <c r="D215" s="34" t="s">
        <v>911</v>
      </c>
      <c r="E215" s="34" t="s">
        <v>68</v>
      </c>
      <c r="F215" s="34" t="s">
        <v>904</v>
      </c>
      <c r="G215" s="34" t="s">
        <v>34</v>
      </c>
      <c r="H215" s="35"/>
      <c r="I215" s="36"/>
      <c r="J215" s="34" t="s">
        <v>33</v>
      </c>
      <c r="K215" s="34" t="s">
        <v>69</v>
      </c>
      <c r="L215" s="34" t="s">
        <v>36</v>
      </c>
      <c r="M215" s="34" t="str">
        <f aca="false">CONCATENATE(K215," ",L215)</f>
        <v>ASCAZ HOSPITALARIA</v>
      </c>
      <c r="N215" s="34" t="s">
        <v>70</v>
      </c>
      <c r="O215" s="37" t="s">
        <v>905</v>
      </c>
      <c r="P215" s="37" t="s">
        <v>912</v>
      </c>
      <c r="Q215" s="37" t="s">
        <v>40</v>
      </c>
      <c r="R215" s="34" t="s">
        <v>41</v>
      </c>
      <c r="S215" s="34" t="s">
        <v>913</v>
      </c>
      <c r="T215" s="34" t="s">
        <v>43</v>
      </c>
      <c r="U215" s="35" t="n">
        <v>16060</v>
      </c>
      <c r="V215" s="38" t="n">
        <f aca="false">YEAR($V$1)-YEAR(U215)</f>
        <v>75</v>
      </c>
      <c r="W215" s="34"/>
      <c r="X215" s="37"/>
      <c r="Y215" s="34"/>
      <c r="Z215" s="34"/>
      <c r="AA215" s="34"/>
      <c r="AB215" s="34"/>
      <c r="AC215" s="34"/>
      <c r="AD215" s="34"/>
      <c r="AE215" s="39"/>
      <c r="AF215" s="40"/>
      <c r="AG215" s="40"/>
      <c r="AH215" s="40"/>
      <c r="AI215" s="40"/>
      <c r="AJ215" s="40"/>
      <c r="AK215" s="29"/>
      <c r="AL215" s="33"/>
      <c r="AM215" s="41" t="n">
        <v>10</v>
      </c>
      <c r="AO215" s="2" t="str">
        <f aca="false">CONCATENATE(AF215,AG215,AH215,AI215,AJ215)</f>
        <v/>
      </c>
    </row>
    <row r="216" customFormat="false" ht="15" hidden="false" customHeight="true" outlineLevel="0" collapsed="false">
      <c r="A216" s="8" t="n">
        <v>214</v>
      </c>
      <c r="B216" s="20"/>
      <c r="C216" s="33"/>
      <c r="D216" s="34" t="s">
        <v>914</v>
      </c>
      <c r="E216" s="34" t="s">
        <v>68</v>
      </c>
      <c r="F216" s="34" t="s">
        <v>904</v>
      </c>
      <c r="G216" s="34" t="s">
        <v>34</v>
      </c>
      <c r="H216" s="35"/>
      <c r="I216" s="36"/>
      <c r="J216" s="34" t="s">
        <v>33</v>
      </c>
      <c r="K216" s="34" t="s">
        <v>69</v>
      </c>
      <c r="L216" s="34" t="s">
        <v>36</v>
      </c>
      <c r="M216" s="34" t="str">
        <f aca="false">CONCATENATE(K216," ",L216)</f>
        <v>ASCAZ HOSPITALARIA</v>
      </c>
      <c r="N216" s="34" t="s">
        <v>70</v>
      </c>
      <c r="O216" s="37" t="s">
        <v>915</v>
      </c>
      <c r="P216" s="37" t="s">
        <v>417</v>
      </c>
      <c r="Q216" s="37" t="s">
        <v>916</v>
      </c>
      <c r="R216" s="34" t="s">
        <v>41</v>
      </c>
      <c r="S216" s="34" t="s">
        <v>917</v>
      </c>
      <c r="T216" s="34" t="s">
        <v>59</v>
      </c>
      <c r="U216" s="35" t="n">
        <v>18881</v>
      </c>
      <c r="V216" s="38" t="n">
        <f aca="false">YEAR($V$1)-YEAR(U216)</f>
        <v>67</v>
      </c>
      <c r="W216" s="34"/>
      <c r="X216" s="37"/>
      <c r="Y216" s="34"/>
      <c r="Z216" s="34"/>
      <c r="AA216" s="34"/>
      <c r="AB216" s="34"/>
      <c r="AC216" s="34"/>
      <c r="AD216" s="34"/>
      <c r="AE216" s="39"/>
      <c r="AF216" s="40"/>
      <c r="AG216" s="40"/>
      <c r="AH216" s="40"/>
      <c r="AI216" s="40"/>
      <c r="AJ216" s="40"/>
      <c r="AK216" s="29"/>
      <c r="AL216" s="33"/>
      <c r="AM216" s="41" t="n">
        <v>10</v>
      </c>
      <c r="AO216" s="2" t="str">
        <f aca="false">CONCATENATE(AF216,AG216,AH216,AI216,AJ216)</f>
        <v/>
      </c>
    </row>
    <row r="217" customFormat="false" ht="15" hidden="false" customHeight="true" outlineLevel="0" collapsed="false">
      <c r="A217" s="8" t="n">
        <v>215</v>
      </c>
      <c r="B217" s="20"/>
      <c r="C217" s="21" t="n">
        <v>75</v>
      </c>
      <c r="D217" s="22"/>
      <c r="E217" s="26"/>
      <c r="F217" s="26"/>
      <c r="G217" s="26"/>
      <c r="H217" s="42"/>
      <c r="I217" s="26"/>
      <c r="J217" s="26"/>
      <c r="K217" s="26"/>
      <c r="L217" s="26"/>
      <c r="M217" s="26"/>
      <c r="N217" s="26"/>
      <c r="O217" s="43"/>
      <c r="P217" s="43"/>
      <c r="Q217" s="43"/>
      <c r="R217" s="26"/>
      <c r="S217" s="26"/>
      <c r="T217" s="26"/>
      <c r="U217" s="42"/>
      <c r="V217" s="26"/>
      <c r="W217" s="26"/>
      <c r="X217" s="43"/>
      <c r="Y217" s="26"/>
      <c r="Z217" s="26"/>
      <c r="AA217" s="26"/>
      <c r="AB217" s="26"/>
      <c r="AC217" s="26"/>
      <c r="AD217" s="26"/>
      <c r="AE217" s="44"/>
      <c r="AF217" s="28"/>
      <c r="AG217" s="28"/>
      <c r="AH217" s="28"/>
      <c r="AI217" s="28"/>
      <c r="AJ217" s="28"/>
      <c r="AK217" s="29"/>
      <c r="AL217" s="30" t="n">
        <v>30</v>
      </c>
      <c r="AM217" s="30"/>
      <c r="AN217" s="32" t="e">
        <f aca="false">#REF!</f>
        <v>#REF!</v>
      </c>
      <c r="AO217" s="2" t="str">
        <f aca="false">CONCATENATE(AF217,AG217,AH217,AI217,AJ217)</f>
        <v/>
      </c>
    </row>
    <row r="218" customFormat="false" ht="15" hidden="false" customHeight="true" outlineLevel="0" collapsed="false">
      <c r="A218" s="8" t="n">
        <v>216</v>
      </c>
      <c r="B218" s="20"/>
      <c r="C218" s="33"/>
      <c r="D218" s="34" t="s">
        <v>918</v>
      </c>
      <c r="E218" s="34" t="s">
        <v>68</v>
      </c>
      <c r="F218" s="34"/>
      <c r="G218" s="34" t="s">
        <v>118</v>
      </c>
      <c r="H218" s="35"/>
      <c r="I218" s="36"/>
      <c r="J218" s="34" t="s">
        <v>33</v>
      </c>
      <c r="K218" s="34" t="s">
        <v>69</v>
      </c>
      <c r="L218" s="34" t="s">
        <v>36</v>
      </c>
      <c r="M218" s="34" t="str">
        <f aca="false">CONCATENATE(K218," ",L218)</f>
        <v>ASCAZ HOSPITALARIA</v>
      </c>
      <c r="N218" s="34" t="s">
        <v>102</v>
      </c>
      <c r="O218" s="37" t="s">
        <v>416</v>
      </c>
      <c r="P218" s="37" t="s">
        <v>315</v>
      </c>
      <c r="Q218" s="37" t="s">
        <v>919</v>
      </c>
      <c r="R218" s="34" t="s">
        <v>41</v>
      </c>
      <c r="S218" s="34" t="s">
        <v>920</v>
      </c>
      <c r="T218" s="34" t="s">
        <v>43</v>
      </c>
      <c r="U218" s="35" t="n">
        <v>29235</v>
      </c>
      <c r="V218" s="38" t="n">
        <f aca="false">YEAR($V$1)-YEAR(U218)</f>
        <v>38</v>
      </c>
      <c r="W218" s="34" t="s">
        <v>44</v>
      </c>
      <c r="X218" s="37" t="s">
        <v>921</v>
      </c>
      <c r="Y218" s="34" t="n">
        <v>6</v>
      </c>
      <c r="Z218" s="34" t="s">
        <v>922</v>
      </c>
      <c r="AA218" s="34" t="s">
        <v>46</v>
      </c>
      <c r="AB218" s="34" t="s">
        <v>300</v>
      </c>
      <c r="AC218" s="34" t="n">
        <v>33011</v>
      </c>
      <c r="AD218" s="34" t="n">
        <v>615218434</v>
      </c>
      <c r="AE218" s="39" t="s">
        <v>923</v>
      </c>
      <c r="AF218" s="40" t="s">
        <v>637</v>
      </c>
      <c r="AG218" s="40" t="n">
        <v>2100</v>
      </c>
      <c r="AH218" s="40" t="n">
        <v>5640</v>
      </c>
      <c r="AI218" s="40" t="n">
        <v>60</v>
      </c>
      <c r="AJ218" s="40" t="s">
        <v>924</v>
      </c>
      <c r="AK218" s="29"/>
      <c r="AL218" s="33"/>
      <c r="AM218" s="41" t="n">
        <v>10</v>
      </c>
      <c r="AO218" s="2" t="str">
        <f aca="false">CONCATENATE(AF218,AG218,AH218,AI218,AJ218)</f>
        <v>ES3321005640600100137009</v>
      </c>
    </row>
    <row r="219" customFormat="false" ht="15" hidden="false" customHeight="true" outlineLevel="0" collapsed="false">
      <c r="A219" s="8" t="n">
        <v>217</v>
      </c>
      <c r="B219" s="20"/>
      <c r="C219" s="21" t="n">
        <v>76</v>
      </c>
      <c r="D219" s="22"/>
      <c r="E219" s="26"/>
      <c r="F219" s="26"/>
      <c r="G219" s="26"/>
      <c r="H219" s="42"/>
      <c r="I219" s="26"/>
      <c r="J219" s="26"/>
      <c r="K219" s="26"/>
      <c r="L219" s="26"/>
      <c r="M219" s="26"/>
      <c r="N219" s="26"/>
      <c r="O219" s="43"/>
      <c r="P219" s="43"/>
      <c r="Q219" s="43"/>
      <c r="R219" s="26"/>
      <c r="S219" s="26"/>
      <c r="T219" s="26"/>
      <c r="U219" s="42"/>
      <c r="V219" s="26"/>
      <c r="W219" s="26"/>
      <c r="X219" s="43"/>
      <c r="Y219" s="26"/>
      <c r="Z219" s="26"/>
      <c r="AA219" s="26"/>
      <c r="AB219" s="26"/>
      <c r="AC219" s="26"/>
      <c r="AD219" s="26"/>
      <c r="AE219" s="44"/>
      <c r="AF219" s="28"/>
      <c r="AG219" s="28"/>
      <c r="AH219" s="28"/>
      <c r="AI219" s="28"/>
      <c r="AJ219" s="28"/>
      <c r="AK219" s="29"/>
      <c r="AL219" s="30" t="n">
        <v>30</v>
      </c>
      <c r="AM219" s="30"/>
      <c r="AN219" s="32" t="e">
        <f aca="false">#REF!</f>
        <v>#REF!</v>
      </c>
      <c r="AO219" s="2" t="str">
        <f aca="false">CONCATENATE(AF219,AG219,AH219,AI219,AJ219)</f>
        <v/>
      </c>
    </row>
    <row r="220" customFormat="false" ht="15" hidden="false" customHeight="true" outlineLevel="0" collapsed="false">
      <c r="A220" s="8" t="n">
        <v>218</v>
      </c>
      <c r="B220" s="20"/>
      <c r="C220" s="33"/>
      <c r="D220" s="34" t="s">
        <v>925</v>
      </c>
      <c r="E220" s="34" t="s">
        <v>68</v>
      </c>
      <c r="F220" s="34"/>
      <c r="G220" s="34" t="s">
        <v>118</v>
      </c>
      <c r="H220" s="35"/>
      <c r="I220" s="36"/>
      <c r="J220" s="34" t="s">
        <v>33</v>
      </c>
      <c r="K220" s="34" t="s">
        <v>69</v>
      </c>
      <c r="L220" s="34" t="s">
        <v>36</v>
      </c>
      <c r="M220" s="34" t="str">
        <f aca="false">CONCATENATE(K220," ",L220)</f>
        <v>ASCAZ HOSPITALARIA</v>
      </c>
      <c r="N220" s="34" t="s">
        <v>102</v>
      </c>
      <c r="O220" s="37" t="s">
        <v>295</v>
      </c>
      <c r="P220" s="37" t="s">
        <v>315</v>
      </c>
      <c r="Q220" s="37" t="s">
        <v>40</v>
      </c>
      <c r="R220" s="34" t="s">
        <v>41</v>
      </c>
      <c r="S220" s="34" t="s">
        <v>926</v>
      </c>
      <c r="T220" s="34" t="s">
        <v>59</v>
      </c>
      <c r="U220" s="35" t="n">
        <v>27934</v>
      </c>
      <c r="V220" s="38" t="n">
        <f aca="false">YEAR($V$1)-YEAR(U220)</f>
        <v>42</v>
      </c>
      <c r="W220" s="34" t="s">
        <v>927</v>
      </c>
      <c r="X220" s="37" t="s">
        <v>928</v>
      </c>
      <c r="Y220" s="34" t="n">
        <v>52</v>
      </c>
      <c r="Z220" s="34" t="s">
        <v>929</v>
      </c>
      <c r="AA220" s="34" t="s">
        <v>46</v>
      </c>
      <c r="AB220" s="34" t="s">
        <v>300</v>
      </c>
      <c r="AC220" s="34" t="n">
        <v>33012</v>
      </c>
      <c r="AD220" s="34" t="n">
        <v>691687936</v>
      </c>
      <c r="AE220" s="39" t="s">
        <v>930</v>
      </c>
      <c r="AF220" s="40" t="s">
        <v>931</v>
      </c>
      <c r="AG220" s="40" t="n">
        <v>2048</v>
      </c>
      <c r="AH220" s="40" t="s">
        <v>932</v>
      </c>
      <c r="AI220" s="40" t="n">
        <v>30</v>
      </c>
      <c r="AJ220" s="40" t="n">
        <v>3000251808</v>
      </c>
      <c r="AK220" s="29"/>
      <c r="AL220" s="33"/>
      <c r="AM220" s="41" t="n">
        <v>10</v>
      </c>
      <c r="AO220" s="2" t="str">
        <f aca="false">CONCATENATE(AF220,AG220,AH220,AI220,AJ220)</f>
        <v>ES7420480051303000251808</v>
      </c>
    </row>
    <row r="221" customFormat="false" ht="15" hidden="false" customHeight="true" outlineLevel="0" collapsed="false">
      <c r="A221" s="8" t="n">
        <v>219</v>
      </c>
      <c r="B221" s="20"/>
      <c r="C221" s="33"/>
      <c r="D221" s="34" t="s">
        <v>933</v>
      </c>
      <c r="E221" s="34" t="s">
        <v>68</v>
      </c>
      <c r="F221" s="34"/>
      <c r="G221" s="34" t="s">
        <v>118</v>
      </c>
      <c r="H221" s="35"/>
      <c r="I221" s="36"/>
      <c r="J221" s="34" t="s">
        <v>33</v>
      </c>
      <c r="K221" s="34" t="s">
        <v>69</v>
      </c>
      <c r="L221" s="34" t="s">
        <v>36</v>
      </c>
      <c r="M221" s="34" t="str">
        <f aca="false">CONCATENATE(K221," ",L221)</f>
        <v>ASCAZ HOSPITALARIA</v>
      </c>
      <c r="N221" s="34" t="s">
        <v>54</v>
      </c>
      <c r="O221" s="37" t="s">
        <v>797</v>
      </c>
      <c r="P221" s="37" t="s">
        <v>190</v>
      </c>
      <c r="Q221" s="37" t="s">
        <v>934</v>
      </c>
      <c r="R221" s="34" t="s">
        <v>41</v>
      </c>
      <c r="S221" s="34" t="s">
        <v>935</v>
      </c>
      <c r="T221" s="34" t="s">
        <v>43</v>
      </c>
      <c r="U221" s="35" t="n">
        <v>27002</v>
      </c>
      <c r="V221" s="38" t="n">
        <f aca="false">YEAR($V$1)-YEAR(U221)</f>
        <v>45</v>
      </c>
      <c r="W221" s="34"/>
      <c r="X221" s="37"/>
      <c r="Y221" s="34"/>
      <c r="Z221" s="34"/>
      <c r="AA221" s="34"/>
      <c r="AB221" s="34"/>
      <c r="AC221" s="34"/>
      <c r="AD221" s="34"/>
      <c r="AE221" s="39"/>
      <c r="AF221" s="40"/>
      <c r="AG221" s="40"/>
      <c r="AH221" s="40"/>
      <c r="AI221" s="40"/>
      <c r="AJ221" s="40"/>
      <c r="AK221" s="29"/>
      <c r="AL221" s="33"/>
      <c r="AM221" s="41" t="n">
        <v>10</v>
      </c>
      <c r="AO221" s="2" t="str">
        <f aca="false">CONCATENATE(AF221,AG221,AH221,AI221,AJ221)</f>
        <v/>
      </c>
    </row>
    <row r="222" customFormat="false" ht="15" hidden="false" customHeight="true" outlineLevel="0" collapsed="false">
      <c r="A222" s="8" t="n">
        <v>220</v>
      </c>
      <c r="B222" s="20"/>
      <c r="C222" s="33"/>
      <c r="D222" s="34" t="s">
        <v>936</v>
      </c>
      <c r="E222" s="34" t="s">
        <v>68</v>
      </c>
      <c r="F222" s="34"/>
      <c r="G222" s="34" t="s">
        <v>118</v>
      </c>
      <c r="H222" s="35"/>
      <c r="I222" s="36"/>
      <c r="J222" s="34" t="s">
        <v>33</v>
      </c>
      <c r="K222" s="34" t="s">
        <v>69</v>
      </c>
      <c r="L222" s="34" t="s">
        <v>36</v>
      </c>
      <c r="M222" s="34" t="str">
        <f aca="false">CONCATENATE(K222," ",L222)</f>
        <v>ASCAZ HOSPITALARIA</v>
      </c>
      <c r="N222" s="34" t="s">
        <v>62</v>
      </c>
      <c r="O222" s="37" t="s">
        <v>441</v>
      </c>
      <c r="P222" s="37" t="s">
        <v>190</v>
      </c>
      <c r="Q222" s="37" t="s">
        <v>315</v>
      </c>
      <c r="R222" s="34"/>
      <c r="S222" s="34"/>
      <c r="T222" s="34" t="s">
        <v>59</v>
      </c>
      <c r="U222" s="35" t="n">
        <v>42085</v>
      </c>
      <c r="V222" s="38" t="n">
        <f aca="false">YEAR($V$1)-YEAR(U222)</f>
        <v>3</v>
      </c>
      <c r="W222" s="34"/>
      <c r="X222" s="37"/>
      <c r="Y222" s="34"/>
      <c r="Z222" s="34"/>
      <c r="AA222" s="34"/>
      <c r="AB222" s="34"/>
      <c r="AC222" s="34"/>
      <c r="AD222" s="34"/>
      <c r="AE222" s="39"/>
      <c r="AF222" s="40"/>
      <c r="AG222" s="40"/>
      <c r="AH222" s="40"/>
      <c r="AI222" s="40"/>
      <c r="AJ222" s="40"/>
      <c r="AK222" s="29"/>
      <c r="AL222" s="33"/>
      <c r="AM222" s="41" t="n">
        <v>10</v>
      </c>
      <c r="AO222" s="2" t="str">
        <f aca="false">CONCATENATE(AF222,AG222,AH222,AI222,AJ222)</f>
        <v/>
      </c>
    </row>
    <row r="223" customFormat="false" ht="15" hidden="false" customHeight="true" outlineLevel="0" collapsed="false">
      <c r="A223" s="8" t="n">
        <v>221</v>
      </c>
      <c r="B223" s="20"/>
      <c r="C223" s="21" t="n">
        <v>77</v>
      </c>
      <c r="D223" s="22"/>
      <c r="E223" s="26"/>
      <c r="F223" s="26"/>
      <c r="G223" s="26"/>
      <c r="H223" s="42"/>
      <c r="I223" s="26"/>
      <c r="J223" s="26"/>
      <c r="K223" s="26"/>
      <c r="L223" s="26"/>
      <c r="M223" s="26"/>
      <c r="N223" s="26"/>
      <c r="O223" s="43"/>
      <c r="P223" s="43"/>
      <c r="Q223" s="43"/>
      <c r="R223" s="26"/>
      <c r="S223" s="26"/>
      <c r="T223" s="26"/>
      <c r="U223" s="42"/>
      <c r="V223" s="26"/>
      <c r="W223" s="26"/>
      <c r="X223" s="43"/>
      <c r="Y223" s="26"/>
      <c r="Z223" s="26"/>
      <c r="AA223" s="26"/>
      <c r="AB223" s="26"/>
      <c r="AC223" s="26"/>
      <c r="AD223" s="26"/>
      <c r="AE223" s="44"/>
      <c r="AF223" s="28"/>
      <c r="AG223" s="28"/>
      <c r="AH223" s="28"/>
      <c r="AI223" s="28"/>
      <c r="AJ223" s="28"/>
      <c r="AK223" s="29"/>
      <c r="AL223" s="30" t="n">
        <v>30</v>
      </c>
      <c r="AM223" s="30"/>
      <c r="AN223" s="32" t="e">
        <f aca="false">#REF!</f>
        <v>#REF!</v>
      </c>
      <c r="AO223" s="2" t="str">
        <f aca="false">CONCATENATE(AF223,AG223,AH223,AI223,AJ223)</f>
        <v/>
      </c>
    </row>
    <row r="224" customFormat="false" ht="15" hidden="false" customHeight="true" outlineLevel="0" collapsed="false">
      <c r="A224" s="8" t="n">
        <v>222</v>
      </c>
      <c r="B224" s="20"/>
      <c r="C224" s="33"/>
      <c r="D224" s="34" t="s">
        <v>937</v>
      </c>
      <c r="E224" s="34" t="s">
        <v>68</v>
      </c>
      <c r="F224" s="34" t="s">
        <v>668</v>
      </c>
      <c r="G224" s="34" t="s">
        <v>118</v>
      </c>
      <c r="H224" s="35"/>
      <c r="I224" s="36"/>
      <c r="J224" s="34" t="s">
        <v>33</v>
      </c>
      <c r="K224" s="34" t="s">
        <v>69</v>
      </c>
      <c r="L224" s="34" t="s">
        <v>36</v>
      </c>
      <c r="M224" s="34" t="str">
        <f aca="false">CONCATENATE(K224," ",L224)</f>
        <v>ASCAZ HOSPITALARIA</v>
      </c>
      <c r="N224" s="34" t="s">
        <v>37</v>
      </c>
      <c r="O224" s="37" t="s">
        <v>241</v>
      </c>
      <c r="P224" s="37" t="s">
        <v>104</v>
      </c>
      <c r="Q224" s="37" t="s">
        <v>105</v>
      </c>
      <c r="R224" s="34" t="s">
        <v>41</v>
      </c>
      <c r="S224" s="34" t="s">
        <v>938</v>
      </c>
      <c r="T224" s="34" t="s">
        <v>59</v>
      </c>
      <c r="U224" s="35" t="n">
        <v>27834</v>
      </c>
      <c r="V224" s="38" t="n">
        <f aca="false">YEAR($V$1)-YEAR(U224)</f>
        <v>42</v>
      </c>
      <c r="W224" s="34" t="s">
        <v>44</v>
      </c>
      <c r="X224" s="37" t="s">
        <v>939</v>
      </c>
      <c r="Y224" s="34" t="n">
        <v>6</v>
      </c>
      <c r="Z224" s="34" t="s">
        <v>940</v>
      </c>
      <c r="AA224" s="34" t="s">
        <v>941</v>
      </c>
      <c r="AB224" s="34" t="s">
        <v>941</v>
      </c>
      <c r="AC224" s="34" t="n">
        <v>24007</v>
      </c>
      <c r="AD224" s="34" t="n">
        <v>676274946</v>
      </c>
      <c r="AE224" s="39" t="s">
        <v>942</v>
      </c>
      <c r="AF224" s="40" t="s">
        <v>943</v>
      </c>
      <c r="AG224" s="40" t="s">
        <v>649</v>
      </c>
      <c r="AH224" s="40" t="n">
        <v>3330</v>
      </c>
      <c r="AI224" s="40" t="n">
        <v>72</v>
      </c>
      <c r="AJ224" s="40" t="s">
        <v>944</v>
      </c>
      <c r="AK224" s="29"/>
      <c r="AL224" s="33"/>
      <c r="AM224" s="41" t="n">
        <v>10</v>
      </c>
      <c r="AO224" s="2" t="str">
        <f aca="false">CONCATENATE(AF224,AG224,AH224,AI224,AJ224)</f>
        <v>ES0501823330720201689878</v>
      </c>
    </row>
    <row r="225" customFormat="false" ht="15" hidden="false" customHeight="true" outlineLevel="0" collapsed="false">
      <c r="A225" s="8" t="n">
        <v>223</v>
      </c>
      <c r="B225" s="20"/>
      <c r="C225" s="21" t="n">
        <v>78</v>
      </c>
      <c r="D225" s="22"/>
      <c r="E225" s="26"/>
      <c r="F225" s="26"/>
      <c r="G225" s="26"/>
      <c r="H225" s="42"/>
      <c r="I225" s="26"/>
      <c r="J225" s="26"/>
      <c r="K225" s="26"/>
      <c r="L225" s="26"/>
      <c r="M225" s="26"/>
      <c r="N225" s="26"/>
      <c r="O225" s="43"/>
      <c r="P225" s="43"/>
      <c r="Q225" s="43"/>
      <c r="R225" s="26"/>
      <c r="S225" s="26"/>
      <c r="T225" s="26"/>
      <c r="U225" s="42"/>
      <c r="V225" s="26"/>
      <c r="W225" s="26"/>
      <c r="X225" s="43"/>
      <c r="Y225" s="26"/>
      <c r="Z225" s="26"/>
      <c r="AA225" s="26"/>
      <c r="AB225" s="26"/>
      <c r="AC225" s="26"/>
      <c r="AD225" s="26"/>
      <c r="AE225" s="44"/>
      <c r="AF225" s="28"/>
      <c r="AG225" s="28"/>
      <c r="AH225" s="28"/>
      <c r="AI225" s="28"/>
      <c r="AJ225" s="28"/>
      <c r="AK225" s="29"/>
      <c r="AL225" s="30" t="n">
        <v>30</v>
      </c>
      <c r="AM225" s="30"/>
      <c r="AN225" s="32" t="e">
        <f aca="false">#REF!</f>
        <v>#REF!</v>
      </c>
      <c r="AO225" s="2" t="str">
        <f aca="false">CONCATENATE(AF225,AG225,AH225,AI225,AJ225)</f>
        <v/>
      </c>
    </row>
    <row r="226" customFormat="false" ht="15" hidden="false" customHeight="true" outlineLevel="0" collapsed="false">
      <c r="A226" s="8" t="n">
        <v>224</v>
      </c>
      <c r="B226" s="20"/>
      <c r="C226" s="33"/>
      <c r="D226" s="34" t="s">
        <v>945</v>
      </c>
      <c r="E226" s="34" t="s">
        <v>68</v>
      </c>
      <c r="F226" s="34" t="s">
        <v>756</v>
      </c>
      <c r="G226" s="34" t="s">
        <v>118</v>
      </c>
      <c r="H226" s="35"/>
      <c r="I226" s="36"/>
      <c r="J226" s="34" t="s">
        <v>33</v>
      </c>
      <c r="K226" s="34" t="s">
        <v>69</v>
      </c>
      <c r="L226" s="34" t="s">
        <v>36</v>
      </c>
      <c r="M226" s="34" t="str">
        <f aca="false">CONCATENATE(K226," ",L226)</f>
        <v>ASCAZ HOSPITALARIA</v>
      </c>
      <c r="N226" s="34" t="s">
        <v>37</v>
      </c>
      <c r="O226" s="37" t="s">
        <v>946</v>
      </c>
      <c r="P226" s="37" t="s">
        <v>200</v>
      </c>
      <c r="Q226" s="37" t="s">
        <v>134</v>
      </c>
      <c r="R226" s="34" t="s">
        <v>41</v>
      </c>
      <c r="S226" s="34" t="s">
        <v>947</v>
      </c>
      <c r="T226" s="34" t="s">
        <v>43</v>
      </c>
      <c r="U226" s="35" t="n">
        <v>17170</v>
      </c>
      <c r="V226" s="38" t="n">
        <f aca="false">YEAR($V$1)-YEAR(U226)</f>
        <v>71</v>
      </c>
      <c r="W226" s="34" t="s">
        <v>44</v>
      </c>
      <c r="X226" s="37" t="s">
        <v>948</v>
      </c>
      <c r="Y226" s="34" t="n">
        <v>2</v>
      </c>
      <c r="Z226" s="34" t="s">
        <v>949</v>
      </c>
      <c r="AA226" s="34" t="s">
        <v>46</v>
      </c>
      <c r="AB226" s="34" t="s">
        <v>47</v>
      </c>
      <c r="AC226" s="34" t="n">
        <v>33208</v>
      </c>
      <c r="AD226" s="34" t="n">
        <v>985140258</v>
      </c>
      <c r="AE226" s="39" t="s">
        <v>950</v>
      </c>
      <c r="AF226" s="40" t="s">
        <v>951</v>
      </c>
      <c r="AG226" s="40" t="n">
        <v>2048</v>
      </c>
      <c r="AH226" s="40" t="s">
        <v>952</v>
      </c>
      <c r="AI226" s="40" t="n">
        <v>41</v>
      </c>
      <c r="AJ226" s="40" t="n">
        <v>3400004358</v>
      </c>
      <c r="AK226" s="29"/>
      <c r="AL226" s="33"/>
      <c r="AM226" s="41" t="n">
        <v>10</v>
      </c>
      <c r="AO226" s="2" t="str">
        <f aca="false">CONCATENATE(AF226,AG226,AH226,AI226,AJ226)</f>
        <v>ES8620480142413400004358</v>
      </c>
    </row>
    <row r="227" customFormat="false" ht="15" hidden="false" customHeight="true" outlineLevel="0" collapsed="false">
      <c r="A227" s="8" t="n">
        <v>225</v>
      </c>
      <c r="B227" s="20"/>
      <c r="C227" s="33"/>
      <c r="D227" s="34" t="s">
        <v>953</v>
      </c>
      <c r="E227" s="34" t="s">
        <v>68</v>
      </c>
      <c r="F227" s="34" t="s">
        <v>756</v>
      </c>
      <c r="G227" s="34" t="s">
        <v>118</v>
      </c>
      <c r="H227" s="35"/>
      <c r="I227" s="36"/>
      <c r="J227" s="34" t="s">
        <v>33</v>
      </c>
      <c r="K227" s="34" t="s">
        <v>69</v>
      </c>
      <c r="L227" s="34" t="s">
        <v>36</v>
      </c>
      <c r="M227" s="34" t="str">
        <f aca="false">CONCATENATE(K227," ",L227)</f>
        <v>ASCAZ HOSPITALARIA</v>
      </c>
      <c r="N227" s="34" t="s">
        <v>54</v>
      </c>
      <c r="O227" s="37" t="s">
        <v>779</v>
      </c>
      <c r="P227" s="37" t="s">
        <v>322</v>
      </c>
      <c r="Q227" s="37" t="s">
        <v>200</v>
      </c>
      <c r="R227" s="34" t="s">
        <v>41</v>
      </c>
      <c r="S227" s="34" t="s">
        <v>954</v>
      </c>
      <c r="T227" s="34" t="s">
        <v>59</v>
      </c>
      <c r="U227" s="35" t="n">
        <v>22080</v>
      </c>
      <c r="V227" s="38" t="n">
        <f aca="false">YEAR($V$1)-YEAR(U227)</f>
        <v>58</v>
      </c>
      <c r="W227" s="34"/>
      <c r="X227" s="37"/>
      <c r="Y227" s="34"/>
      <c r="Z227" s="34"/>
      <c r="AA227" s="34"/>
      <c r="AB227" s="34"/>
      <c r="AC227" s="34"/>
      <c r="AD227" s="34"/>
      <c r="AE227" s="39"/>
      <c r="AF227" s="40"/>
      <c r="AG227" s="40"/>
      <c r="AH227" s="40"/>
      <c r="AI227" s="40"/>
      <c r="AJ227" s="40"/>
      <c r="AK227" s="29"/>
      <c r="AL227" s="33"/>
      <c r="AM227" s="41" t="n">
        <v>10</v>
      </c>
      <c r="AO227" s="2" t="str">
        <f aca="false">CONCATENATE(AF227,AG227,AH227,AI227,AJ227)</f>
        <v/>
      </c>
    </row>
    <row r="228" customFormat="false" ht="15" hidden="false" customHeight="true" outlineLevel="0" collapsed="false">
      <c r="A228" s="8" t="n">
        <v>226</v>
      </c>
      <c r="B228" s="20"/>
      <c r="C228" s="21" t="n">
        <v>79</v>
      </c>
      <c r="D228" s="22"/>
      <c r="E228" s="26"/>
      <c r="F228" s="26"/>
      <c r="G228" s="26"/>
      <c r="H228" s="42"/>
      <c r="I228" s="26"/>
      <c r="J228" s="26"/>
      <c r="K228" s="26"/>
      <c r="L228" s="26"/>
      <c r="M228" s="26"/>
      <c r="N228" s="26"/>
      <c r="O228" s="43"/>
      <c r="P228" s="43"/>
      <c r="Q228" s="43"/>
      <c r="R228" s="26"/>
      <c r="S228" s="26"/>
      <c r="T228" s="26"/>
      <c r="U228" s="42"/>
      <c r="V228" s="26"/>
      <c r="W228" s="26"/>
      <c r="X228" s="43"/>
      <c r="Y228" s="26"/>
      <c r="Z228" s="26"/>
      <c r="AA228" s="26"/>
      <c r="AB228" s="26"/>
      <c r="AC228" s="26"/>
      <c r="AD228" s="26"/>
      <c r="AE228" s="44"/>
      <c r="AF228" s="28"/>
      <c r="AG228" s="28"/>
      <c r="AH228" s="28"/>
      <c r="AI228" s="28"/>
      <c r="AJ228" s="28"/>
      <c r="AK228" s="29"/>
      <c r="AL228" s="30" t="n">
        <v>30</v>
      </c>
      <c r="AM228" s="30"/>
      <c r="AN228" s="32" t="e">
        <f aca="false">#REF!</f>
        <v>#REF!</v>
      </c>
      <c r="AO228" s="2" t="str">
        <f aca="false">CONCATENATE(AF228,AG228,AH228,AI228,AJ228)</f>
        <v/>
      </c>
    </row>
    <row r="229" customFormat="false" ht="15" hidden="false" customHeight="true" outlineLevel="0" collapsed="false">
      <c r="A229" s="8" t="n">
        <v>227</v>
      </c>
      <c r="B229" s="20"/>
      <c r="C229" s="33"/>
      <c r="D229" s="34" t="s">
        <v>955</v>
      </c>
      <c r="E229" s="34" t="s">
        <v>68</v>
      </c>
      <c r="F229" s="34" t="s">
        <v>652</v>
      </c>
      <c r="G229" s="34" t="s">
        <v>118</v>
      </c>
      <c r="H229" s="35"/>
      <c r="I229" s="36"/>
      <c r="J229" s="34" t="s">
        <v>33</v>
      </c>
      <c r="K229" s="34" t="s">
        <v>69</v>
      </c>
      <c r="L229" s="34" t="s">
        <v>36</v>
      </c>
      <c r="M229" s="34" t="str">
        <f aca="false">CONCATENATE(K229," ",L229)</f>
        <v>ASCAZ HOSPITALARIA</v>
      </c>
      <c r="N229" s="34" t="s">
        <v>37</v>
      </c>
      <c r="O229" s="37" t="s">
        <v>956</v>
      </c>
      <c r="P229" s="37" t="s">
        <v>190</v>
      </c>
      <c r="Q229" s="37" t="s">
        <v>751</v>
      </c>
      <c r="R229" s="34" t="s">
        <v>41</v>
      </c>
      <c r="S229" s="34" t="s">
        <v>957</v>
      </c>
      <c r="T229" s="34" t="s">
        <v>43</v>
      </c>
      <c r="U229" s="35" t="n">
        <v>26856</v>
      </c>
      <c r="V229" s="38" t="n">
        <f aca="false">YEAR($V$1)-YEAR(U229)</f>
        <v>45</v>
      </c>
      <c r="W229" s="34" t="s">
        <v>44</v>
      </c>
      <c r="X229" s="37" t="s">
        <v>958</v>
      </c>
      <c r="Y229" s="34" t="n">
        <v>8</v>
      </c>
      <c r="Z229" s="34" t="s">
        <v>376</v>
      </c>
      <c r="AA229" s="34" t="s">
        <v>46</v>
      </c>
      <c r="AB229" s="34" t="s">
        <v>47</v>
      </c>
      <c r="AC229" s="34" t="n">
        <v>33208</v>
      </c>
      <c r="AD229" s="34" t="n">
        <v>647821727</v>
      </c>
      <c r="AE229" s="39" t="s">
        <v>959</v>
      </c>
      <c r="AF229" s="40" t="s">
        <v>960</v>
      </c>
      <c r="AG229" s="40" t="n">
        <v>3035</v>
      </c>
      <c r="AH229" s="40" t="s">
        <v>961</v>
      </c>
      <c r="AI229" s="40" t="n">
        <v>87</v>
      </c>
      <c r="AJ229" s="40" t="n">
        <v>3651015694</v>
      </c>
      <c r="AK229" s="29"/>
      <c r="AL229" s="33"/>
      <c r="AM229" s="41" t="n">
        <v>10</v>
      </c>
      <c r="AO229" s="2" t="str">
        <f aca="false">CONCATENATE(AF229,AG229,AH229,AI229,AJ229)</f>
        <v>ES7130350365873651015694</v>
      </c>
    </row>
    <row r="230" customFormat="false" ht="15" hidden="false" customHeight="true" outlineLevel="0" collapsed="false">
      <c r="A230" s="8" t="n">
        <v>228</v>
      </c>
      <c r="B230" s="20"/>
      <c r="C230" s="33"/>
      <c r="D230" s="34" t="s">
        <v>962</v>
      </c>
      <c r="E230" s="34" t="s">
        <v>68</v>
      </c>
      <c r="F230" s="34" t="s">
        <v>652</v>
      </c>
      <c r="G230" s="34" t="s">
        <v>118</v>
      </c>
      <c r="H230" s="35"/>
      <c r="I230" s="36"/>
      <c r="J230" s="34" t="s">
        <v>33</v>
      </c>
      <c r="K230" s="34" t="s">
        <v>69</v>
      </c>
      <c r="L230" s="34" t="s">
        <v>36</v>
      </c>
      <c r="M230" s="34" t="str">
        <f aca="false">CONCATENATE(K230," ",L230)</f>
        <v>ASCAZ HOSPITALARIA</v>
      </c>
      <c r="N230" s="34" t="s">
        <v>54</v>
      </c>
      <c r="O230" s="37" t="s">
        <v>963</v>
      </c>
      <c r="P230" s="37" t="s">
        <v>964</v>
      </c>
      <c r="Q230" s="37" t="s">
        <v>965</v>
      </c>
      <c r="R230" s="34" t="s">
        <v>41</v>
      </c>
      <c r="S230" s="34" t="s">
        <v>966</v>
      </c>
      <c r="T230" s="34" t="s">
        <v>59</v>
      </c>
      <c r="U230" s="35" t="n">
        <v>27512</v>
      </c>
      <c r="V230" s="38" t="n">
        <f aca="false">YEAR($V$1)-YEAR(U230)</f>
        <v>43</v>
      </c>
      <c r="W230" s="34"/>
      <c r="X230" s="37"/>
      <c r="Y230" s="34"/>
      <c r="Z230" s="34"/>
      <c r="AA230" s="34"/>
      <c r="AB230" s="34"/>
      <c r="AC230" s="34"/>
      <c r="AD230" s="34"/>
      <c r="AE230" s="39"/>
      <c r="AF230" s="40"/>
      <c r="AG230" s="40"/>
      <c r="AH230" s="40"/>
      <c r="AI230" s="40"/>
      <c r="AJ230" s="40"/>
      <c r="AK230" s="29"/>
      <c r="AL230" s="33"/>
      <c r="AM230" s="41" t="n">
        <v>10</v>
      </c>
      <c r="AO230" s="2" t="str">
        <f aca="false">CONCATENATE(AF230,AG230,AH230,AI230,AJ230)</f>
        <v/>
      </c>
    </row>
    <row r="231" customFormat="false" ht="15" hidden="false" customHeight="true" outlineLevel="0" collapsed="false">
      <c r="A231" s="8" t="n">
        <v>229</v>
      </c>
      <c r="B231" s="20"/>
      <c r="C231" s="33"/>
      <c r="D231" s="34" t="s">
        <v>967</v>
      </c>
      <c r="E231" s="34" t="s">
        <v>68</v>
      </c>
      <c r="F231" s="34" t="s">
        <v>652</v>
      </c>
      <c r="G231" s="34" t="s">
        <v>118</v>
      </c>
      <c r="H231" s="35"/>
      <c r="I231" s="36"/>
      <c r="J231" s="34" t="s">
        <v>33</v>
      </c>
      <c r="K231" s="34" t="s">
        <v>69</v>
      </c>
      <c r="L231" s="34" t="s">
        <v>61</v>
      </c>
      <c r="M231" s="34" t="str">
        <f aca="false">CONCATENATE(K231," ",L231)</f>
        <v>ASCAZ AMBULATORIA</v>
      </c>
      <c r="N231" s="34" t="s">
        <v>62</v>
      </c>
      <c r="O231" s="37" t="s">
        <v>326</v>
      </c>
      <c r="P231" s="37" t="s">
        <v>190</v>
      </c>
      <c r="Q231" s="37" t="s">
        <v>964</v>
      </c>
      <c r="R231" s="34" t="s">
        <v>41</v>
      </c>
      <c r="S231" s="34" t="s">
        <v>968</v>
      </c>
      <c r="T231" s="34" t="s">
        <v>59</v>
      </c>
      <c r="U231" s="35" t="n">
        <v>41241</v>
      </c>
      <c r="V231" s="38" t="n">
        <f aca="false">YEAR($V$1)-YEAR(U231)</f>
        <v>6</v>
      </c>
      <c r="W231" s="34"/>
      <c r="X231" s="37"/>
      <c r="Y231" s="34"/>
      <c r="Z231" s="34"/>
      <c r="AA231" s="34"/>
      <c r="AB231" s="34"/>
      <c r="AC231" s="34"/>
      <c r="AD231" s="34"/>
      <c r="AE231" s="39"/>
      <c r="AF231" s="40"/>
      <c r="AG231" s="40"/>
      <c r="AH231" s="40"/>
      <c r="AI231" s="40"/>
      <c r="AJ231" s="40"/>
      <c r="AK231" s="29"/>
      <c r="AL231" s="33"/>
      <c r="AM231" s="41" t="n">
        <v>10</v>
      </c>
      <c r="AO231" s="2" t="str">
        <f aca="false">CONCATENATE(AF231,AG231,AH231,AI231,AJ231)</f>
        <v/>
      </c>
    </row>
    <row r="232" customFormat="false" ht="15" hidden="false" customHeight="true" outlineLevel="0" collapsed="false">
      <c r="A232" s="8" t="n">
        <v>230</v>
      </c>
      <c r="B232" s="20"/>
      <c r="C232" s="21" t="n">
        <v>80</v>
      </c>
      <c r="D232" s="22"/>
      <c r="E232" s="26"/>
      <c r="F232" s="26"/>
      <c r="G232" s="26"/>
      <c r="H232" s="42"/>
      <c r="I232" s="26"/>
      <c r="J232" s="26"/>
      <c r="K232" s="26"/>
      <c r="L232" s="26"/>
      <c r="M232" s="26"/>
      <c r="N232" s="26"/>
      <c r="O232" s="43"/>
      <c r="P232" s="43"/>
      <c r="Q232" s="43"/>
      <c r="R232" s="26"/>
      <c r="S232" s="26"/>
      <c r="T232" s="26"/>
      <c r="U232" s="42"/>
      <c r="V232" s="26"/>
      <c r="W232" s="26"/>
      <c r="X232" s="43"/>
      <c r="Y232" s="26"/>
      <c r="Z232" s="26"/>
      <c r="AA232" s="26"/>
      <c r="AB232" s="26"/>
      <c r="AC232" s="26"/>
      <c r="AD232" s="26"/>
      <c r="AE232" s="44"/>
      <c r="AF232" s="28"/>
      <c r="AG232" s="28"/>
      <c r="AH232" s="28"/>
      <c r="AI232" s="28"/>
      <c r="AJ232" s="28"/>
      <c r="AK232" s="29"/>
      <c r="AL232" s="30" t="n">
        <v>30</v>
      </c>
      <c r="AM232" s="30"/>
      <c r="AN232" s="32" t="e">
        <f aca="false">#REF!</f>
        <v>#REF!</v>
      </c>
      <c r="AO232" s="2" t="str">
        <f aca="false">CONCATENATE(AF232,AG232,AH232,AI232,AJ232)</f>
        <v/>
      </c>
    </row>
    <row r="233" customFormat="false" ht="15" hidden="false" customHeight="true" outlineLevel="0" collapsed="false">
      <c r="A233" s="8" t="n">
        <v>231</v>
      </c>
      <c r="B233" s="20"/>
      <c r="C233" s="33"/>
      <c r="D233" s="34" t="s">
        <v>969</v>
      </c>
      <c r="E233" s="34" t="s">
        <v>68</v>
      </c>
      <c r="F233" s="34" t="s">
        <v>652</v>
      </c>
      <c r="G233" s="34" t="s">
        <v>118</v>
      </c>
      <c r="H233" s="35"/>
      <c r="I233" s="36"/>
      <c r="J233" s="34" t="s">
        <v>33</v>
      </c>
      <c r="K233" s="34" t="s">
        <v>69</v>
      </c>
      <c r="L233" s="34" t="s">
        <v>36</v>
      </c>
      <c r="M233" s="34" t="str">
        <f aca="false">CONCATENATE(K233," ",L233)</f>
        <v>ASCAZ HOSPITALARIA</v>
      </c>
      <c r="N233" s="34" t="s">
        <v>37</v>
      </c>
      <c r="O233" s="37" t="s">
        <v>575</v>
      </c>
      <c r="P233" s="37" t="s">
        <v>970</v>
      </c>
      <c r="Q233" s="37" t="s">
        <v>40</v>
      </c>
      <c r="R233" s="34" t="s">
        <v>41</v>
      </c>
      <c r="S233" s="34" t="s">
        <v>971</v>
      </c>
      <c r="T233" s="34" t="s">
        <v>59</v>
      </c>
      <c r="U233" s="35" t="n">
        <v>24829</v>
      </c>
      <c r="V233" s="38" t="n">
        <f aca="false">YEAR($V$1)-YEAR(U233)</f>
        <v>51</v>
      </c>
      <c r="W233" s="34" t="s">
        <v>44</v>
      </c>
      <c r="X233" s="37" t="s">
        <v>972</v>
      </c>
      <c r="Y233" s="34" t="n">
        <v>3</v>
      </c>
      <c r="Z233" s="34" t="s">
        <v>973</v>
      </c>
      <c r="AA233" s="34" t="s">
        <v>46</v>
      </c>
      <c r="AB233" s="34" t="s">
        <v>47</v>
      </c>
      <c r="AC233" s="34" t="n">
        <v>33207</v>
      </c>
      <c r="AD233" s="34" t="n">
        <v>617405509</v>
      </c>
      <c r="AE233" s="39" t="s">
        <v>974</v>
      </c>
      <c r="AF233" s="40" t="s">
        <v>975</v>
      </c>
      <c r="AG233" s="40" t="n">
        <v>2100</v>
      </c>
      <c r="AH233" s="40" t="n">
        <v>5636</v>
      </c>
      <c r="AI233" s="40" t="n">
        <v>61</v>
      </c>
      <c r="AJ233" s="40" t="s">
        <v>976</v>
      </c>
      <c r="AK233" s="29"/>
      <c r="AL233" s="33"/>
      <c r="AM233" s="41" t="n">
        <v>10</v>
      </c>
      <c r="AO233" s="2" t="str">
        <f aca="false">CONCATENATE(AF233,AG233,AH233,AI233,AJ233)</f>
        <v>ES4721005636610100087632</v>
      </c>
    </row>
    <row r="234" customFormat="false" ht="15" hidden="false" customHeight="true" outlineLevel="0" collapsed="false">
      <c r="A234" s="8" t="n">
        <v>232</v>
      </c>
      <c r="B234" s="20"/>
      <c r="C234" s="33"/>
      <c r="D234" s="34" t="s">
        <v>977</v>
      </c>
      <c r="E234" s="34" t="s">
        <v>68</v>
      </c>
      <c r="F234" s="34" t="s">
        <v>652</v>
      </c>
      <c r="G234" s="34" t="s">
        <v>118</v>
      </c>
      <c r="H234" s="35"/>
      <c r="I234" s="36"/>
      <c r="J234" s="34" t="s">
        <v>33</v>
      </c>
      <c r="K234" s="34" t="s">
        <v>69</v>
      </c>
      <c r="L234" s="34" t="s">
        <v>36</v>
      </c>
      <c r="M234" s="34" t="str">
        <f aca="false">CONCATENATE(K234," ",L234)</f>
        <v>ASCAZ HOSPITALARIA</v>
      </c>
      <c r="N234" s="34" t="s">
        <v>54</v>
      </c>
      <c r="O234" s="37" t="s">
        <v>978</v>
      </c>
      <c r="P234" s="37" t="s">
        <v>979</v>
      </c>
      <c r="Q234" s="37" t="s">
        <v>980</v>
      </c>
      <c r="R234" s="34" t="s">
        <v>41</v>
      </c>
      <c r="S234" s="34" t="s">
        <v>981</v>
      </c>
      <c r="T234" s="34" t="s">
        <v>43</v>
      </c>
      <c r="U234" s="35" t="n">
        <v>24822</v>
      </c>
      <c r="V234" s="38" t="n">
        <f aca="false">YEAR($V$1)-YEAR(U234)</f>
        <v>51</v>
      </c>
      <c r="W234" s="34"/>
      <c r="X234" s="37"/>
      <c r="Y234" s="34"/>
      <c r="Z234" s="34"/>
      <c r="AA234" s="34"/>
      <c r="AB234" s="34"/>
      <c r="AC234" s="34"/>
      <c r="AD234" s="34"/>
      <c r="AE234" s="39"/>
      <c r="AF234" s="40"/>
      <c r="AG234" s="40"/>
      <c r="AH234" s="40"/>
      <c r="AI234" s="40"/>
      <c r="AJ234" s="40"/>
      <c r="AK234" s="29"/>
      <c r="AL234" s="33"/>
      <c r="AM234" s="41" t="n">
        <v>10</v>
      </c>
      <c r="AO234" s="2" t="str">
        <f aca="false">CONCATENATE(AF234,AG234,AH234,AI234,AJ234)</f>
        <v/>
      </c>
    </row>
    <row r="235" customFormat="false" ht="15" hidden="false" customHeight="true" outlineLevel="0" collapsed="false">
      <c r="A235" s="8" t="n">
        <v>233</v>
      </c>
      <c r="B235" s="20"/>
      <c r="C235" s="33"/>
      <c r="D235" s="34" t="s">
        <v>982</v>
      </c>
      <c r="E235" s="34" t="s">
        <v>68</v>
      </c>
      <c r="F235" s="34" t="s">
        <v>652</v>
      </c>
      <c r="G235" s="34" t="s">
        <v>118</v>
      </c>
      <c r="H235" s="35"/>
      <c r="I235" s="36"/>
      <c r="J235" s="34" t="s">
        <v>33</v>
      </c>
      <c r="K235" s="34" t="s">
        <v>69</v>
      </c>
      <c r="L235" s="34" t="s">
        <v>36</v>
      </c>
      <c r="M235" s="34" t="str">
        <f aca="false">CONCATENATE(K235," ",L235)</f>
        <v>ASCAZ HOSPITALARIA</v>
      </c>
      <c r="N235" s="34" t="s">
        <v>62</v>
      </c>
      <c r="O235" s="37" t="s">
        <v>329</v>
      </c>
      <c r="P235" s="37" t="s">
        <v>979</v>
      </c>
      <c r="Q235" s="37" t="s">
        <v>970</v>
      </c>
      <c r="R235" s="34" t="s">
        <v>41</v>
      </c>
      <c r="S235" s="34" t="s">
        <v>983</v>
      </c>
      <c r="T235" s="34" t="s">
        <v>43</v>
      </c>
      <c r="U235" s="35" t="n">
        <v>33557</v>
      </c>
      <c r="V235" s="38" t="n">
        <f aca="false">YEAR($V$1)-YEAR(U235)</f>
        <v>27</v>
      </c>
      <c r="W235" s="34"/>
      <c r="X235" s="37"/>
      <c r="Y235" s="34"/>
      <c r="Z235" s="34"/>
      <c r="AA235" s="34"/>
      <c r="AB235" s="34"/>
      <c r="AC235" s="34"/>
      <c r="AD235" s="34"/>
      <c r="AE235" s="39"/>
      <c r="AF235" s="40"/>
      <c r="AG235" s="40"/>
      <c r="AH235" s="40"/>
      <c r="AI235" s="40"/>
      <c r="AJ235" s="40"/>
      <c r="AK235" s="29"/>
      <c r="AL235" s="33"/>
      <c r="AM235" s="41" t="n">
        <v>10</v>
      </c>
      <c r="AO235" s="2" t="str">
        <f aca="false">CONCATENATE(AF235,AG235,AH235,AI235,AJ235)</f>
        <v/>
      </c>
    </row>
    <row r="236" customFormat="false" ht="15" hidden="false" customHeight="true" outlineLevel="0" collapsed="false">
      <c r="A236" s="8" t="n">
        <v>234</v>
      </c>
      <c r="B236" s="20"/>
      <c r="C236" s="21" t="n">
        <v>81</v>
      </c>
      <c r="D236" s="22"/>
      <c r="E236" s="26"/>
      <c r="F236" s="26"/>
      <c r="G236" s="26"/>
      <c r="H236" s="42"/>
      <c r="I236" s="26"/>
      <c r="J236" s="26"/>
      <c r="K236" s="26"/>
      <c r="L236" s="26"/>
      <c r="M236" s="26"/>
      <c r="N236" s="26"/>
      <c r="O236" s="43"/>
      <c r="P236" s="43"/>
      <c r="Q236" s="43"/>
      <c r="R236" s="26"/>
      <c r="S236" s="26"/>
      <c r="T236" s="26"/>
      <c r="U236" s="42"/>
      <c r="V236" s="26"/>
      <c r="W236" s="26"/>
      <c r="X236" s="43"/>
      <c r="Y236" s="26"/>
      <c r="Z236" s="26"/>
      <c r="AA236" s="26"/>
      <c r="AB236" s="26"/>
      <c r="AC236" s="26"/>
      <c r="AD236" s="26"/>
      <c r="AE236" s="44"/>
      <c r="AF236" s="28"/>
      <c r="AG236" s="28"/>
      <c r="AH236" s="28"/>
      <c r="AI236" s="28"/>
      <c r="AJ236" s="28"/>
      <c r="AK236" s="29"/>
      <c r="AL236" s="30" t="n">
        <v>30</v>
      </c>
      <c r="AM236" s="30"/>
      <c r="AN236" s="32" t="e">
        <f aca="false">#REF!</f>
        <v>#REF!</v>
      </c>
      <c r="AO236" s="2" t="str">
        <f aca="false">CONCATENATE(AF236,AG236,AH236,AI236,AJ236)</f>
        <v/>
      </c>
    </row>
    <row r="237" customFormat="false" ht="15" hidden="false" customHeight="true" outlineLevel="0" collapsed="false">
      <c r="A237" s="8" t="n">
        <v>235</v>
      </c>
      <c r="B237" s="20"/>
      <c r="C237" s="33"/>
      <c r="D237" s="34" t="s">
        <v>984</v>
      </c>
      <c r="E237" s="34" t="s">
        <v>68</v>
      </c>
      <c r="F237" s="34" t="s">
        <v>603</v>
      </c>
      <c r="G237" s="34" t="s">
        <v>118</v>
      </c>
      <c r="H237" s="35"/>
      <c r="I237" s="36"/>
      <c r="J237" s="34" t="s">
        <v>33</v>
      </c>
      <c r="K237" s="34" t="s">
        <v>69</v>
      </c>
      <c r="L237" s="34" t="s">
        <v>36</v>
      </c>
      <c r="M237" s="34" t="str">
        <f aca="false">CONCATENATE(K237," ",L237)</f>
        <v>ASCAZ HOSPITALARIA</v>
      </c>
      <c r="N237" s="34" t="s">
        <v>37</v>
      </c>
      <c r="O237" s="37" t="s">
        <v>985</v>
      </c>
      <c r="P237" s="37" t="s">
        <v>134</v>
      </c>
      <c r="Q237" s="37" t="s">
        <v>986</v>
      </c>
      <c r="R237" s="34" t="s">
        <v>41</v>
      </c>
      <c r="S237" s="34" t="s">
        <v>987</v>
      </c>
      <c r="T237" s="34" t="s">
        <v>59</v>
      </c>
      <c r="U237" s="35" t="n">
        <v>28478</v>
      </c>
      <c r="V237" s="38" t="n">
        <f aca="false">YEAR($V$1)-YEAR(U237)</f>
        <v>41</v>
      </c>
      <c r="W237" s="34" t="s">
        <v>44</v>
      </c>
      <c r="X237" s="37" t="s">
        <v>988</v>
      </c>
      <c r="Y237" s="34" t="n">
        <v>11</v>
      </c>
      <c r="Z237" s="34" t="s">
        <v>989</v>
      </c>
      <c r="AA237" s="34" t="s">
        <v>46</v>
      </c>
      <c r="AB237" s="34" t="s">
        <v>47</v>
      </c>
      <c r="AC237" s="34" t="n">
        <v>33211</v>
      </c>
      <c r="AD237" s="34" t="n">
        <v>617581334</v>
      </c>
      <c r="AE237" s="39" t="s">
        <v>990</v>
      </c>
      <c r="AF237" s="40" t="s">
        <v>146</v>
      </c>
      <c r="AG237" s="40" t="s">
        <v>128</v>
      </c>
      <c r="AH237" s="40" t="s">
        <v>991</v>
      </c>
      <c r="AI237" s="40" t="s">
        <v>992</v>
      </c>
      <c r="AJ237" s="40" t="s">
        <v>993</v>
      </c>
      <c r="AK237" s="29"/>
      <c r="AL237" s="33"/>
      <c r="AM237" s="41" t="n">
        <v>10</v>
      </c>
      <c r="AO237" s="2" t="str">
        <f aca="false">CONCATENATE(AF237,AG237,AH237,AI237,AJ237)</f>
        <v>ES3000815665250001109015</v>
      </c>
    </row>
    <row r="238" customFormat="false" ht="15" hidden="false" customHeight="true" outlineLevel="0" collapsed="false">
      <c r="A238" s="8" t="n">
        <v>236</v>
      </c>
      <c r="B238" s="20"/>
      <c r="C238" s="21" t="n">
        <v>82</v>
      </c>
      <c r="D238" s="22"/>
      <c r="E238" s="26"/>
      <c r="F238" s="26"/>
      <c r="G238" s="26"/>
      <c r="H238" s="42"/>
      <c r="I238" s="26"/>
      <c r="J238" s="26"/>
      <c r="K238" s="26"/>
      <c r="L238" s="26"/>
      <c r="M238" s="26"/>
      <c r="N238" s="26"/>
      <c r="O238" s="43"/>
      <c r="P238" s="43"/>
      <c r="Q238" s="43"/>
      <c r="R238" s="26"/>
      <c r="S238" s="26"/>
      <c r="T238" s="26"/>
      <c r="U238" s="42"/>
      <c r="V238" s="26"/>
      <c r="W238" s="26"/>
      <c r="X238" s="43"/>
      <c r="Y238" s="26"/>
      <c r="Z238" s="26"/>
      <c r="AA238" s="26"/>
      <c r="AB238" s="26"/>
      <c r="AC238" s="26"/>
      <c r="AD238" s="26"/>
      <c r="AE238" s="44"/>
      <c r="AF238" s="28"/>
      <c r="AG238" s="28"/>
      <c r="AH238" s="28"/>
      <c r="AI238" s="28"/>
      <c r="AJ238" s="28"/>
      <c r="AK238" s="29"/>
      <c r="AL238" s="30" t="n">
        <v>30</v>
      </c>
      <c r="AM238" s="30"/>
      <c r="AN238" s="32" t="e">
        <f aca="false">#REF!</f>
        <v>#REF!</v>
      </c>
      <c r="AO238" s="2" t="str">
        <f aca="false">CONCATENATE(AF238,AG238,AH238,AI238,AJ238)</f>
        <v/>
      </c>
    </row>
    <row r="239" customFormat="false" ht="15" hidden="false" customHeight="true" outlineLevel="0" collapsed="false">
      <c r="A239" s="8" t="n">
        <v>237</v>
      </c>
      <c r="B239" s="20"/>
      <c r="C239" s="33"/>
      <c r="D239" s="34" t="s">
        <v>994</v>
      </c>
      <c r="E239" s="34" t="s">
        <v>68</v>
      </c>
      <c r="F239" s="34"/>
      <c r="G239" s="34" t="s">
        <v>118</v>
      </c>
      <c r="H239" s="35"/>
      <c r="I239" s="36"/>
      <c r="J239" s="34" t="s">
        <v>33</v>
      </c>
      <c r="K239" s="34" t="s">
        <v>69</v>
      </c>
      <c r="L239" s="34" t="s">
        <v>36</v>
      </c>
      <c r="M239" s="34" t="str">
        <f aca="false">CONCATENATE(K239," ",L239)</f>
        <v>ASCAZ HOSPITALARIA</v>
      </c>
      <c r="N239" s="34" t="s">
        <v>102</v>
      </c>
      <c r="O239" s="37" t="s">
        <v>995</v>
      </c>
      <c r="P239" s="37" t="s">
        <v>996</v>
      </c>
      <c r="Q239" s="37" t="s">
        <v>289</v>
      </c>
      <c r="R239" s="34" t="s">
        <v>41</v>
      </c>
      <c r="S239" s="34" t="s">
        <v>997</v>
      </c>
      <c r="T239" s="34" t="s">
        <v>43</v>
      </c>
      <c r="U239" s="35" t="n">
        <v>25132</v>
      </c>
      <c r="V239" s="38" t="n">
        <f aca="false">YEAR($V$1)-YEAR(U239)</f>
        <v>50</v>
      </c>
      <c r="W239" s="34" t="s">
        <v>44</v>
      </c>
      <c r="X239" s="37" t="s">
        <v>998</v>
      </c>
      <c r="Y239" s="34" t="n">
        <v>5</v>
      </c>
      <c r="Z239" s="34" t="s">
        <v>999</v>
      </c>
      <c r="AA239" s="34" t="s">
        <v>46</v>
      </c>
      <c r="AB239" s="34" t="s">
        <v>1000</v>
      </c>
      <c r="AC239" s="34" t="n">
        <v>33630</v>
      </c>
      <c r="AD239" s="34" t="n">
        <v>639394558</v>
      </c>
      <c r="AE239" s="39" t="s">
        <v>1001</v>
      </c>
      <c r="AF239" s="40" t="s">
        <v>661</v>
      </c>
      <c r="AG239" s="40" t="n">
        <v>3059</v>
      </c>
      <c r="AH239" s="40" t="s">
        <v>1002</v>
      </c>
      <c r="AI239" s="40" t="n">
        <v>14</v>
      </c>
      <c r="AJ239" s="40" t="n">
        <v>2379667427</v>
      </c>
      <c r="AK239" s="29"/>
      <c r="AL239" s="33"/>
      <c r="AM239" s="41" t="n">
        <v>10</v>
      </c>
      <c r="AO239" s="2" t="str">
        <f aca="false">CONCATENATE(AF239,AG239,AH239,AI239,AJ239)</f>
        <v>ES1130590031142379667427</v>
      </c>
    </row>
    <row r="240" customFormat="false" ht="15" hidden="false" customHeight="true" outlineLevel="0" collapsed="false">
      <c r="A240" s="8" t="n">
        <v>238</v>
      </c>
      <c r="B240" s="20"/>
      <c r="C240" s="33"/>
      <c r="D240" s="34" t="s">
        <v>1003</v>
      </c>
      <c r="E240" s="34" t="s">
        <v>68</v>
      </c>
      <c r="F240" s="34"/>
      <c r="G240" s="34" t="s">
        <v>118</v>
      </c>
      <c r="H240" s="35"/>
      <c r="I240" s="36"/>
      <c r="J240" s="34" t="s">
        <v>33</v>
      </c>
      <c r="K240" s="34" t="s">
        <v>69</v>
      </c>
      <c r="L240" s="34" t="s">
        <v>36</v>
      </c>
      <c r="M240" s="34" t="str">
        <f aca="false">CONCATENATE(K240," ",L240)</f>
        <v>ASCAZ HOSPITALARIA</v>
      </c>
      <c r="N240" s="34" t="s">
        <v>54</v>
      </c>
      <c r="O240" s="37" t="s">
        <v>1004</v>
      </c>
      <c r="P240" s="37" t="s">
        <v>40</v>
      </c>
      <c r="Q240" s="37" t="s">
        <v>1005</v>
      </c>
      <c r="R240" s="34" t="s">
        <v>41</v>
      </c>
      <c r="S240" s="34" t="s">
        <v>1006</v>
      </c>
      <c r="T240" s="34" t="s">
        <v>59</v>
      </c>
      <c r="U240" s="35" t="n">
        <v>24789</v>
      </c>
      <c r="V240" s="38" t="n">
        <f aca="false">YEAR($V$1)-YEAR(U240)</f>
        <v>51</v>
      </c>
      <c r="W240" s="34"/>
      <c r="X240" s="37"/>
      <c r="Y240" s="34"/>
      <c r="Z240" s="34"/>
      <c r="AA240" s="34"/>
      <c r="AB240" s="34"/>
      <c r="AC240" s="34"/>
      <c r="AD240" s="34"/>
      <c r="AE240" s="39"/>
      <c r="AF240" s="40"/>
      <c r="AG240" s="40"/>
      <c r="AH240" s="40"/>
      <c r="AI240" s="40"/>
      <c r="AJ240" s="40"/>
      <c r="AK240" s="29"/>
      <c r="AL240" s="33"/>
      <c r="AM240" s="41" t="n">
        <v>10</v>
      </c>
      <c r="AO240" s="2" t="str">
        <f aca="false">CONCATENATE(AF240,AG240,AH240,AI240,AJ240)</f>
        <v/>
      </c>
    </row>
    <row r="241" customFormat="false" ht="15" hidden="false" customHeight="true" outlineLevel="0" collapsed="false">
      <c r="A241" s="8" t="n">
        <v>239</v>
      </c>
      <c r="B241" s="20"/>
      <c r="C241" s="21" t="n">
        <v>83</v>
      </c>
      <c r="D241" s="22"/>
      <c r="E241" s="26"/>
      <c r="F241" s="26"/>
      <c r="G241" s="26"/>
      <c r="H241" s="42"/>
      <c r="I241" s="26"/>
      <c r="J241" s="26"/>
      <c r="K241" s="26"/>
      <c r="L241" s="26"/>
      <c r="M241" s="26"/>
      <c r="N241" s="26"/>
      <c r="O241" s="43"/>
      <c r="P241" s="43"/>
      <c r="Q241" s="43"/>
      <c r="R241" s="26"/>
      <c r="S241" s="26"/>
      <c r="T241" s="26"/>
      <c r="U241" s="42"/>
      <c r="V241" s="26"/>
      <c r="W241" s="26"/>
      <c r="X241" s="43"/>
      <c r="Y241" s="26"/>
      <c r="Z241" s="26"/>
      <c r="AA241" s="26"/>
      <c r="AB241" s="26"/>
      <c r="AC241" s="26"/>
      <c r="AD241" s="26"/>
      <c r="AE241" s="44"/>
      <c r="AF241" s="28"/>
      <c r="AG241" s="28"/>
      <c r="AH241" s="28"/>
      <c r="AI241" s="28"/>
      <c r="AJ241" s="28"/>
      <c r="AK241" s="29"/>
      <c r="AL241" s="30" t="n">
        <v>30</v>
      </c>
      <c r="AM241" s="30"/>
      <c r="AN241" s="32" t="e">
        <f aca="false">#REF!</f>
        <v>#REF!</v>
      </c>
      <c r="AO241" s="2" t="str">
        <f aca="false">CONCATENATE(AF241,AG241,AH241,AI241,AJ241)</f>
        <v/>
      </c>
    </row>
    <row r="242" customFormat="false" ht="15" hidden="false" customHeight="true" outlineLevel="0" collapsed="false">
      <c r="A242" s="8" t="n">
        <v>240</v>
      </c>
      <c r="B242" s="20"/>
      <c r="C242" s="33"/>
      <c r="D242" s="34" t="s">
        <v>1007</v>
      </c>
      <c r="E242" s="34" t="s">
        <v>68</v>
      </c>
      <c r="F242" s="34"/>
      <c r="G242" s="34" t="s">
        <v>118</v>
      </c>
      <c r="H242" s="35"/>
      <c r="I242" s="36"/>
      <c r="J242" s="34" t="s">
        <v>33</v>
      </c>
      <c r="K242" s="34" t="s">
        <v>69</v>
      </c>
      <c r="L242" s="34" t="s">
        <v>36</v>
      </c>
      <c r="M242" s="34" t="str">
        <f aca="false">CONCATENATE(K242," ",L242)</f>
        <v>ASCAZ HOSPITALARIA</v>
      </c>
      <c r="N242" s="34" t="s">
        <v>37</v>
      </c>
      <c r="O242" s="37" t="s">
        <v>1008</v>
      </c>
      <c r="P242" s="37" t="s">
        <v>140</v>
      </c>
      <c r="Q242" s="37" t="s">
        <v>1009</v>
      </c>
      <c r="R242" s="34" t="s">
        <v>41</v>
      </c>
      <c r="S242" s="34" t="s">
        <v>1010</v>
      </c>
      <c r="T242" s="34" t="s">
        <v>59</v>
      </c>
      <c r="U242" s="35" t="n">
        <v>26243</v>
      </c>
      <c r="V242" s="38" t="n">
        <f aca="false">YEAR($V$1)-YEAR(U242)</f>
        <v>47</v>
      </c>
      <c r="W242" s="34" t="s">
        <v>44</v>
      </c>
      <c r="X242" s="37" t="s">
        <v>1011</v>
      </c>
      <c r="Y242" s="34" t="n">
        <v>10</v>
      </c>
      <c r="Z242" s="34" t="s">
        <v>1012</v>
      </c>
      <c r="AA242" s="34" t="s">
        <v>46</v>
      </c>
      <c r="AB242" s="34" t="s">
        <v>300</v>
      </c>
      <c r="AC242" s="34" t="n">
        <v>33008</v>
      </c>
      <c r="AD242" s="34" t="n">
        <v>691687934</v>
      </c>
      <c r="AE242" s="39" t="s">
        <v>1013</v>
      </c>
      <c r="AF242" s="40" t="s">
        <v>1014</v>
      </c>
      <c r="AG242" s="40" t="n">
        <v>2048</v>
      </c>
      <c r="AH242" s="40" t="s">
        <v>1015</v>
      </c>
      <c r="AI242" s="40" t="s">
        <v>1016</v>
      </c>
      <c r="AJ242" s="40" t="n">
        <v>3000047252</v>
      </c>
      <c r="AK242" s="29"/>
      <c r="AL242" s="33"/>
      <c r="AM242" s="41" t="n">
        <v>10</v>
      </c>
      <c r="AO242" s="2" t="str">
        <f aca="false">CONCATENATE(AF242,AG242,AH242,AI242,AJ242)</f>
        <v>ES7720480076073000047252</v>
      </c>
    </row>
    <row r="243" customFormat="false" ht="15" hidden="false" customHeight="true" outlineLevel="0" collapsed="false">
      <c r="A243" s="8" t="n">
        <v>241</v>
      </c>
      <c r="B243" s="20"/>
      <c r="C243" s="21" t="n">
        <v>84</v>
      </c>
      <c r="D243" s="22"/>
      <c r="E243" s="26"/>
      <c r="F243" s="26"/>
      <c r="G243" s="26"/>
      <c r="H243" s="42"/>
      <c r="I243" s="26"/>
      <c r="J243" s="26"/>
      <c r="K243" s="26"/>
      <c r="L243" s="26"/>
      <c r="M243" s="26"/>
      <c r="N243" s="26"/>
      <c r="O243" s="43"/>
      <c r="P243" s="43"/>
      <c r="Q243" s="43"/>
      <c r="R243" s="26"/>
      <c r="S243" s="26"/>
      <c r="T243" s="26"/>
      <c r="U243" s="42"/>
      <c r="V243" s="26"/>
      <c r="W243" s="26"/>
      <c r="X243" s="43"/>
      <c r="Y243" s="26"/>
      <c r="Z243" s="26"/>
      <c r="AA243" s="26"/>
      <c r="AB243" s="26"/>
      <c r="AC243" s="26"/>
      <c r="AD243" s="26"/>
      <c r="AE243" s="44"/>
      <c r="AF243" s="28"/>
      <c r="AG243" s="28"/>
      <c r="AH243" s="28"/>
      <c r="AI243" s="28"/>
      <c r="AJ243" s="28"/>
      <c r="AK243" s="29"/>
      <c r="AL243" s="30" t="n">
        <v>30</v>
      </c>
      <c r="AM243" s="30"/>
      <c r="AN243" s="32" t="e">
        <f aca="false">#REF!</f>
        <v>#REF!</v>
      </c>
      <c r="AO243" s="2" t="str">
        <f aca="false">CONCATENATE(AF243,AG243,AH243,AI243,AJ243)</f>
        <v/>
      </c>
    </row>
    <row r="244" customFormat="false" ht="15" hidden="false" customHeight="true" outlineLevel="0" collapsed="false">
      <c r="A244" s="8" t="n">
        <v>242</v>
      </c>
      <c r="B244" s="20"/>
      <c r="C244" s="33"/>
      <c r="D244" s="34" t="s">
        <v>1017</v>
      </c>
      <c r="E244" s="34" t="s">
        <v>68</v>
      </c>
      <c r="F244" s="34"/>
      <c r="G244" s="34" t="s">
        <v>118</v>
      </c>
      <c r="H244" s="35"/>
      <c r="I244" s="36"/>
      <c r="J244" s="34" t="s">
        <v>33</v>
      </c>
      <c r="K244" s="34" t="s">
        <v>69</v>
      </c>
      <c r="L244" s="34" t="s">
        <v>36</v>
      </c>
      <c r="M244" s="34" t="str">
        <f aca="false">CONCATENATE(K244," ",L244)</f>
        <v>ASCAZ HOSPITALARIA</v>
      </c>
      <c r="N244" s="34" t="s">
        <v>37</v>
      </c>
      <c r="O244" s="37" t="s">
        <v>1018</v>
      </c>
      <c r="P244" s="37" t="s">
        <v>322</v>
      </c>
      <c r="Q244" s="37" t="s">
        <v>1019</v>
      </c>
      <c r="R244" s="34" t="s">
        <v>41</v>
      </c>
      <c r="S244" s="34" t="s">
        <v>1020</v>
      </c>
      <c r="T244" s="34" t="s">
        <v>59</v>
      </c>
      <c r="U244" s="35" t="n">
        <v>29329</v>
      </c>
      <c r="V244" s="38" t="n">
        <f aca="false">YEAR($V$1)-YEAR(U244)</f>
        <v>38</v>
      </c>
      <c r="W244" s="34" t="s">
        <v>73</v>
      </c>
      <c r="X244" s="37" t="s">
        <v>1021</v>
      </c>
      <c r="Y244" s="34" t="n">
        <v>21</v>
      </c>
      <c r="Z244" s="34" t="s">
        <v>730</v>
      </c>
      <c r="AA244" s="34" t="s">
        <v>46</v>
      </c>
      <c r="AB244" s="34" t="s">
        <v>47</v>
      </c>
      <c r="AC244" s="34" t="n">
        <v>33204</v>
      </c>
      <c r="AD244" s="34" t="n">
        <v>608171127</v>
      </c>
      <c r="AE244" s="39" t="s">
        <v>1022</v>
      </c>
      <c r="AF244" s="40" t="s">
        <v>1023</v>
      </c>
      <c r="AG244" s="40" t="n">
        <v>2048</v>
      </c>
      <c r="AH244" s="40" t="s">
        <v>1024</v>
      </c>
      <c r="AI244" s="40" t="n">
        <v>30</v>
      </c>
      <c r="AJ244" s="40" t="n">
        <v>3404001272</v>
      </c>
      <c r="AK244" s="29"/>
      <c r="AL244" s="33"/>
      <c r="AM244" s="41" t="n">
        <v>10</v>
      </c>
      <c r="AO244" s="2" t="str">
        <f aca="false">CONCATENATE(AF244,AG244,AH244,AI244,AJ244)</f>
        <v>ES8520480106303404001272</v>
      </c>
    </row>
    <row r="245" customFormat="false" ht="15" hidden="false" customHeight="true" outlineLevel="0" collapsed="false">
      <c r="A245" s="8" t="n">
        <v>243</v>
      </c>
      <c r="B245" s="20"/>
      <c r="C245" s="21" t="n">
        <v>85</v>
      </c>
      <c r="D245" s="22"/>
      <c r="E245" s="26"/>
      <c r="F245" s="26"/>
      <c r="G245" s="26"/>
      <c r="H245" s="42"/>
      <c r="I245" s="26"/>
      <c r="J245" s="26"/>
      <c r="K245" s="26"/>
      <c r="L245" s="26"/>
      <c r="M245" s="26"/>
      <c r="N245" s="26"/>
      <c r="O245" s="43"/>
      <c r="P245" s="43"/>
      <c r="Q245" s="43"/>
      <c r="R245" s="26"/>
      <c r="S245" s="26"/>
      <c r="T245" s="26"/>
      <c r="U245" s="42"/>
      <c r="V245" s="26"/>
      <c r="W245" s="26"/>
      <c r="X245" s="43"/>
      <c r="Y245" s="26"/>
      <c r="Z245" s="26"/>
      <c r="AA245" s="26"/>
      <c r="AB245" s="26"/>
      <c r="AC245" s="26"/>
      <c r="AD245" s="26"/>
      <c r="AE245" s="44"/>
      <c r="AF245" s="28"/>
      <c r="AG245" s="28"/>
      <c r="AH245" s="28"/>
      <c r="AI245" s="28"/>
      <c r="AJ245" s="28"/>
      <c r="AK245" s="29"/>
      <c r="AL245" s="30" t="n">
        <v>30</v>
      </c>
      <c r="AM245" s="30"/>
      <c r="AN245" s="32" t="e">
        <f aca="false">#REF!</f>
        <v>#REF!</v>
      </c>
      <c r="AO245" s="2" t="str">
        <f aca="false">CONCATENATE(AF245,AG245,AH245,AI245,AJ245)</f>
        <v/>
      </c>
    </row>
    <row r="246" customFormat="false" ht="15" hidden="false" customHeight="true" outlineLevel="0" collapsed="false">
      <c r="A246" s="8" t="n">
        <v>244</v>
      </c>
      <c r="B246" s="20"/>
      <c r="C246" s="33"/>
      <c r="D246" s="34" t="s">
        <v>1025</v>
      </c>
      <c r="E246" s="34" t="s">
        <v>68</v>
      </c>
      <c r="F246" s="34" t="s">
        <v>1026</v>
      </c>
      <c r="G246" s="34" t="s">
        <v>118</v>
      </c>
      <c r="H246" s="35"/>
      <c r="I246" s="36"/>
      <c r="J246" s="34" t="s">
        <v>33</v>
      </c>
      <c r="K246" s="34" t="s">
        <v>69</v>
      </c>
      <c r="L246" s="34" t="s">
        <v>36</v>
      </c>
      <c r="M246" s="34" t="str">
        <f aca="false">CONCATENATE(K246," ",L246)</f>
        <v>ASCAZ HOSPITALARIA</v>
      </c>
      <c r="N246" s="34" t="s">
        <v>37</v>
      </c>
      <c r="O246" s="37" t="s">
        <v>779</v>
      </c>
      <c r="P246" s="37" t="s">
        <v>1027</v>
      </c>
      <c r="Q246" s="37" t="s">
        <v>1009</v>
      </c>
      <c r="R246" s="34" t="s">
        <v>41</v>
      </c>
      <c r="S246" s="34" t="s">
        <v>1028</v>
      </c>
      <c r="T246" s="34" t="s">
        <v>59</v>
      </c>
      <c r="U246" s="35" t="n">
        <v>26458</v>
      </c>
      <c r="V246" s="38" t="n">
        <f aca="false">YEAR($V$1)-YEAR(U246)</f>
        <v>46</v>
      </c>
      <c r="W246" s="34" t="s">
        <v>1029</v>
      </c>
      <c r="X246" s="37" t="s">
        <v>1030</v>
      </c>
      <c r="Y246" s="34" t="n">
        <v>18</v>
      </c>
      <c r="Z246" s="34"/>
      <c r="AA246" s="34" t="s">
        <v>46</v>
      </c>
      <c r="AB246" s="34" t="s">
        <v>1031</v>
      </c>
      <c r="AC246" s="34" t="n">
        <v>33592</v>
      </c>
      <c r="AD246" s="34" t="s">
        <v>1032</v>
      </c>
      <c r="AE246" s="47" t="s">
        <v>1033</v>
      </c>
      <c r="AF246" s="40" t="s">
        <v>1034</v>
      </c>
      <c r="AG246" s="40" t="n">
        <v>3059</v>
      </c>
      <c r="AH246" s="40" t="s">
        <v>180</v>
      </c>
      <c r="AI246" s="40" t="n">
        <v>93</v>
      </c>
      <c r="AJ246" s="40" t="n">
        <v>1542269319</v>
      </c>
      <c r="AK246" s="29"/>
      <c r="AL246" s="33"/>
      <c r="AM246" s="41" t="n">
        <v>10</v>
      </c>
      <c r="AO246" s="2" t="str">
        <f aca="false">CONCATENATE(AF246,AG246,AH246,AI246,AJ246)</f>
        <v>ES3130590003931542269319</v>
      </c>
    </row>
    <row r="247" customFormat="false" ht="15" hidden="false" customHeight="true" outlineLevel="0" collapsed="false">
      <c r="A247" s="8" t="n">
        <v>245</v>
      </c>
      <c r="B247" s="20"/>
      <c r="C247" s="21" t="n">
        <v>86</v>
      </c>
      <c r="D247" s="22"/>
      <c r="E247" s="26"/>
      <c r="F247" s="26"/>
      <c r="G247" s="26"/>
      <c r="H247" s="42"/>
      <c r="I247" s="26"/>
      <c r="J247" s="26"/>
      <c r="K247" s="26"/>
      <c r="L247" s="26"/>
      <c r="M247" s="26"/>
      <c r="N247" s="26"/>
      <c r="O247" s="43"/>
      <c r="P247" s="43"/>
      <c r="Q247" s="43"/>
      <c r="R247" s="26"/>
      <c r="S247" s="26"/>
      <c r="T247" s="26"/>
      <c r="U247" s="42"/>
      <c r="V247" s="26"/>
      <c r="W247" s="26"/>
      <c r="X247" s="43"/>
      <c r="Y247" s="26"/>
      <c r="Z247" s="26"/>
      <c r="AA247" s="26"/>
      <c r="AB247" s="26"/>
      <c r="AC247" s="26"/>
      <c r="AD247" s="26"/>
      <c r="AE247" s="44"/>
      <c r="AF247" s="28"/>
      <c r="AG247" s="28"/>
      <c r="AH247" s="28"/>
      <c r="AI247" s="28"/>
      <c r="AJ247" s="28"/>
      <c r="AK247" s="29"/>
      <c r="AL247" s="30" t="n">
        <v>30</v>
      </c>
      <c r="AM247" s="30"/>
      <c r="AN247" s="32" t="e">
        <f aca="false">#REF!</f>
        <v>#REF!</v>
      </c>
      <c r="AO247" s="2" t="str">
        <f aca="false">CONCATENATE(AF247,AG247,AH247,AI247,AJ247)</f>
        <v/>
      </c>
    </row>
    <row r="248" customFormat="false" ht="15" hidden="false" customHeight="true" outlineLevel="0" collapsed="false">
      <c r="A248" s="8" t="n">
        <v>246</v>
      </c>
      <c r="B248" s="20"/>
      <c r="C248" s="33"/>
      <c r="D248" s="34" t="s">
        <v>1035</v>
      </c>
      <c r="E248" s="34" t="s">
        <v>68</v>
      </c>
      <c r="F248" s="34"/>
      <c r="G248" s="34" t="s">
        <v>118</v>
      </c>
      <c r="H248" s="35"/>
      <c r="I248" s="36"/>
      <c r="J248" s="34" t="s">
        <v>33</v>
      </c>
      <c r="K248" s="34" t="s">
        <v>69</v>
      </c>
      <c r="L248" s="34" t="s">
        <v>36</v>
      </c>
      <c r="M248" s="34" t="str">
        <f aca="false">CONCATENATE(K248," ",L248)</f>
        <v>ASCAZ HOSPITALARIA</v>
      </c>
      <c r="N248" s="34" t="s">
        <v>37</v>
      </c>
      <c r="O248" s="37" t="s">
        <v>436</v>
      </c>
      <c r="P248" s="37" t="s">
        <v>1036</v>
      </c>
      <c r="Q248" s="37" t="s">
        <v>1037</v>
      </c>
      <c r="R248" s="34" t="s">
        <v>41</v>
      </c>
      <c r="S248" s="34" t="s">
        <v>1038</v>
      </c>
      <c r="T248" s="34" t="s">
        <v>59</v>
      </c>
      <c r="U248" s="35" t="n">
        <v>25037</v>
      </c>
      <c r="V248" s="38" t="n">
        <f aca="false">YEAR($V$1)-YEAR(U248)</f>
        <v>50</v>
      </c>
      <c r="W248" s="34" t="s">
        <v>44</v>
      </c>
      <c r="X248" s="37" t="s">
        <v>1039</v>
      </c>
      <c r="Y248" s="34" t="n">
        <v>15</v>
      </c>
      <c r="Z248" s="34" t="s">
        <v>571</v>
      </c>
      <c r="AA248" s="34" t="s">
        <v>46</v>
      </c>
      <c r="AB248" s="34" t="s">
        <v>300</v>
      </c>
      <c r="AC248" s="34" t="n">
        <v>33010</v>
      </c>
      <c r="AD248" s="34" t="n">
        <v>654842421</v>
      </c>
      <c r="AE248" s="39" t="s">
        <v>1040</v>
      </c>
      <c r="AF248" s="40" t="s">
        <v>706</v>
      </c>
      <c r="AG248" s="40" t="s">
        <v>110</v>
      </c>
      <c r="AH248" s="40" t="n">
        <v>5697</v>
      </c>
      <c r="AI248" s="40" t="n">
        <v>95</v>
      </c>
      <c r="AJ248" s="40" t="n">
        <v>2895007633</v>
      </c>
      <c r="AK248" s="29"/>
      <c r="AL248" s="33"/>
      <c r="AM248" s="41" t="n">
        <v>10</v>
      </c>
      <c r="AO248" s="2" t="str">
        <f aca="false">CONCATENATE(AF248,AG248,AH248,AI248,AJ248)</f>
        <v>ES4200495697952895007633</v>
      </c>
    </row>
    <row r="249" customFormat="false" ht="15" hidden="false" customHeight="true" outlineLevel="0" collapsed="false">
      <c r="A249" s="8" t="n">
        <v>247</v>
      </c>
      <c r="B249" s="20"/>
      <c r="C249" s="21" t="n">
        <v>87</v>
      </c>
      <c r="D249" s="22"/>
      <c r="E249" s="26"/>
      <c r="F249" s="26"/>
      <c r="G249" s="26"/>
      <c r="H249" s="42"/>
      <c r="I249" s="26"/>
      <c r="J249" s="26"/>
      <c r="K249" s="26"/>
      <c r="L249" s="26"/>
      <c r="M249" s="26"/>
      <c r="N249" s="26"/>
      <c r="O249" s="43"/>
      <c r="P249" s="43"/>
      <c r="Q249" s="43"/>
      <c r="R249" s="26"/>
      <c r="S249" s="26"/>
      <c r="T249" s="26"/>
      <c r="U249" s="42"/>
      <c r="V249" s="26"/>
      <c r="W249" s="26"/>
      <c r="X249" s="43"/>
      <c r="Y249" s="26"/>
      <c r="Z249" s="26"/>
      <c r="AA249" s="26"/>
      <c r="AB249" s="26"/>
      <c r="AC249" s="26"/>
      <c r="AD249" s="26"/>
      <c r="AE249" s="44"/>
      <c r="AF249" s="28"/>
      <c r="AG249" s="28"/>
      <c r="AH249" s="28"/>
      <c r="AI249" s="28"/>
      <c r="AJ249" s="28"/>
      <c r="AK249" s="29"/>
      <c r="AL249" s="30" t="n">
        <v>30</v>
      </c>
      <c r="AM249" s="30"/>
      <c r="AN249" s="32" t="e">
        <f aca="false">#REF!</f>
        <v>#REF!</v>
      </c>
      <c r="AO249" s="2" t="str">
        <f aca="false">CONCATENATE(AF249,AG249,AH249,AI249,AJ249)</f>
        <v/>
      </c>
    </row>
    <row r="250" customFormat="false" ht="15" hidden="false" customHeight="true" outlineLevel="0" collapsed="false">
      <c r="A250" s="8" t="n">
        <v>248</v>
      </c>
      <c r="B250" s="20"/>
      <c r="C250" s="33"/>
      <c r="D250" s="34" t="s">
        <v>1041</v>
      </c>
      <c r="E250" s="34" t="s">
        <v>68</v>
      </c>
      <c r="F250" s="34" t="s">
        <v>904</v>
      </c>
      <c r="G250" s="34" t="s">
        <v>118</v>
      </c>
      <c r="H250" s="35"/>
      <c r="I250" s="36"/>
      <c r="J250" s="34" t="s">
        <v>33</v>
      </c>
      <c r="K250" s="34" t="s">
        <v>69</v>
      </c>
      <c r="L250" s="34" t="s">
        <v>36</v>
      </c>
      <c r="M250" s="34" t="str">
        <f aca="false">CONCATENATE(K250," ",L250)</f>
        <v>ASCAZ HOSPITALARIA</v>
      </c>
      <c r="N250" s="34" t="s">
        <v>37</v>
      </c>
      <c r="O250" s="37" t="s">
        <v>1042</v>
      </c>
      <c r="P250" s="37" t="s">
        <v>200</v>
      </c>
      <c r="Q250" s="37" t="s">
        <v>417</v>
      </c>
      <c r="R250" s="34" t="s">
        <v>41</v>
      </c>
      <c r="S250" s="34" t="s">
        <v>1043</v>
      </c>
      <c r="T250" s="34" t="s">
        <v>43</v>
      </c>
      <c r="U250" s="35" t="n">
        <v>28185</v>
      </c>
      <c r="V250" s="38" t="n">
        <f aca="false">YEAR($V$1)-YEAR(U250)</f>
        <v>41</v>
      </c>
      <c r="W250" s="34" t="s">
        <v>44</v>
      </c>
      <c r="X250" s="37" t="s">
        <v>729</v>
      </c>
      <c r="Y250" s="34" t="n">
        <v>71</v>
      </c>
      <c r="Z250" s="34" t="s">
        <v>176</v>
      </c>
      <c r="AA250" s="34" t="s">
        <v>46</v>
      </c>
      <c r="AB250" s="34" t="s">
        <v>47</v>
      </c>
      <c r="AC250" s="34" t="n">
        <v>33203</v>
      </c>
      <c r="AD250" s="34" t="n">
        <v>615955970</v>
      </c>
      <c r="AE250" s="39" t="s">
        <v>1044</v>
      </c>
      <c r="AF250" s="40" t="s">
        <v>146</v>
      </c>
      <c r="AG250" s="40" t="s">
        <v>128</v>
      </c>
      <c r="AH250" s="40" t="n">
        <v>5652</v>
      </c>
      <c r="AI250" s="40" t="n">
        <v>18</v>
      </c>
      <c r="AJ250" s="40" t="s">
        <v>1045</v>
      </c>
      <c r="AK250" s="29"/>
      <c r="AL250" s="33"/>
      <c r="AM250" s="41" t="n">
        <v>10</v>
      </c>
      <c r="AO250" s="2" t="str">
        <f aca="false">CONCATENATE(AF250,AG250,AH250,AI250,AJ250)</f>
        <v>ES3000815652180006233936</v>
      </c>
    </row>
    <row r="251" customFormat="false" ht="15" hidden="false" customHeight="true" outlineLevel="0" collapsed="false">
      <c r="A251" s="8" t="n">
        <v>249</v>
      </c>
      <c r="B251" s="20"/>
      <c r="C251" s="33"/>
      <c r="D251" s="34" t="s">
        <v>1046</v>
      </c>
      <c r="E251" s="34" t="s">
        <v>68</v>
      </c>
      <c r="F251" s="34" t="s">
        <v>904</v>
      </c>
      <c r="G251" s="34" t="s">
        <v>118</v>
      </c>
      <c r="H251" s="35"/>
      <c r="I251" s="36"/>
      <c r="J251" s="34" t="s">
        <v>33</v>
      </c>
      <c r="K251" s="34" t="s">
        <v>69</v>
      </c>
      <c r="L251" s="34" t="s">
        <v>36</v>
      </c>
      <c r="M251" s="34" t="str">
        <f aca="false">CONCATENATE(K251," ",L251)</f>
        <v>ASCAZ HOSPITALARIA</v>
      </c>
      <c r="N251" s="34" t="s">
        <v>54</v>
      </c>
      <c r="O251" s="37" t="s">
        <v>1047</v>
      </c>
      <c r="P251" s="37" t="s">
        <v>1048</v>
      </c>
      <c r="Q251" s="37" t="s">
        <v>1049</v>
      </c>
      <c r="R251" s="34" t="s">
        <v>41</v>
      </c>
      <c r="S251" s="34" t="s">
        <v>1050</v>
      </c>
      <c r="T251" s="34" t="s">
        <v>59</v>
      </c>
      <c r="U251" s="35" t="n">
        <v>28345</v>
      </c>
      <c r="V251" s="38" t="n">
        <f aca="false">YEAR($V$1)-YEAR(U251)</f>
        <v>41</v>
      </c>
      <c r="W251" s="34"/>
      <c r="X251" s="37"/>
      <c r="Y251" s="34"/>
      <c r="Z251" s="34"/>
      <c r="AA251" s="34"/>
      <c r="AB251" s="34"/>
      <c r="AC251" s="34"/>
      <c r="AD251" s="34"/>
      <c r="AE251" s="39"/>
      <c r="AF251" s="40"/>
      <c r="AG251" s="40"/>
      <c r="AH251" s="40"/>
      <c r="AI251" s="40"/>
      <c r="AJ251" s="40"/>
      <c r="AK251" s="29"/>
      <c r="AL251" s="33"/>
      <c r="AM251" s="41" t="n">
        <v>10</v>
      </c>
      <c r="AO251" s="2" t="str">
        <f aca="false">CONCATENATE(AF251,AG251,AH251,AI251,AJ251)</f>
        <v/>
      </c>
    </row>
    <row r="252" customFormat="false" ht="15" hidden="false" customHeight="true" outlineLevel="0" collapsed="false">
      <c r="A252" s="8" t="n">
        <v>250</v>
      </c>
      <c r="B252" s="20"/>
      <c r="C252" s="33"/>
      <c r="D252" s="34" t="s">
        <v>1051</v>
      </c>
      <c r="E252" s="34" t="s">
        <v>68</v>
      </c>
      <c r="F252" s="34" t="s">
        <v>904</v>
      </c>
      <c r="G252" s="34" t="s">
        <v>118</v>
      </c>
      <c r="H252" s="35"/>
      <c r="I252" s="36"/>
      <c r="J252" s="34" t="s">
        <v>33</v>
      </c>
      <c r="K252" s="34" t="s">
        <v>69</v>
      </c>
      <c r="L252" s="34" t="s">
        <v>61</v>
      </c>
      <c r="M252" s="34" t="str">
        <f aca="false">CONCATENATE(K252," ",L252)</f>
        <v>ASCAZ AMBULATORIA</v>
      </c>
      <c r="N252" s="34" t="s">
        <v>62</v>
      </c>
      <c r="O252" s="37" t="s">
        <v>1052</v>
      </c>
      <c r="P252" s="37" t="s">
        <v>200</v>
      </c>
      <c r="Q252" s="37" t="s">
        <v>1048</v>
      </c>
      <c r="R252" s="34"/>
      <c r="S252" s="34"/>
      <c r="T252" s="34" t="s">
        <v>43</v>
      </c>
      <c r="U252" s="35" t="n">
        <v>42109</v>
      </c>
      <c r="V252" s="38" t="n">
        <f aca="false">YEAR($V$1)-YEAR(U252)</f>
        <v>3</v>
      </c>
      <c r="W252" s="34"/>
      <c r="X252" s="37"/>
      <c r="Y252" s="34"/>
      <c r="Z252" s="34"/>
      <c r="AA252" s="34"/>
      <c r="AB252" s="34"/>
      <c r="AC252" s="34"/>
      <c r="AD252" s="34"/>
      <c r="AE252" s="39"/>
      <c r="AF252" s="40"/>
      <c r="AG252" s="40"/>
      <c r="AH252" s="40"/>
      <c r="AI252" s="40"/>
      <c r="AJ252" s="40"/>
      <c r="AK252" s="29"/>
      <c r="AL252" s="33"/>
      <c r="AM252" s="41" t="n">
        <v>10</v>
      </c>
      <c r="AO252" s="2" t="str">
        <f aca="false">CONCATENATE(AF252,AG252,AH252,AI252,AJ252)</f>
        <v/>
      </c>
    </row>
    <row r="253" customFormat="false" ht="15" hidden="false" customHeight="true" outlineLevel="0" collapsed="false">
      <c r="A253" s="8" t="n">
        <v>251</v>
      </c>
      <c r="B253" s="20"/>
      <c r="C253" s="21" t="n">
        <v>88</v>
      </c>
      <c r="D253" s="22"/>
      <c r="E253" s="26"/>
      <c r="F253" s="26"/>
      <c r="G253" s="26"/>
      <c r="H253" s="42"/>
      <c r="I253" s="26"/>
      <c r="J253" s="26"/>
      <c r="K253" s="26"/>
      <c r="L253" s="26"/>
      <c r="M253" s="26"/>
      <c r="N253" s="26"/>
      <c r="O253" s="43"/>
      <c r="P253" s="43"/>
      <c r="Q253" s="43"/>
      <c r="R253" s="26"/>
      <c r="S253" s="26"/>
      <c r="T253" s="26"/>
      <c r="U253" s="42"/>
      <c r="V253" s="26"/>
      <c r="W253" s="26"/>
      <c r="X253" s="43"/>
      <c r="Y253" s="26"/>
      <c r="Z253" s="26"/>
      <c r="AA253" s="26"/>
      <c r="AB253" s="26"/>
      <c r="AC253" s="26"/>
      <c r="AD253" s="26"/>
      <c r="AE253" s="44"/>
      <c r="AF253" s="28"/>
      <c r="AG253" s="28"/>
      <c r="AH253" s="28"/>
      <c r="AI253" s="28"/>
      <c r="AJ253" s="28"/>
      <c r="AK253" s="29"/>
      <c r="AL253" s="30" t="n">
        <v>30</v>
      </c>
      <c r="AM253" s="30"/>
      <c r="AN253" s="32" t="e">
        <f aca="false">#REF!</f>
        <v>#REF!</v>
      </c>
      <c r="AO253" s="2" t="str">
        <f aca="false">CONCATENATE(AF253,AG253,AH253,AI253,AJ253)</f>
        <v/>
      </c>
    </row>
    <row r="254" customFormat="false" ht="15" hidden="false" customHeight="true" outlineLevel="0" collapsed="false">
      <c r="A254" s="8" t="n">
        <v>252</v>
      </c>
      <c r="B254" s="20"/>
      <c r="C254" s="33"/>
      <c r="D254" s="34" t="s">
        <v>1053</v>
      </c>
      <c r="E254" s="34" t="s">
        <v>68</v>
      </c>
      <c r="F254" s="34"/>
      <c r="G254" s="34" t="s">
        <v>118</v>
      </c>
      <c r="H254" s="35"/>
      <c r="I254" s="36"/>
      <c r="J254" s="34" t="s">
        <v>33</v>
      </c>
      <c r="K254" s="34" t="s">
        <v>69</v>
      </c>
      <c r="L254" s="34" t="s">
        <v>36</v>
      </c>
      <c r="M254" s="34" t="str">
        <f aca="false">CONCATENATE(K254," ",L254)</f>
        <v>ASCAZ HOSPITALARIA</v>
      </c>
      <c r="N254" s="34" t="s">
        <v>102</v>
      </c>
      <c r="O254" s="37" t="s">
        <v>653</v>
      </c>
      <c r="P254" s="37" t="s">
        <v>1054</v>
      </c>
      <c r="Q254" s="37" t="s">
        <v>140</v>
      </c>
      <c r="R254" s="34" t="s">
        <v>41</v>
      </c>
      <c r="S254" s="34" t="s">
        <v>1055</v>
      </c>
      <c r="T254" s="34" t="s">
        <v>43</v>
      </c>
      <c r="U254" s="35" t="n">
        <v>30595</v>
      </c>
      <c r="V254" s="38" t="n">
        <f aca="false">YEAR($V$1)-YEAR(U254)</f>
        <v>35</v>
      </c>
      <c r="W254" s="34" t="s">
        <v>44</v>
      </c>
      <c r="X254" s="37" t="s">
        <v>1056</v>
      </c>
      <c r="Y254" s="34" t="n">
        <v>50</v>
      </c>
      <c r="Z254" s="34" t="s">
        <v>1057</v>
      </c>
      <c r="AA254" s="34" t="s">
        <v>46</v>
      </c>
      <c r="AB254" s="34" t="s">
        <v>300</v>
      </c>
      <c r="AC254" s="34" t="n">
        <v>33010</v>
      </c>
      <c r="AD254" s="34" t="n">
        <v>619069726</v>
      </c>
      <c r="AE254" s="39" t="s">
        <v>1058</v>
      </c>
      <c r="AF254" s="40" t="s">
        <v>1059</v>
      </c>
      <c r="AG254" s="40" t="s">
        <v>649</v>
      </c>
      <c r="AH254" s="40" t="s">
        <v>1060</v>
      </c>
      <c r="AI254" s="40" t="n">
        <v>39</v>
      </c>
      <c r="AJ254" s="40" t="s">
        <v>1061</v>
      </c>
      <c r="AK254" s="29"/>
      <c r="AL254" s="33"/>
      <c r="AM254" s="41" t="n">
        <v>10</v>
      </c>
      <c r="AO254" s="2" t="str">
        <f aca="false">CONCATENATE(AF254,AG254,AH254,AI254,AJ254)</f>
        <v>ES9001820681390201601546</v>
      </c>
    </row>
    <row r="255" customFormat="false" ht="15" hidden="false" customHeight="true" outlineLevel="0" collapsed="false">
      <c r="A255" s="8" t="n">
        <v>253</v>
      </c>
      <c r="B255" s="20"/>
      <c r="C255" s="21" t="n">
        <v>89</v>
      </c>
      <c r="D255" s="22"/>
      <c r="E255" s="26"/>
      <c r="F255" s="26"/>
      <c r="G255" s="26"/>
      <c r="H255" s="42"/>
      <c r="I255" s="26"/>
      <c r="J255" s="26"/>
      <c r="K255" s="26"/>
      <c r="L255" s="26"/>
      <c r="M255" s="26"/>
      <c r="N255" s="26"/>
      <c r="O255" s="43"/>
      <c r="P255" s="43"/>
      <c r="Q255" s="43"/>
      <c r="R255" s="26"/>
      <c r="S255" s="26"/>
      <c r="T255" s="26"/>
      <c r="U255" s="42"/>
      <c r="V255" s="26"/>
      <c r="W255" s="26"/>
      <c r="X255" s="43"/>
      <c r="Y255" s="26"/>
      <c r="Z255" s="26"/>
      <c r="AA255" s="26"/>
      <c r="AB255" s="26"/>
      <c r="AC255" s="26"/>
      <c r="AD255" s="26"/>
      <c r="AE255" s="44"/>
      <c r="AF255" s="28"/>
      <c r="AG255" s="28"/>
      <c r="AH255" s="28"/>
      <c r="AI255" s="28"/>
      <c r="AJ255" s="28"/>
      <c r="AK255" s="29"/>
      <c r="AL255" s="30" t="n">
        <v>30</v>
      </c>
      <c r="AM255" s="30"/>
      <c r="AN255" s="32" t="e">
        <f aca="false">#REF!</f>
        <v>#REF!</v>
      </c>
      <c r="AO255" s="2" t="str">
        <f aca="false">CONCATENATE(AF255,AG255,AH255,AI255,AJ255)</f>
        <v/>
      </c>
    </row>
    <row r="256" customFormat="false" ht="15" hidden="false" customHeight="true" outlineLevel="0" collapsed="false">
      <c r="A256" s="8" t="n">
        <v>254</v>
      </c>
      <c r="B256" s="20"/>
      <c r="C256" s="33"/>
      <c r="D256" s="34" t="s">
        <v>1062</v>
      </c>
      <c r="E256" s="34" t="s">
        <v>68</v>
      </c>
      <c r="F256" s="34" t="s">
        <v>630</v>
      </c>
      <c r="G256" s="34" t="s">
        <v>118</v>
      </c>
      <c r="H256" s="35"/>
      <c r="I256" s="36"/>
      <c r="J256" s="34" t="s">
        <v>33</v>
      </c>
      <c r="K256" s="34" t="s">
        <v>69</v>
      </c>
      <c r="L256" s="34" t="s">
        <v>36</v>
      </c>
      <c r="M256" s="34" t="str">
        <f aca="false">CONCATENATE(K256," ",L256)</f>
        <v>ASCAZ HOSPITALARIA</v>
      </c>
      <c r="N256" s="34" t="s">
        <v>37</v>
      </c>
      <c r="O256" s="37" t="s">
        <v>575</v>
      </c>
      <c r="P256" s="37" t="s">
        <v>1063</v>
      </c>
      <c r="Q256" s="37" t="s">
        <v>307</v>
      </c>
      <c r="R256" s="34" t="s">
        <v>41</v>
      </c>
      <c r="S256" s="34" t="s">
        <v>1064</v>
      </c>
      <c r="T256" s="34" t="s">
        <v>59</v>
      </c>
      <c r="U256" s="35" t="n">
        <v>31084</v>
      </c>
      <c r="V256" s="38" t="n">
        <f aca="false">YEAR($V$1)-YEAR(U256)</f>
        <v>33</v>
      </c>
      <c r="W256" s="34" t="s">
        <v>44</v>
      </c>
      <c r="X256" s="37" t="s">
        <v>1065</v>
      </c>
      <c r="Y256" s="34" t="n">
        <v>23</v>
      </c>
      <c r="Z256" s="34" t="s">
        <v>1066</v>
      </c>
      <c r="AA256" s="34" t="s">
        <v>46</v>
      </c>
      <c r="AB256" s="34" t="s">
        <v>300</v>
      </c>
      <c r="AC256" s="34" t="n">
        <v>33012</v>
      </c>
      <c r="AD256" s="34" t="n">
        <v>699019008</v>
      </c>
      <c r="AE256" s="39" t="s">
        <v>1067</v>
      </c>
      <c r="AF256" s="40" t="s">
        <v>1068</v>
      </c>
      <c r="AG256" s="40" t="n">
        <v>1465</v>
      </c>
      <c r="AH256" s="40" t="s">
        <v>862</v>
      </c>
      <c r="AI256" s="40" t="n">
        <v>17</v>
      </c>
      <c r="AJ256" s="40" t="n">
        <v>1714953913</v>
      </c>
      <c r="AK256" s="29"/>
      <c r="AL256" s="33"/>
      <c r="AM256" s="41" t="n">
        <v>10</v>
      </c>
      <c r="AO256" s="2" t="str">
        <f aca="false">CONCATENATE(AF256,AG256,AH256,AI256,AJ256)</f>
        <v>ES4014650360171714953913</v>
      </c>
    </row>
    <row r="257" customFormat="false" ht="15" hidden="false" customHeight="true" outlineLevel="0" collapsed="false">
      <c r="A257" s="8" t="n">
        <v>255</v>
      </c>
      <c r="B257" s="20"/>
      <c r="C257" s="21" t="n">
        <v>90</v>
      </c>
      <c r="D257" s="22"/>
      <c r="E257" s="26"/>
      <c r="F257" s="26"/>
      <c r="G257" s="26"/>
      <c r="H257" s="42"/>
      <c r="I257" s="26"/>
      <c r="J257" s="26"/>
      <c r="K257" s="26"/>
      <c r="L257" s="26"/>
      <c r="M257" s="26"/>
      <c r="N257" s="26"/>
      <c r="O257" s="43"/>
      <c r="P257" s="43"/>
      <c r="Q257" s="43"/>
      <c r="R257" s="26"/>
      <c r="S257" s="26"/>
      <c r="T257" s="26"/>
      <c r="U257" s="42"/>
      <c r="V257" s="26"/>
      <c r="W257" s="26"/>
      <c r="X257" s="43"/>
      <c r="Y257" s="26"/>
      <c r="Z257" s="26"/>
      <c r="AA257" s="26"/>
      <c r="AB257" s="26"/>
      <c r="AC257" s="26"/>
      <c r="AD257" s="26"/>
      <c r="AE257" s="44"/>
      <c r="AF257" s="28"/>
      <c r="AG257" s="28"/>
      <c r="AH257" s="28"/>
      <c r="AI257" s="28"/>
      <c r="AJ257" s="28"/>
      <c r="AK257" s="29"/>
      <c r="AL257" s="30" t="n">
        <v>30</v>
      </c>
      <c r="AM257" s="30"/>
      <c r="AN257" s="32" t="e">
        <f aca="false">#REF!</f>
        <v>#REF!</v>
      </c>
      <c r="AO257" s="2" t="str">
        <f aca="false">CONCATENATE(AF257,AG257,AH257,AI257,AJ257)</f>
        <v/>
      </c>
    </row>
    <row r="258" customFormat="false" ht="15" hidden="false" customHeight="true" outlineLevel="0" collapsed="false">
      <c r="A258" s="8" t="n">
        <v>256</v>
      </c>
      <c r="B258" s="20"/>
      <c r="C258" s="33"/>
      <c r="D258" s="34" t="s">
        <v>1069</v>
      </c>
      <c r="E258" s="34" t="s">
        <v>68</v>
      </c>
      <c r="F258" s="34" t="s">
        <v>652</v>
      </c>
      <c r="G258" s="34" t="s">
        <v>118</v>
      </c>
      <c r="H258" s="35"/>
      <c r="I258" s="36"/>
      <c r="J258" s="34" t="s">
        <v>33</v>
      </c>
      <c r="K258" s="34" t="s">
        <v>69</v>
      </c>
      <c r="L258" s="34" t="s">
        <v>36</v>
      </c>
      <c r="M258" s="34" t="str">
        <f aca="false">CONCATENATE(K258," ",L258)</f>
        <v>ASCAZ HOSPITALARIA</v>
      </c>
      <c r="N258" s="34" t="s">
        <v>37</v>
      </c>
      <c r="O258" s="37" t="s">
        <v>1070</v>
      </c>
      <c r="P258" s="37" t="s">
        <v>190</v>
      </c>
      <c r="Q258" s="37" t="s">
        <v>380</v>
      </c>
      <c r="R258" s="34" t="s">
        <v>41</v>
      </c>
      <c r="S258" s="34" t="s">
        <v>1071</v>
      </c>
      <c r="T258" s="34" t="s">
        <v>59</v>
      </c>
      <c r="U258" s="35" t="n">
        <v>27828</v>
      </c>
      <c r="V258" s="38" t="n">
        <f aca="false">YEAR($V$1)-YEAR(U258)</f>
        <v>42</v>
      </c>
      <c r="W258" s="34" t="s">
        <v>44</v>
      </c>
      <c r="X258" s="37" t="s">
        <v>1072</v>
      </c>
      <c r="Y258" s="34" t="n">
        <v>75</v>
      </c>
      <c r="Z258" s="34" t="s">
        <v>1073</v>
      </c>
      <c r="AA258" s="34" t="s">
        <v>46</v>
      </c>
      <c r="AB258" s="34" t="s">
        <v>47</v>
      </c>
      <c r="AC258" s="34" t="n">
        <v>33211</v>
      </c>
      <c r="AD258" s="34" t="n">
        <v>660813545</v>
      </c>
      <c r="AE258" s="39" t="s">
        <v>1074</v>
      </c>
      <c r="AF258" s="40" t="s">
        <v>127</v>
      </c>
      <c r="AG258" s="40" t="n">
        <v>2048</v>
      </c>
      <c r="AH258" s="40" t="s">
        <v>1075</v>
      </c>
      <c r="AI258" s="40" t="n">
        <v>73</v>
      </c>
      <c r="AJ258" s="40" t="n">
        <v>3400015039</v>
      </c>
      <c r="AK258" s="29"/>
      <c r="AL258" s="33"/>
      <c r="AM258" s="41" t="n">
        <v>10</v>
      </c>
      <c r="AO258" s="2" t="str">
        <f aca="false">CONCATENATE(AF258,AG258,AH258,AI258,AJ258)</f>
        <v>ES2420480092733400015039</v>
      </c>
    </row>
    <row r="259" customFormat="false" ht="15" hidden="false" customHeight="true" outlineLevel="0" collapsed="false">
      <c r="A259" s="8" t="n">
        <v>257</v>
      </c>
      <c r="B259" s="20"/>
      <c r="C259" s="21" t="n">
        <v>91</v>
      </c>
      <c r="D259" s="22"/>
      <c r="E259" s="26"/>
      <c r="F259" s="26"/>
      <c r="G259" s="26"/>
      <c r="H259" s="42"/>
      <c r="I259" s="26"/>
      <c r="J259" s="26"/>
      <c r="K259" s="26"/>
      <c r="L259" s="26"/>
      <c r="M259" s="26"/>
      <c r="N259" s="26"/>
      <c r="O259" s="43"/>
      <c r="P259" s="43"/>
      <c r="Q259" s="43"/>
      <c r="R259" s="26"/>
      <c r="S259" s="26"/>
      <c r="T259" s="26"/>
      <c r="U259" s="42"/>
      <c r="V259" s="26"/>
      <c r="W259" s="26"/>
      <c r="X259" s="43"/>
      <c r="Y259" s="26"/>
      <c r="Z259" s="26"/>
      <c r="AA259" s="26"/>
      <c r="AB259" s="26"/>
      <c r="AC259" s="26"/>
      <c r="AD259" s="26"/>
      <c r="AE259" s="44"/>
      <c r="AF259" s="28"/>
      <c r="AG259" s="28"/>
      <c r="AH259" s="28"/>
      <c r="AI259" s="28"/>
      <c r="AJ259" s="28"/>
      <c r="AK259" s="29"/>
      <c r="AL259" s="30" t="n">
        <v>30</v>
      </c>
      <c r="AM259" s="30"/>
      <c r="AN259" s="32" t="e">
        <f aca="false">#REF!</f>
        <v>#REF!</v>
      </c>
      <c r="AO259" s="2" t="str">
        <f aca="false">CONCATENATE(AF259,AG259,AH259,AI259,AJ259)</f>
        <v/>
      </c>
    </row>
    <row r="260" customFormat="false" ht="15" hidden="false" customHeight="true" outlineLevel="0" collapsed="false">
      <c r="A260" s="8" t="n">
        <v>258</v>
      </c>
      <c r="B260" s="20"/>
      <c r="C260" s="33"/>
      <c r="D260" s="34" t="s">
        <v>1076</v>
      </c>
      <c r="E260" s="34" t="s">
        <v>68</v>
      </c>
      <c r="F260" s="34"/>
      <c r="G260" s="34" t="s">
        <v>118</v>
      </c>
      <c r="H260" s="35"/>
      <c r="I260" s="36"/>
      <c r="J260" s="34" t="s">
        <v>33</v>
      </c>
      <c r="K260" s="34" t="s">
        <v>69</v>
      </c>
      <c r="L260" s="34" t="s">
        <v>36</v>
      </c>
      <c r="M260" s="34" t="str">
        <f aca="false">CONCATENATE(K260," ",L260)</f>
        <v>ASCAZ HOSPITALARIA</v>
      </c>
      <c r="N260" s="34" t="s">
        <v>37</v>
      </c>
      <c r="O260" s="37" t="s">
        <v>1077</v>
      </c>
      <c r="P260" s="37" t="s">
        <v>134</v>
      </c>
      <c r="Q260" s="37" t="s">
        <v>258</v>
      </c>
      <c r="R260" s="34" t="s">
        <v>41</v>
      </c>
      <c r="S260" s="34" t="s">
        <v>1078</v>
      </c>
      <c r="T260" s="34" t="s">
        <v>43</v>
      </c>
      <c r="U260" s="35" t="n">
        <v>25919</v>
      </c>
      <c r="V260" s="38" t="n">
        <f aca="false">YEAR($V$1)-YEAR(U260)</f>
        <v>48</v>
      </c>
      <c r="W260" s="34" t="s">
        <v>1079</v>
      </c>
      <c r="X260" s="37" t="s">
        <v>1080</v>
      </c>
      <c r="Y260" s="34" t="n">
        <v>2</v>
      </c>
      <c r="Z260" s="34" t="s">
        <v>1081</v>
      </c>
      <c r="AA260" s="34" t="s">
        <v>46</v>
      </c>
      <c r="AB260" s="34" t="s">
        <v>300</v>
      </c>
      <c r="AC260" s="34" t="n">
        <v>33001</v>
      </c>
      <c r="AD260" s="34" t="n">
        <v>660113642</v>
      </c>
      <c r="AE260" s="39" t="s">
        <v>1082</v>
      </c>
      <c r="AF260" s="40" t="s">
        <v>1083</v>
      </c>
      <c r="AG260" s="40" t="n">
        <v>2048</v>
      </c>
      <c r="AH260" s="40" t="s">
        <v>1084</v>
      </c>
      <c r="AI260" s="40" t="n">
        <v>55</v>
      </c>
      <c r="AJ260" s="40" t="n">
        <v>3000002704</v>
      </c>
      <c r="AK260" s="29"/>
      <c r="AL260" s="33"/>
      <c r="AM260" s="41" t="n">
        <v>10</v>
      </c>
      <c r="AO260" s="2" t="str">
        <f aca="false">CONCATENATE(AF260,AG260,AH260,AI260,AJ260)</f>
        <v>ES3820480189553000002704</v>
      </c>
    </row>
    <row r="261" customFormat="false" ht="15" hidden="false" customHeight="true" outlineLevel="0" collapsed="false">
      <c r="A261" s="8" t="n">
        <v>259</v>
      </c>
      <c r="B261" s="20"/>
      <c r="C261" s="21" t="n">
        <v>92</v>
      </c>
      <c r="D261" s="22"/>
      <c r="E261" s="26"/>
      <c r="F261" s="26"/>
      <c r="G261" s="26"/>
      <c r="H261" s="42"/>
      <c r="I261" s="26"/>
      <c r="J261" s="26"/>
      <c r="K261" s="26"/>
      <c r="L261" s="26"/>
      <c r="M261" s="26"/>
      <c r="N261" s="26"/>
      <c r="O261" s="43"/>
      <c r="P261" s="43"/>
      <c r="Q261" s="43"/>
      <c r="R261" s="26"/>
      <c r="S261" s="26"/>
      <c r="T261" s="26"/>
      <c r="U261" s="42"/>
      <c r="V261" s="26"/>
      <c r="W261" s="26"/>
      <c r="X261" s="43"/>
      <c r="Y261" s="26"/>
      <c r="Z261" s="26"/>
      <c r="AA261" s="26"/>
      <c r="AB261" s="26"/>
      <c r="AC261" s="26"/>
      <c r="AD261" s="26"/>
      <c r="AE261" s="44"/>
      <c r="AF261" s="28"/>
      <c r="AG261" s="28"/>
      <c r="AH261" s="28"/>
      <c r="AI261" s="28"/>
      <c r="AJ261" s="28"/>
      <c r="AK261" s="29"/>
      <c r="AL261" s="30" t="n">
        <v>30</v>
      </c>
      <c r="AM261" s="30"/>
      <c r="AN261" s="32" t="e">
        <f aca="false">#REF!</f>
        <v>#REF!</v>
      </c>
      <c r="AO261" s="2" t="str">
        <f aca="false">CONCATENATE(AF261,AG261,AH261,AI261,AJ261)</f>
        <v/>
      </c>
    </row>
    <row r="262" customFormat="false" ht="15" hidden="false" customHeight="true" outlineLevel="0" collapsed="false">
      <c r="A262" s="8" t="n">
        <v>260</v>
      </c>
      <c r="B262" s="20"/>
      <c r="C262" s="33"/>
      <c r="D262" s="34" t="s">
        <v>1085</v>
      </c>
      <c r="E262" s="34" t="s">
        <v>68</v>
      </c>
      <c r="F262" s="34" t="s">
        <v>1086</v>
      </c>
      <c r="G262" s="34" t="s">
        <v>118</v>
      </c>
      <c r="H262" s="35"/>
      <c r="I262" s="36"/>
      <c r="J262" s="34" t="s">
        <v>33</v>
      </c>
      <c r="K262" s="34" t="s">
        <v>69</v>
      </c>
      <c r="L262" s="34" t="s">
        <v>36</v>
      </c>
      <c r="M262" s="34" t="str">
        <f aca="false">CONCATENATE(K262," ",L262)</f>
        <v>ASCAZ HOSPITALARIA</v>
      </c>
      <c r="N262" s="34" t="s">
        <v>37</v>
      </c>
      <c r="O262" s="37" t="s">
        <v>1087</v>
      </c>
      <c r="P262" s="37" t="s">
        <v>200</v>
      </c>
      <c r="Q262" s="37" t="s">
        <v>40</v>
      </c>
      <c r="R262" s="34" t="s">
        <v>41</v>
      </c>
      <c r="S262" s="34" t="s">
        <v>1088</v>
      </c>
      <c r="T262" s="34" t="s">
        <v>59</v>
      </c>
      <c r="U262" s="35" t="n">
        <v>22935</v>
      </c>
      <c r="V262" s="38" t="n">
        <f aca="false">YEAR($V$1)-YEAR(U262)</f>
        <v>56</v>
      </c>
      <c r="W262" s="34" t="s">
        <v>1079</v>
      </c>
      <c r="X262" s="37" t="s">
        <v>1089</v>
      </c>
      <c r="Y262" s="34" t="n">
        <v>2</v>
      </c>
      <c r="Z262" s="34" t="s">
        <v>1090</v>
      </c>
      <c r="AA262" s="34" t="s">
        <v>46</v>
      </c>
      <c r="AB262" s="34" t="s">
        <v>300</v>
      </c>
      <c r="AC262" s="34" t="n">
        <v>33013</v>
      </c>
      <c r="AD262" s="34" t="n">
        <v>686471099</v>
      </c>
      <c r="AE262" s="39" t="s">
        <v>1091</v>
      </c>
      <c r="AF262" s="40" t="s">
        <v>611</v>
      </c>
      <c r="AG262" s="40" t="s">
        <v>110</v>
      </c>
      <c r="AH262" s="40" t="n">
        <v>1311</v>
      </c>
      <c r="AI262" s="40" t="n">
        <v>55</v>
      </c>
      <c r="AJ262" s="40" t="n">
        <v>2190004149</v>
      </c>
      <c r="AK262" s="29"/>
      <c r="AL262" s="33"/>
      <c r="AM262" s="41" t="n">
        <v>10</v>
      </c>
      <c r="AO262" s="2" t="str">
        <f aca="false">CONCATENATE(AF262,AG262,AH262,AI262,AJ262)</f>
        <v>ES4300491311552190004149</v>
      </c>
    </row>
    <row r="263" customFormat="false" ht="15" hidden="false" customHeight="true" outlineLevel="0" collapsed="false">
      <c r="A263" s="8" t="n">
        <v>261</v>
      </c>
      <c r="B263" s="20"/>
      <c r="C263" s="21" t="n">
        <v>93</v>
      </c>
      <c r="D263" s="22"/>
      <c r="E263" s="26"/>
      <c r="F263" s="26"/>
      <c r="G263" s="26"/>
      <c r="H263" s="42"/>
      <c r="I263" s="26"/>
      <c r="J263" s="26"/>
      <c r="K263" s="26"/>
      <c r="L263" s="26"/>
      <c r="M263" s="26"/>
      <c r="N263" s="26"/>
      <c r="O263" s="43"/>
      <c r="P263" s="43"/>
      <c r="Q263" s="43"/>
      <c r="R263" s="26"/>
      <c r="S263" s="26"/>
      <c r="T263" s="26"/>
      <c r="U263" s="42"/>
      <c r="V263" s="26"/>
      <c r="W263" s="26"/>
      <c r="X263" s="43"/>
      <c r="Y263" s="26"/>
      <c r="Z263" s="26"/>
      <c r="AA263" s="26"/>
      <c r="AB263" s="26"/>
      <c r="AC263" s="26"/>
      <c r="AD263" s="26"/>
      <c r="AE263" s="44"/>
      <c r="AF263" s="28"/>
      <c r="AG263" s="28"/>
      <c r="AH263" s="28"/>
      <c r="AI263" s="28"/>
      <c r="AJ263" s="28"/>
      <c r="AK263" s="29"/>
      <c r="AL263" s="30" t="n">
        <v>30</v>
      </c>
      <c r="AM263" s="30"/>
      <c r="AN263" s="32" t="e">
        <f aca="false">#REF!</f>
        <v>#REF!</v>
      </c>
      <c r="AO263" s="2" t="str">
        <f aca="false">CONCATENATE(AF263,AG263,AH263,AI263,AJ263)</f>
        <v/>
      </c>
    </row>
    <row r="264" customFormat="false" ht="15" hidden="false" customHeight="true" outlineLevel="0" collapsed="false">
      <c r="A264" s="8" t="n">
        <v>262</v>
      </c>
      <c r="B264" s="20"/>
      <c r="C264" s="33"/>
      <c r="D264" s="34" t="s">
        <v>1092</v>
      </c>
      <c r="E264" s="34" t="s">
        <v>68</v>
      </c>
      <c r="F264" s="34" t="s">
        <v>2</v>
      </c>
      <c r="G264" s="34" t="s">
        <v>118</v>
      </c>
      <c r="H264" s="35"/>
      <c r="I264" s="36"/>
      <c r="J264" s="34" t="s">
        <v>33</v>
      </c>
      <c r="K264" s="34" t="s">
        <v>69</v>
      </c>
      <c r="L264" s="34" t="s">
        <v>36</v>
      </c>
      <c r="M264" s="34" t="str">
        <f aca="false">CONCATENATE(K264," ",L264)</f>
        <v>ASCAZ HOSPITALARIA</v>
      </c>
      <c r="N264" s="34" t="s">
        <v>37</v>
      </c>
      <c r="O264" s="37" t="s">
        <v>1093</v>
      </c>
      <c r="P264" s="37" t="s">
        <v>1094</v>
      </c>
      <c r="Q264" s="37" t="s">
        <v>726</v>
      </c>
      <c r="R264" s="34" t="s">
        <v>41</v>
      </c>
      <c r="S264" s="34" t="s">
        <v>1095</v>
      </c>
      <c r="T264" s="34" t="s">
        <v>43</v>
      </c>
      <c r="U264" s="35" t="n">
        <v>30879</v>
      </c>
      <c r="V264" s="38" t="n">
        <f aca="false">YEAR($V$1)-YEAR(U264)</f>
        <v>34</v>
      </c>
      <c r="W264" s="34" t="s">
        <v>44</v>
      </c>
      <c r="X264" s="37" t="s">
        <v>1096</v>
      </c>
      <c r="Y264" s="34" t="n">
        <v>12</v>
      </c>
      <c r="Z264" s="34" t="s">
        <v>1097</v>
      </c>
      <c r="AA264" s="34" t="s">
        <v>572</v>
      </c>
      <c r="AB264" s="34" t="s">
        <v>572</v>
      </c>
      <c r="AC264" s="34" t="n">
        <v>28041</v>
      </c>
      <c r="AD264" s="34" t="n">
        <v>690305889</v>
      </c>
      <c r="AE264" s="39" t="s">
        <v>1098</v>
      </c>
      <c r="AF264" s="40" t="s">
        <v>195</v>
      </c>
      <c r="AG264" s="40" t="n">
        <v>1465</v>
      </c>
      <c r="AH264" s="40" t="s">
        <v>196</v>
      </c>
      <c r="AI264" s="40" t="n">
        <v>98</v>
      </c>
      <c r="AJ264" s="40" t="n">
        <v>1725734162</v>
      </c>
      <c r="AK264" s="29"/>
      <c r="AL264" s="33"/>
      <c r="AM264" s="41" t="n">
        <v>10</v>
      </c>
      <c r="AO264" s="2" t="str">
        <f aca="false">CONCATENATE(AF264,AG264,AH264,AI264,AJ264)</f>
        <v>ES3214650100981725734162</v>
      </c>
    </row>
    <row r="265" customFormat="false" ht="15" hidden="false" customHeight="true" outlineLevel="0" collapsed="false">
      <c r="A265" s="8" t="n">
        <v>263</v>
      </c>
      <c r="B265" s="20"/>
      <c r="C265" s="21" t="n">
        <v>94</v>
      </c>
      <c r="D265" s="22"/>
      <c r="E265" s="26"/>
      <c r="F265" s="26"/>
      <c r="G265" s="26"/>
      <c r="H265" s="42"/>
      <c r="I265" s="26"/>
      <c r="J265" s="26"/>
      <c r="K265" s="26"/>
      <c r="L265" s="26"/>
      <c r="M265" s="26"/>
      <c r="N265" s="26"/>
      <c r="O265" s="43"/>
      <c r="P265" s="43"/>
      <c r="Q265" s="43"/>
      <c r="R265" s="26"/>
      <c r="S265" s="26"/>
      <c r="T265" s="26"/>
      <c r="U265" s="42"/>
      <c r="V265" s="26"/>
      <c r="W265" s="26"/>
      <c r="X265" s="43"/>
      <c r="Y265" s="26"/>
      <c r="Z265" s="26"/>
      <c r="AA265" s="26"/>
      <c r="AB265" s="26"/>
      <c r="AC265" s="26"/>
      <c r="AD265" s="26"/>
      <c r="AE265" s="44"/>
      <c r="AF265" s="28"/>
      <c r="AG265" s="28"/>
      <c r="AH265" s="28"/>
      <c r="AI265" s="28"/>
      <c r="AJ265" s="28"/>
      <c r="AK265" s="29"/>
      <c r="AL265" s="30" t="n">
        <v>30</v>
      </c>
      <c r="AM265" s="30"/>
      <c r="AN265" s="32" t="e">
        <f aca="false">#REF!</f>
        <v>#REF!</v>
      </c>
      <c r="AO265" s="2" t="str">
        <f aca="false">CONCATENATE(AF265,AG265,AH265,AI265,AJ265)</f>
        <v/>
      </c>
    </row>
    <row r="266" customFormat="false" ht="15" hidden="false" customHeight="true" outlineLevel="0" collapsed="false">
      <c r="A266" s="8" t="n">
        <v>264</v>
      </c>
      <c r="B266" s="20"/>
      <c r="C266" s="33"/>
      <c r="D266" s="34" t="s">
        <v>1099</v>
      </c>
      <c r="E266" s="34" t="s">
        <v>68</v>
      </c>
      <c r="F266" s="34"/>
      <c r="G266" s="34" t="s">
        <v>118</v>
      </c>
      <c r="H266" s="35"/>
      <c r="I266" s="36"/>
      <c r="J266" s="34" t="s">
        <v>33</v>
      </c>
      <c r="K266" s="34" t="s">
        <v>69</v>
      </c>
      <c r="L266" s="34" t="s">
        <v>36</v>
      </c>
      <c r="M266" s="34" t="str">
        <f aca="false">CONCATENATE(K266," ",L266)</f>
        <v>ASCAZ HOSPITALARIA</v>
      </c>
      <c r="N266" s="34" t="s">
        <v>37</v>
      </c>
      <c r="O266" s="37" t="s">
        <v>1100</v>
      </c>
      <c r="P266" s="37" t="s">
        <v>274</v>
      </c>
      <c r="Q266" s="37" t="s">
        <v>140</v>
      </c>
      <c r="R266" s="34" t="s">
        <v>41</v>
      </c>
      <c r="S266" s="34" t="s">
        <v>1101</v>
      </c>
      <c r="T266" s="34" t="s">
        <v>43</v>
      </c>
      <c r="U266" s="35" t="n">
        <v>26061</v>
      </c>
      <c r="V266" s="38" t="n">
        <f aca="false">YEAR($V$1)-YEAR(U266)</f>
        <v>47</v>
      </c>
      <c r="W266" s="34" t="s">
        <v>759</v>
      </c>
      <c r="X266" s="37" t="s">
        <v>1102</v>
      </c>
      <c r="Y266" s="34" t="n">
        <v>34</v>
      </c>
      <c r="Z266" s="34"/>
      <c r="AA266" s="34" t="s">
        <v>46</v>
      </c>
      <c r="AB266" s="34" t="s">
        <v>1103</v>
      </c>
      <c r="AC266" s="34" t="n">
        <v>33867</v>
      </c>
      <c r="AD266" s="34" t="n">
        <v>659932258</v>
      </c>
      <c r="AE266" s="39"/>
      <c r="AF266" s="40" t="s">
        <v>1104</v>
      </c>
      <c r="AG266" s="40" t="n">
        <v>3059</v>
      </c>
      <c r="AH266" s="40" t="s">
        <v>1105</v>
      </c>
      <c r="AI266" s="40" t="n">
        <v>28</v>
      </c>
      <c r="AJ266" s="40" t="n">
        <v>2753161021</v>
      </c>
      <c r="AK266" s="29"/>
      <c r="AL266" s="33"/>
      <c r="AM266" s="41" t="n">
        <v>10</v>
      </c>
      <c r="AO266" s="2" t="str">
        <f aca="false">CONCATENATE(AF266,AG266,AH266,AI266,AJ266)</f>
        <v>ES6730590006282753161021</v>
      </c>
    </row>
    <row r="267" customFormat="false" ht="15" hidden="false" customHeight="true" outlineLevel="0" collapsed="false">
      <c r="A267" s="8" t="n">
        <v>265</v>
      </c>
      <c r="B267" s="20"/>
      <c r="C267" s="33"/>
      <c r="D267" s="34" t="s">
        <v>1106</v>
      </c>
      <c r="E267" s="34" t="s">
        <v>68</v>
      </c>
      <c r="F267" s="34"/>
      <c r="G267" s="34" t="s">
        <v>118</v>
      </c>
      <c r="H267" s="35"/>
      <c r="I267" s="36"/>
      <c r="J267" s="34" t="s">
        <v>33</v>
      </c>
      <c r="K267" s="34" t="s">
        <v>69</v>
      </c>
      <c r="L267" s="34" t="s">
        <v>36</v>
      </c>
      <c r="M267" s="34" t="str">
        <f aca="false">CONCATENATE(K267," ",L267)</f>
        <v>ASCAZ HOSPITALARIA</v>
      </c>
      <c r="N267" s="34" t="s">
        <v>54</v>
      </c>
      <c r="O267" s="37" t="s">
        <v>1107</v>
      </c>
      <c r="P267" s="37" t="s">
        <v>307</v>
      </c>
      <c r="Q267" s="37" t="s">
        <v>134</v>
      </c>
      <c r="R267" s="34" t="s">
        <v>41</v>
      </c>
      <c r="S267" s="34" t="s">
        <v>1108</v>
      </c>
      <c r="T267" s="34" t="s">
        <v>59</v>
      </c>
      <c r="U267" s="35" t="n">
        <v>30107</v>
      </c>
      <c r="V267" s="38" t="n">
        <f aca="false">YEAR($V$1)-YEAR(U267)</f>
        <v>36</v>
      </c>
      <c r="W267" s="34"/>
      <c r="X267" s="37"/>
      <c r="Y267" s="34"/>
      <c r="Z267" s="34"/>
      <c r="AA267" s="34"/>
      <c r="AB267" s="34"/>
      <c r="AC267" s="34"/>
      <c r="AD267" s="34"/>
      <c r="AE267" s="39"/>
      <c r="AF267" s="40"/>
      <c r="AG267" s="40"/>
      <c r="AH267" s="40"/>
      <c r="AI267" s="40"/>
      <c r="AJ267" s="40"/>
      <c r="AK267" s="29"/>
      <c r="AL267" s="33"/>
      <c r="AM267" s="41" t="n">
        <v>10</v>
      </c>
      <c r="AO267" s="2" t="str">
        <f aca="false">CONCATENATE(AF267,AG267,AH267,AI267,AJ267)</f>
        <v/>
      </c>
    </row>
    <row r="268" customFormat="false" ht="15" hidden="false" customHeight="true" outlineLevel="0" collapsed="false">
      <c r="A268" s="8" t="n">
        <v>266</v>
      </c>
      <c r="B268" s="20"/>
      <c r="C268" s="21" t="n">
        <v>95</v>
      </c>
      <c r="D268" s="22"/>
      <c r="E268" s="26"/>
      <c r="F268" s="26"/>
      <c r="G268" s="26"/>
      <c r="H268" s="42"/>
      <c r="I268" s="26"/>
      <c r="J268" s="26"/>
      <c r="K268" s="26"/>
      <c r="L268" s="26"/>
      <c r="M268" s="26"/>
      <c r="N268" s="26"/>
      <c r="O268" s="43"/>
      <c r="P268" s="43"/>
      <c r="Q268" s="43"/>
      <c r="R268" s="26"/>
      <c r="S268" s="26"/>
      <c r="T268" s="26"/>
      <c r="U268" s="42"/>
      <c r="V268" s="26"/>
      <c r="W268" s="26"/>
      <c r="X268" s="43"/>
      <c r="Y268" s="26"/>
      <c r="Z268" s="26"/>
      <c r="AA268" s="26"/>
      <c r="AB268" s="26"/>
      <c r="AC268" s="26"/>
      <c r="AD268" s="26"/>
      <c r="AE268" s="44"/>
      <c r="AF268" s="28"/>
      <c r="AG268" s="28"/>
      <c r="AH268" s="28"/>
      <c r="AI268" s="28"/>
      <c r="AJ268" s="28"/>
      <c r="AK268" s="29"/>
      <c r="AL268" s="30" t="n">
        <v>30</v>
      </c>
      <c r="AM268" s="30"/>
      <c r="AN268" s="32" t="e">
        <f aca="false">#REF!</f>
        <v>#REF!</v>
      </c>
      <c r="AO268" s="2" t="str">
        <f aca="false">CONCATENATE(AF268,AG268,AH268,AI268,AJ268)</f>
        <v/>
      </c>
    </row>
    <row r="269" customFormat="false" ht="15" hidden="false" customHeight="true" outlineLevel="0" collapsed="false">
      <c r="A269" s="8" t="n">
        <v>267</v>
      </c>
      <c r="B269" s="20"/>
      <c r="C269" s="33"/>
      <c r="D269" s="34" t="s">
        <v>1109</v>
      </c>
      <c r="E269" s="34" t="s">
        <v>68</v>
      </c>
      <c r="F269" s="34"/>
      <c r="G269" s="34" t="s">
        <v>118</v>
      </c>
      <c r="H269" s="35"/>
      <c r="I269" s="36"/>
      <c r="J269" s="34" t="s">
        <v>33</v>
      </c>
      <c r="K269" s="34" t="s">
        <v>69</v>
      </c>
      <c r="L269" s="34" t="s">
        <v>36</v>
      </c>
      <c r="M269" s="34" t="str">
        <f aca="false">CONCATENATE(K269," ",L269)</f>
        <v>ASCAZ HOSPITALARIA</v>
      </c>
      <c r="N269" s="34" t="s">
        <v>37</v>
      </c>
      <c r="O269" s="37" t="s">
        <v>1110</v>
      </c>
      <c r="P269" s="37" t="s">
        <v>1111</v>
      </c>
      <c r="Q269" s="37" t="s">
        <v>1112</v>
      </c>
      <c r="R269" s="34" t="s">
        <v>41</v>
      </c>
      <c r="S269" s="34" t="s">
        <v>1113</v>
      </c>
      <c r="T269" s="34" t="s">
        <v>59</v>
      </c>
      <c r="U269" s="35" t="n">
        <v>28344</v>
      </c>
      <c r="V269" s="38" t="n">
        <f aca="false">YEAR($V$1)-YEAR(U269)</f>
        <v>41</v>
      </c>
      <c r="W269" s="34" t="s">
        <v>1114</v>
      </c>
      <c r="X269" s="37" t="s">
        <v>1115</v>
      </c>
      <c r="Y269" s="34" t="s">
        <v>1116</v>
      </c>
      <c r="Z269" s="34" t="s">
        <v>77</v>
      </c>
      <c r="AA269" s="34" t="s">
        <v>572</v>
      </c>
      <c r="AB269" s="34" t="s">
        <v>1117</v>
      </c>
      <c r="AC269" s="34" t="s">
        <v>1118</v>
      </c>
      <c r="AD269" s="34" t="n">
        <v>607507810</v>
      </c>
      <c r="AE269" s="39" t="s">
        <v>1119</v>
      </c>
      <c r="AF269" s="40" t="s">
        <v>1120</v>
      </c>
      <c r="AG269" s="40" t="n">
        <v>1465</v>
      </c>
      <c r="AH269" s="40" t="s">
        <v>1121</v>
      </c>
      <c r="AI269" s="40" t="n">
        <v>31</v>
      </c>
      <c r="AJ269" s="40" t="n">
        <v>1712468570</v>
      </c>
      <c r="AK269" s="29"/>
      <c r="AL269" s="33"/>
      <c r="AM269" s="41" t="n">
        <v>10</v>
      </c>
      <c r="AO269" s="2" t="str">
        <f aca="false">CONCATENATE(AF269,AG269,AH269,AI269,AJ269)</f>
        <v>ES4114650705311712468570</v>
      </c>
    </row>
    <row r="270" customFormat="false" ht="15" hidden="false" customHeight="true" outlineLevel="0" collapsed="false">
      <c r="A270" s="8" t="n">
        <v>268</v>
      </c>
      <c r="B270" s="20"/>
      <c r="C270" s="33"/>
      <c r="D270" s="34" t="s">
        <v>1122</v>
      </c>
      <c r="E270" s="34" t="s">
        <v>68</v>
      </c>
      <c r="F270" s="34"/>
      <c r="G270" s="34" t="s">
        <v>118</v>
      </c>
      <c r="H270" s="35"/>
      <c r="I270" s="36"/>
      <c r="J270" s="34" t="s">
        <v>33</v>
      </c>
      <c r="K270" s="34" t="s">
        <v>69</v>
      </c>
      <c r="L270" s="34" t="s">
        <v>36</v>
      </c>
      <c r="M270" s="34" t="str">
        <f aca="false">CONCATENATE(K270," ",L270)</f>
        <v>ASCAZ HOSPITALARIA</v>
      </c>
      <c r="N270" s="34" t="s">
        <v>62</v>
      </c>
      <c r="O270" s="37" t="s">
        <v>1123</v>
      </c>
      <c r="P270" s="37" t="s">
        <v>1111</v>
      </c>
      <c r="Q270" s="37" t="s">
        <v>1112</v>
      </c>
      <c r="R270" s="34" t="s">
        <v>41</v>
      </c>
      <c r="S270" s="34" t="s">
        <v>1124</v>
      </c>
      <c r="T270" s="34" t="s">
        <v>59</v>
      </c>
      <c r="U270" s="35" t="n">
        <v>40131</v>
      </c>
      <c r="V270" s="38" t="n">
        <f aca="false">YEAR($V$1)-YEAR(U270)</f>
        <v>9</v>
      </c>
      <c r="W270" s="34"/>
      <c r="X270" s="37"/>
      <c r="Y270" s="34"/>
      <c r="Z270" s="34"/>
      <c r="AA270" s="34"/>
      <c r="AB270" s="34"/>
      <c r="AC270" s="34"/>
      <c r="AD270" s="34"/>
      <c r="AE270" s="39"/>
      <c r="AF270" s="40"/>
      <c r="AG270" s="40"/>
      <c r="AH270" s="40"/>
      <c r="AI270" s="40"/>
      <c r="AJ270" s="40"/>
      <c r="AK270" s="29"/>
      <c r="AL270" s="33"/>
      <c r="AM270" s="41" t="n">
        <v>10</v>
      </c>
      <c r="AO270" s="2" t="str">
        <f aca="false">CONCATENATE(AF270,AG270,AH270,AI270,AJ270)</f>
        <v/>
      </c>
    </row>
    <row r="271" customFormat="false" ht="15" hidden="false" customHeight="true" outlineLevel="0" collapsed="false">
      <c r="A271" s="8" t="n">
        <v>269</v>
      </c>
      <c r="B271" s="20"/>
      <c r="C271" s="21" t="n">
        <v>96</v>
      </c>
      <c r="D271" s="22"/>
      <c r="E271" s="26"/>
      <c r="F271" s="26"/>
      <c r="G271" s="26"/>
      <c r="H271" s="42"/>
      <c r="I271" s="26"/>
      <c r="J271" s="26"/>
      <c r="K271" s="26"/>
      <c r="L271" s="26"/>
      <c r="M271" s="26"/>
      <c r="N271" s="26"/>
      <c r="O271" s="43"/>
      <c r="P271" s="43"/>
      <c r="Q271" s="43"/>
      <c r="R271" s="26"/>
      <c r="S271" s="26"/>
      <c r="T271" s="26"/>
      <c r="U271" s="42"/>
      <c r="V271" s="26"/>
      <c r="W271" s="26"/>
      <c r="X271" s="43"/>
      <c r="Y271" s="26"/>
      <c r="Z271" s="26"/>
      <c r="AA271" s="26"/>
      <c r="AB271" s="26"/>
      <c r="AC271" s="26"/>
      <c r="AD271" s="26"/>
      <c r="AE271" s="44"/>
      <c r="AF271" s="28"/>
      <c r="AG271" s="28"/>
      <c r="AH271" s="28"/>
      <c r="AI271" s="28"/>
      <c r="AJ271" s="28"/>
      <c r="AK271" s="29"/>
      <c r="AL271" s="30" t="n">
        <v>30</v>
      </c>
      <c r="AM271" s="30"/>
      <c r="AN271" s="32" t="e">
        <f aca="false">#REF!</f>
        <v>#REF!</v>
      </c>
      <c r="AO271" s="2" t="str">
        <f aca="false">CONCATENATE(AF271,AG271,AH271,AI271,AJ271)</f>
        <v/>
      </c>
    </row>
    <row r="272" customFormat="false" ht="15" hidden="false" customHeight="true" outlineLevel="0" collapsed="false">
      <c r="A272" s="8" t="n">
        <v>270</v>
      </c>
      <c r="B272" s="20"/>
      <c r="C272" s="33"/>
      <c r="D272" s="34" t="s">
        <v>1125</v>
      </c>
      <c r="E272" s="34" t="s">
        <v>68</v>
      </c>
      <c r="F272" s="34"/>
      <c r="G272" s="34" t="s">
        <v>118</v>
      </c>
      <c r="H272" s="35"/>
      <c r="I272" s="36"/>
      <c r="J272" s="34" t="s">
        <v>33</v>
      </c>
      <c r="K272" s="34" t="s">
        <v>69</v>
      </c>
      <c r="L272" s="34" t="s">
        <v>36</v>
      </c>
      <c r="M272" s="34" t="str">
        <f aca="false">CONCATENATE(K272," ",L272)</f>
        <v>ASCAZ HOSPITALARIA</v>
      </c>
      <c r="N272" s="34" t="s">
        <v>37</v>
      </c>
      <c r="O272" s="37" t="s">
        <v>1126</v>
      </c>
      <c r="P272" s="37" t="s">
        <v>1127</v>
      </c>
      <c r="Q272" s="37" t="s">
        <v>1128</v>
      </c>
      <c r="R272" s="34" t="s">
        <v>41</v>
      </c>
      <c r="S272" s="34" t="s">
        <v>1129</v>
      </c>
      <c r="T272" s="34" t="s">
        <v>43</v>
      </c>
      <c r="U272" s="35" t="n">
        <v>31176</v>
      </c>
      <c r="V272" s="38" t="n">
        <f aca="false">YEAR($V$1)-YEAR(U272)</f>
        <v>33</v>
      </c>
      <c r="W272" s="34" t="s">
        <v>44</v>
      </c>
      <c r="X272" s="37" t="s">
        <v>1130</v>
      </c>
      <c r="Y272" s="34" t="n">
        <v>2</v>
      </c>
      <c r="Z272" s="34" t="s">
        <v>93</v>
      </c>
      <c r="AA272" s="34" t="s">
        <v>46</v>
      </c>
      <c r="AB272" s="34" t="s">
        <v>47</v>
      </c>
      <c r="AC272" s="34" t="n">
        <v>33212</v>
      </c>
      <c r="AD272" s="34" t="n">
        <v>610752984</v>
      </c>
      <c r="AE272" s="39" t="s">
        <v>1131</v>
      </c>
      <c r="AF272" s="40" t="s">
        <v>1059</v>
      </c>
      <c r="AG272" s="40" t="n">
        <v>1465</v>
      </c>
      <c r="AH272" s="40" t="s">
        <v>196</v>
      </c>
      <c r="AI272" s="40" t="n">
        <v>92</v>
      </c>
      <c r="AJ272" s="40" t="n">
        <v>1800161318</v>
      </c>
      <c r="AK272" s="29"/>
      <c r="AL272" s="33"/>
      <c r="AM272" s="41" t="n">
        <v>10</v>
      </c>
      <c r="AO272" s="2" t="str">
        <f aca="false">CONCATENATE(AF272,AG272,AH272,AI272,AJ272)</f>
        <v>ES9014650100921800161318</v>
      </c>
    </row>
    <row r="273" customFormat="false" ht="15" hidden="false" customHeight="true" outlineLevel="0" collapsed="false">
      <c r="A273" s="8" t="n">
        <v>271</v>
      </c>
      <c r="B273" s="20"/>
      <c r="C273" s="21" t="n">
        <v>97</v>
      </c>
      <c r="D273" s="22"/>
      <c r="E273" s="26"/>
      <c r="F273" s="26"/>
      <c r="G273" s="26"/>
      <c r="H273" s="42"/>
      <c r="I273" s="26"/>
      <c r="J273" s="26"/>
      <c r="K273" s="26"/>
      <c r="L273" s="26"/>
      <c r="M273" s="26"/>
      <c r="N273" s="26"/>
      <c r="O273" s="43"/>
      <c r="P273" s="43"/>
      <c r="Q273" s="43"/>
      <c r="R273" s="26"/>
      <c r="S273" s="26"/>
      <c r="T273" s="26"/>
      <c r="U273" s="42"/>
      <c r="V273" s="26"/>
      <c r="W273" s="26"/>
      <c r="X273" s="43"/>
      <c r="Y273" s="26"/>
      <c r="Z273" s="26"/>
      <c r="AA273" s="26"/>
      <c r="AB273" s="26"/>
      <c r="AC273" s="26"/>
      <c r="AD273" s="26"/>
      <c r="AE273" s="44"/>
      <c r="AF273" s="28"/>
      <c r="AG273" s="28"/>
      <c r="AH273" s="28"/>
      <c r="AI273" s="28"/>
      <c r="AJ273" s="28"/>
      <c r="AK273" s="29"/>
      <c r="AL273" s="30" t="n">
        <v>30</v>
      </c>
      <c r="AM273" s="30"/>
      <c r="AN273" s="32" t="e">
        <f aca="false">#REF!</f>
        <v>#REF!</v>
      </c>
      <c r="AO273" s="2" t="str">
        <f aca="false">CONCATENATE(AF273,AG273,AH273,AI273,AJ273)</f>
        <v/>
      </c>
    </row>
    <row r="274" customFormat="false" ht="15" hidden="false" customHeight="true" outlineLevel="0" collapsed="false">
      <c r="A274" s="8" t="n">
        <v>272</v>
      </c>
      <c r="B274" s="20"/>
      <c r="C274" s="33"/>
      <c r="D274" s="34" t="s">
        <v>1132</v>
      </c>
      <c r="E274" s="34" t="s">
        <v>68</v>
      </c>
      <c r="F274" s="34"/>
      <c r="G274" s="34" t="s">
        <v>118</v>
      </c>
      <c r="H274" s="35"/>
      <c r="I274" s="36"/>
      <c r="J274" s="34" t="s">
        <v>33</v>
      </c>
      <c r="K274" s="34" t="s">
        <v>69</v>
      </c>
      <c r="L274" s="34" t="s">
        <v>36</v>
      </c>
      <c r="M274" s="34" t="str">
        <f aca="false">CONCATENATE(K274," ",L274)</f>
        <v>ASCAZ HOSPITALARIA</v>
      </c>
      <c r="N274" s="34" t="s">
        <v>37</v>
      </c>
      <c r="O274" s="37" t="s">
        <v>1008</v>
      </c>
      <c r="P274" s="37" t="s">
        <v>1133</v>
      </c>
      <c r="Q274" s="37" t="s">
        <v>1134</v>
      </c>
      <c r="R274" s="34" t="s">
        <v>41</v>
      </c>
      <c r="S274" s="34" t="s">
        <v>1135</v>
      </c>
      <c r="T274" s="34" t="s">
        <v>59</v>
      </c>
      <c r="U274" s="35" t="n">
        <v>22541</v>
      </c>
      <c r="V274" s="38" t="n">
        <f aca="false">YEAR($V$1)-YEAR(U274)</f>
        <v>57</v>
      </c>
      <c r="W274" s="34" t="s">
        <v>44</v>
      </c>
      <c r="X274" s="37" t="s">
        <v>1136</v>
      </c>
      <c r="Y274" s="34" t="n">
        <v>27</v>
      </c>
      <c r="Z274" s="34" t="s">
        <v>940</v>
      </c>
      <c r="AA274" s="34" t="s">
        <v>46</v>
      </c>
      <c r="AB274" s="34" t="s">
        <v>300</v>
      </c>
      <c r="AC274" s="34" t="n">
        <v>33006</v>
      </c>
      <c r="AD274" s="34" t="n">
        <v>686198879</v>
      </c>
      <c r="AE274" s="39" t="s">
        <v>1137</v>
      </c>
      <c r="AF274" s="40" t="s">
        <v>909</v>
      </c>
      <c r="AG274" s="40" t="n">
        <v>2085</v>
      </c>
      <c r="AH274" s="40" t="n">
        <v>8147</v>
      </c>
      <c r="AI274" s="40" t="s">
        <v>1016</v>
      </c>
      <c r="AJ274" s="40" t="s">
        <v>1138</v>
      </c>
      <c r="AK274" s="29"/>
      <c r="AL274" s="33"/>
      <c r="AM274" s="41" t="n">
        <v>10</v>
      </c>
      <c r="AO274" s="2" t="str">
        <f aca="false">CONCATENATE(AF274,AG274,AH274,AI274,AJ274)</f>
        <v>ES7820858147070330151047</v>
      </c>
    </row>
    <row r="275" customFormat="false" ht="15" hidden="false" customHeight="true" outlineLevel="0" collapsed="false">
      <c r="A275" s="8" t="n">
        <v>273</v>
      </c>
      <c r="B275" s="20"/>
      <c r="C275" s="21" t="n">
        <v>98</v>
      </c>
      <c r="D275" s="22"/>
      <c r="E275" s="26"/>
      <c r="F275" s="26"/>
      <c r="G275" s="26"/>
      <c r="H275" s="42"/>
      <c r="I275" s="26"/>
      <c r="J275" s="26"/>
      <c r="K275" s="26"/>
      <c r="L275" s="26"/>
      <c r="M275" s="26"/>
      <c r="N275" s="26"/>
      <c r="O275" s="43"/>
      <c r="P275" s="43"/>
      <c r="Q275" s="43"/>
      <c r="R275" s="26"/>
      <c r="S275" s="26"/>
      <c r="T275" s="26"/>
      <c r="U275" s="42"/>
      <c r="V275" s="26"/>
      <c r="W275" s="26"/>
      <c r="X275" s="43"/>
      <c r="Y275" s="26"/>
      <c r="Z275" s="26"/>
      <c r="AA275" s="26"/>
      <c r="AB275" s="26"/>
      <c r="AC275" s="26"/>
      <c r="AD275" s="26"/>
      <c r="AE275" s="44"/>
      <c r="AF275" s="28"/>
      <c r="AG275" s="28"/>
      <c r="AH275" s="28"/>
      <c r="AI275" s="28"/>
      <c r="AJ275" s="28"/>
      <c r="AK275" s="29"/>
      <c r="AL275" s="30" t="n">
        <v>30</v>
      </c>
      <c r="AM275" s="30"/>
      <c r="AN275" s="32" t="e">
        <f aca="false">#REF!</f>
        <v>#REF!</v>
      </c>
      <c r="AO275" s="2" t="str">
        <f aca="false">CONCATENATE(AF275,AG275,AH275,AI275,AJ275)</f>
        <v/>
      </c>
    </row>
    <row r="276" customFormat="false" ht="15" hidden="false" customHeight="true" outlineLevel="0" collapsed="false">
      <c r="A276" s="8" t="n">
        <v>274</v>
      </c>
      <c r="B276" s="20"/>
      <c r="C276" s="33"/>
      <c r="D276" s="34" t="s">
        <v>1139</v>
      </c>
      <c r="E276" s="34" t="s">
        <v>68</v>
      </c>
      <c r="F276" s="34"/>
      <c r="G276" s="34" t="s">
        <v>118</v>
      </c>
      <c r="H276" s="35"/>
      <c r="I276" s="36"/>
      <c r="J276" s="34" t="s">
        <v>33</v>
      </c>
      <c r="K276" s="34" t="s">
        <v>69</v>
      </c>
      <c r="L276" s="34" t="s">
        <v>36</v>
      </c>
      <c r="M276" s="34" t="str">
        <f aca="false">CONCATENATE(K276," ",L276)</f>
        <v>ASCAZ HOSPITALARIA</v>
      </c>
      <c r="N276" s="34" t="s">
        <v>37</v>
      </c>
      <c r="O276" s="37" t="s">
        <v>295</v>
      </c>
      <c r="P276" s="37" t="s">
        <v>1133</v>
      </c>
      <c r="Q276" s="37" t="s">
        <v>1134</v>
      </c>
      <c r="R276" s="34" t="s">
        <v>41</v>
      </c>
      <c r="S276" s="34" t="s">
        <v>1140</v>
      </c>
      <c r="T276" s="34" t="s">
        <v>59</v>
      </c>
      <c r="U276" s="35" t="n">
        <v>23154</v>
      </c>
      <c r="V276" s="38" t="n">
        <f aca="false">YEAR($V$1)-YEAR(U276)</f>
        <v>55</v>
      </c>
      <c r="W276" s="34" t="s">
        <v>44</v>
      </c>
      <c r="X276" s="37" t="s">
        <v>1141</v>
      </c>
      <c r="Y276" s="34" t="n">
        <v>29</v>
      </c>
      <c r="Z276" s="34" t="s">
        <v>1142</v>
      </c>
      <c r="AA276" s="34" t="s">
        <v>46</v>
      </c>
      <c r="AB276" s="34" t="s">
        <v>300</v>
      </c>
      <c r="AC276" s="34" t="n">
        <v>33013</v>
      </c>
      <c r="AD276" s="34" t="n">
        <v>696812168</v>
      </c>
      <c r="AE276" s="39" t="s">
        <v>1143</v>
      </c>
      <c r="AF276" s="40" t="s">
        <v>1144</v>
      </c>
      <c r="AG276" s="40" t="n">
        <v>2080</v>
      </c>
      <c r="AH276" s="40" t="s">
        <v>1145</v>
      </c>
      <c r="AI276" s="40" t="n">
        <v>11</v>
      </c>
      <c r="AJ276" s="40" t="n">
        <v>3000004341</v>
      </c>
      <c r="AK276" s="29"/>
      <c r="AL276" s="33"/>
      <c r="AM276" s="41" t="n">
        <v>10</v>
      </c>
      <c r="AO276" s="2" t="str">
        <f aca="false">CONCATENATE(AF276,AG276,AH276,AI276,AJ276)</f>
        <v>ES3620800271113000004341</v>
      </c>
    </row>
    <row r="277" customFormat="false" ht="15" hidden="false" customHeight="true" outlineLevel="0" collapsed="false">
      <c r="A277" s="8" t="n">
        <v>275</v>
      </c>
      <c r="B277" s="20"/>
      <c r="C277" s="21" t="n">
        <v>99</v>
      </c>
      <c r="D277" s="22"/>
      <c r="E277" s="26"/>
      <c r="F277" s="26"/>
      <c r="G277" s="26"/>
      <c r="H277" s="42"/>
      <c r="I277" s="26"/>
      <c r="J277" s="26"/>
      <c r="K277" s="26"/>
      <c r="L277" s="26"/>
      <c r="M277" s="26"/>
      <c r="N277" s="26"/>
      <c r="O277" s="43"/>
      <c r="P277" s="43"/>
      <c r="Q277" s="43"/>
      <c r="R277" s="26"/>
      <c r="S277" s="26"/>
      <c r="T277" s="26"/>
      <c r="U277" s="42"/>
      <c r="V277" s="26"/>
      <c r="W277" s="26"/>
      <c r="X277" s="43"/>
      <c r="Y277" s="26"/>
      <c r="Z277" s="26"/>
      <c r="AA277" s="26"/>
      <c r="AB277" s="26"/>
      <c r="AC277" s="26"/>
      <c r="AD277" s="26"/>
      <c r="AE277" s="44"/>
      <c r="AF277" s="28"/>
      <c r="AG277" s="28"/>
      <c r="AH277" s="28"/>
      <c r="AI277" s="28"/>
      <c r="AJ277" s="28"/>
      <c r="AK277" s="29"/>
      <c r="AL277" s="30" t="n">
        <v>30</v>
      </c>
      <c r="AM277" s="30"/>
      <c r="AN277" s="32" t="e">
        <f aca="false">#REF!</f>
        <v>#REF!</v>
      </c>
      <c r="AO277" s="2" t="str">
        <f aca="false">CONCATENATE(AF277,AG277,AH277,AI277,AJ277)</f>
        <v/>
      </c>
    </row>
    <row r="278" customFormat="false" ht="15" hidden="false" customHeight="true" outlineLevel="0" collapsed="false">
      <c r="A278" s="8" t="n">
        <v>276</v>
      </c>
      <c r="B278" s="20"/>
      <c r="C278" s="33"/>
      <c r="D278" s="34" t="s">
        <v>1146</v>
      </c>
      <c r="E278" s="34" t="s">
        <v>68</v>
      </c>
      <c r="F278" s="34" t="s">
        <v>904</v>
      </c>
      <c r="G278" s="34" t="s">
        <v>118</v>
      </c>
      <c r="H278" s="35"/>
      <c r="I278" s="36"/>
      <c r="J278" s="34" t="s">
        <v>33</v>
      </c>
      <c r="K278" s="34" t="s">
        <v>69</v>
      </c>
      <c r="L278" s="34" t="s">
        <v>36</v>
      </c>
      <c r="M278" s="34" t="str">
        <f aca="false">CONCATENATE(K278," ",L278)</f>
        <v>ASCAZ HOSPITALARIA</v>
      </c>
      <c r="N278" s="34" t="s">
        <v>37</v>
      </c>
      <c r="O278" s="37" t="s">
        <v>1147</v>
      </c>
      <c r="P278" s="37" t="s">
        <v>215</v>
      </c>
      <c r="Q278" s="37" t="s">
        <v>40</v>
      </c>
      <c r="R278" s="34" t="s">
        <v>41</v>
      </c>
      <c r="S278" s="34" t="s">
        <v>1148</v>
      </c>
      <c r="T278" s="34" t="s">
        <v>43</v>
      </c>
      <c r="U278" s="35" t="n">
        <v>31777</v>
      </c>
      <c r="V278" s="38" t="n">
        <f aca="false">YEAR($V$1)-YEAR(U278)</f>
        <v>32</v>
      </c>
      <c r="W278" s="34" t="s">
        <v>44</v>
      </c>
      <c r="X278" s="37" t="s">
        <v>1149</v>
      </c>
      <c r="Y278" s="34" t="n">
        <v>17</v>
      </c>
      <c r="Z278" s="34" t="s">
        <v>1150</v>
      </c>
      <c r="AA278" s="34" t="s">
        <v>46</v>
      </c>
      <c r="AB278" s="34" t="s">
        <v>516</v>
      </c>
      <c r="AC278" s="34" t="n">
        <v>33900</v>
      </c>
      <c r="AD278" s="34" t="n">
        <v>686679668</v>
      </c>
      <c r="AE278" s="39" t="s">
        <v>1151</v>
      </c>
      <c r="AF278" s="40" t="s">
        <v>582</v>
      </c>
      <c r="AG278" s="40" t="s">
        <v>110</v>
      </c>
      <c r="AH278" s="40" t="s">
        <v>1152</v>
      </c>
      <c r="AI278" s="40" t="n">
        <v>60</v>
      </c>
      <c r="AJ278" s="40" t="n">
        <v>2590326468</v>
      </c>
      <c r="AK278" s="29"/>
      <c r="AL278" s="33"/>
      <c r="AM278" s="41" t="n">
        <v>10</v>
      </c>
      <c r="AO278" s="2" t="str">
        <f aca="false">CONCATENATE(AF278,AG278,AH278,AI278,AJ278)</f>
        <v>ES6000490865602590326468</v>
      </c>
    </row>
    <row r="279" customFormat="false" ht="15" hidden="false" customHeight="true" outlineLevel="0" collapsed="false">
      <c r="A279" s="8" t="n">
        <v>277</v>
      </c>
      <c r="B279" s="20"/>
      <c r="C279" s="33"/>
      <c r="D279" s="34" t="s">
        <v>1153</v>
      </c>
      <c r="E279" s="34" t="s">
        <v>68</v>
      </c>
      <c r="F279" s="34" t="s">
        <v>904</v>
      </c>
      <c r="G279" s="34" t="s">
        <v>118</v>
      </c>
      <c r="H279" s="35"/>
      <c r="I279" s="36"/>
      <c r="J279" s="34" t="s">
        <v>33</v>
      </c>
      <c r="K279" s="34" t="s">
        <v>69</v>
      </c>
      <c r="L279" s="34" t="s">
        <v>61</v>
      </c>
      <c r="M279" s="34" t="str">
        <f aca="false">CONCATENATE(K279," ",L279)</f>
        <v>ASCAZ AMBULATORIA</v>
      </c>
      <c r="N279" s="34" t="s">
        <v>70</v>
      </c>
      <c r="O279" s="37" t="s">
        <v>1154</v>
      </c>
      <c r="P279" s="37" t="s">
        <v>215</v>
      </c>
      <c r="Q279" s="37" t="s">
        <v>726</v>
      </c>
      <c r="R279" s="34" t="s">
        <v>41</v>
      </c>
      <c r="S279" s="34" t="s">
        <v>1155</v>
      </c>
      <c r="T279" s="34" t="s">
        <v>43</v>
      </c>
      <c r="U279" s="35" t="n">
        <v>18464</v>
      </c>
      <c r="V279" s="38" t="n">
        <f aca="false">YEAR($V$1)-YEAR(U279)</f>
        <v>68</v>
      </c>
      <c r="W279" s="34"/>
      <c r="X279" s="37"/>
      <c r="Y279" s="34"/>
      <c r="Z279" s="34"/>
      <c r="AA279" s="34"/>
      <c r="AB279" s="34"/>
      <c r="AC279" s="34"/>
      <c r="AD279" s="34" t="n">
        <v>985683313</v>
      </c>
      <c r="AE279" s="39"/>
      <c r="AF279" s="40"/>
      <c r="AG279" s="40"/>
      <c r="AH279" s="40"/>
      <c r="AI279" s="40"/>
      <c r="AJ279" s="40"/>
      <c r="AK279" s="29"/>
      <c r="AL279" s="33"/>
      <c r="AM279" s="41" t="n">
        <v>10</v>
      </c>
      <c r="AO279" s="2" t="str">
        <f aca="false">CONCATENATE(AF279,AG279,AH279,AI279,AJ279)</f>
        <v/>
      </c>
    </row>
    <row r="280" customFormat="false" ht="15" hidden="false" customHeight="true" outlineLevel="0" collapsed="false">
      <c r="A280" s="8" t="n">
        <v>278</v>
      </c>
      <c r="B280" s="20"/>
      <c r="C280" s="33"/>
      <c r="D280" s="34" t="s">
        <v>1156</v>
      </c>
      <c r="E280" s="34" t="s">
        <v>68</v>
      </c>
      <c r="F280" s="34" t="s">
        <v>904</v>
      </c>
      <c r="G280" s="34" t="s">
        <v>118</v>
      </c>
      <c r="H280" s="35"/>
      <c r="I280" s="36"/>
      <c r="J280" s="34" t="s">
        <v>33</v>
      </c>
      <c r="K280" s="34" t="s">
        <v>69</v>
      </c>
      <c r="L280" s="34" t="s">
        <v>61</v>
      </c>
      <c r="M280" s="34" t="str">
        <f aca="false">CONCATENATE(K280," ",L280)</f>
        <v>ASCAZ AMBULATORIA</v>
      </c>
      <c r="N280" s="34" t="s">
        <v>70</v>
      </c>
      <c r="O280" s="37" t="s">
        <v>1157</v>
      </c>
      <c r="P280" s="37" t="s">
        <v>40</v>
      </c>
      <c r="Q280" s="37" t="s">
        <v>140</v>
      </c>
      <c r="R280" s="34"/>
      <c r="S280" s="34" t="s">
        <v>1158</v>
      </c>
      <c r="T280" s="34" t="s">
        <v>59</v>
      </c>
      <c r="U280" s="35" t="n">
        <v>20133</v>
      </c>
      <c r="V280" s="38" t="n">
        <f aca="false">YEAR($V$1)-YEAR(U280)</f>
        <v>63</v>
      </c>
      <c r="W280" s="34"/>
      <c r="X280" s="37"/>
      <c r="Y280" s="34"/>
      <c r="Z280" s="34"/>
      <c r="AA280" s="34"/>
      <c r="AB280" s="34"/>
      <c r="AC280" s="34"/>
      <c r="AD280" s="34"/>
      <c r="AE280" s="39"/>
      <c r="AF280" s="40"/>
      <c r="AG280" s="40"/>
      <c r="AH280" s="40"/>
      <c r="AI280" s="40"/>
      <c r="AJ280" s="40"/>
      <c r="AK280" s="29"/>
      <c r="AL280" s="33"/>
      <c r="AM280" s="41" t="n">
        <v>10</v>
      </c>
      <c r="AO280" s="2" t="str">
        <f aca="false">CONCATENATE(AF280,AG280,AH280,AI280,AJ280)</f>
        <v/>
      </c>
    </row>
    <row r="281" customFormat="false" ht="15" hidden="false" customHeight="true" outlineLevel="0" collapsed="false">
      <c r="A281" s="8" t="n">
        <v>279</v>
      </c>
      <c r="B281" s="20"/>
      <c r="C281" s="21" t="n">
        <v>100</v>
      </c>
      <c r="D281" s="22"/>
      <c r="E281" s="26"/>
      <c r="F281" s="26"/>
      <c r="G281" s="26"/>
      <c r="H281" s="42"/>
      <c r="I281" s="26"/>
      <c r="J281" s="26"/>
      <c r="K281" s="26"/>
      <c r="L281" s="26"/>
      <c r="M281" s="26"/>
      <c r="N281" s="26"/>
      <c r="O281" s="43"/>
      <c r="P281" s="43"/>
      <c r="Q281" s="43"/>
      <c r="R281" s="26"/>
      <c r="S281" s="26"/>
      <c r="T281" s="26"/>
      <c r="U281" s="42"/>
      <c r="V281" s="26"/>
      <c r="W281" s="26"/>
      <c r="X281" s="43"/>
      <c r="Y281" s="26"/>
      <c r="Z281" s="26"/>
      <c r="AA281" s="26"/>
      <c r="AB281" s="26"/>
      <c r="AC281" s="26"/>
      <c r="AD281" s="26"/>
      <c r="AE281" s="44"/>
      <c r="AF281" s="28"/>
      <c r="AG281" s="28"/>
      <c r="AH281" s="28"/>
      <c r="AI281" s="28"/>
      <c r="AJ281" s="28"/>
      <c r="AK281" s="29"/>
      <c r="AL281" s="30" t="n">
        <v>30</v>
      </c>
      <c r="AM281" s="30"/>
      <c r="AN281" s="32" t="e">
        <f aca="false">#REF!</f>
        <v>#REF!</v>
      </c>
      <c r="AO281" s="2" t="str">
        <f aca="false">CONCATENATE(AF281,AG281,AH281,AI281,AJ281)</f>
        <v/>
      </c>
    </row>
    <row r="282" customFormat="false" ht="15" hidden="false" customHeight="true" outlineLevel="0" collapsed="false">
      <c r="A282" s="8" t="n">
        <v>280</v>
      </c>
      <c r="B282" s="20"/>
      <c r="C282" s="33"/>
      <c r="D282" s="34" t="s">
        <v>1159</v>
      </c>
      <c r="E282" s="34"/>
      <c r="F282" s="34" t="s">
        <v>904</v>
      </c>
      <c r="G282" s="34" t="s">
        <v>34</v>
      </c>
      <c r="H282" s="35"/>
      <c r="I282" s="36"/>
      <c r="J282" s="34" t="s">
        <v>33</v>
      </c>
      <c r="K282" s="34" t="s">
        <v>69</v>
      </c>
      <c r="L282" s="34" t="s">
        <v>36</v>
      </c>
      <c r="M282" s="34" t="str">
        <f aca="false">CONCATENATE(K282," ",L282)</f>
        <v>ASCAZ HOSPITALARIA</v>
      </c>
      <c r="N282" s="34" t="s">
        <v>37</v>
      </c>
      <c r="O282" s="37" t="s">
        <v>726</v>
      </c>
      <c r="P282" s="37" t="s">
        <v>348</v>
      </c>
      <c r="Q282" s="37" t="s">
        <v>356</v>
      </c>
      <c r="R282" s="34" t="s">
        <v>41</v>
      </c>
      <c r="S282" s="34" t="s">
        <v>1160</v>
      </c>
      <c r="T282" s="34" t="s">
        <v>43</v>
      </c>
      <c r="U282" s="35" t="n">
        <v>31926</v>
      </c>
      <c r="V282" s="38" t="n">
        <f aca="false">YEAR($V$1)-YEAR(U282)</f>
        <v>31</v>
      </c>
      <c r="W282" s="34" t="s">
        <v>44</v>
      </c>
      <c r="X282" s="37" t="s">
        <v>351</v>
      </c>
      <c r="Y282" s="34" t="n">
        <v>17</v>
      </c>
      <c r="Z282" s="34" t="s">
        <v>352</v>
      </c>
      <c r="AA282" s="34" t="s">
        <v>46</v>
      </c>
      <c r="AB282" s="34" t="s">
        <v>47</v>
      </c>
      <c r="AC282" s="34" t="n">
        <v>33204</v>
      </c>
      <c r="AD282" s="34" t="n">
        <v>667991373</v>
      </c>
      <c r="AE282" s="39" t="s">
        <v>1161</v>
      </c>
      <c r="AF282" s="40" t="s">
        <v>1162</v>
      </c>
      <c r="AG282" s="40" t="s">
        <v>128</v>
      </c>
      <c r="AH282" s="40" t="s">
        <v>1163</v>
      </c>
      <c r="AI282" s="40" t="s">
        <v>1164</v>
      </c>
      <c r="AJ282" s="40" t="s">
        <v>1165</v>
      </c>
      <c r="AK282" s="29"/>
      <c r="AL282" s="33"/>
      <c r="AM282" s="41" t="n">
        <v>10</v>
      </c>
      <c r="AO282" s="2" t="str">
        <f aca="false">CONCATENATE(AF282,AG282,AH282,AI282,AJ282)</f>
        <v>ES7200815660160006321245</v>
      </c>
    </row>
    <row r="283" customFormat="false" ht="15" hidden="false" customHeight="true" outlineLevel="0" collapsed="false">
      <c r="A283" s="8" t="n">
        <v>281</v>
      </c>
      <c r="B283" s="20"/>
      <c r="C283" s="21" t="n">
        <v>101</v>
      </c>
      <c r="D283" s="22"/>
      <c r="E283" s="26"/>
      <c r="F283" s="26"/>
      <c r="G283" s="26"/>
      <c r="H283" s="42"/>
      <c r="I283" s="26"/>
      <c r="J283" s="26"/>
      <c r="K283" s="26"/>
      <c r="L283" s="26"/>
      <c r="M283" s="26"/>
      <c r="N283" s="26"/>
      <c r="O283" s="43"/>
      <c r="P283" s="43"/>
      <c r="Q283" s="43"/>
      <c r="R283" s="26"/>
      <c r="S283" s="26"/>
      <c r="T283" s="26"/>
      <c r="U283" s="42"/>
      <c r="V283" s="26"/>
      <c r="W283" s="26"/>
      <c r="X283" s="43"/>
      <c r="Y283" s="26"/>
      <c r="Z283" s="26"/>
      <c r="AA283" s="26"/>
      <c r="AB283" s="26"/>
      <c r="AC283" s="26"/>
      <c r="AD283" s="26"/>
      <c r="AE283" s="44"/>
      <c r="AF283" s="28"/>
      <c r="AG283" s="28"/>
      <c r="AH283" s="28"/>
      <c r="AI283" s="28"/>
      <c r="AJ283" s="28"/>
      <c r="AK283" s="29"/>
      <c r="AL283" s="30" t="n">
        <v>30</v>
      </c>
      <c r="AM283" s="30"/>
      <c r="AN283" s="32" t="e">
        <f aca="false">#REF!</f>
        <v>#REF!</v>
      </c>
      <c r="AO283" s="2" t="str">
        <f aca="false">CONCATENATE(AF283,AG283,AH283,AI283,AJ283)</f>
        <v/>
      </c>
    </row>
    <row r="284" customFormat="false" ht="15" hidden="false" customHeight="true" outlineLevel="0" collapsed="false">
      <c r="A284" s="8" t="n">
        <v>282</v>
      </c>
      <c r="B284" s="20"/>
      <c r="C284" s="33"/>
      <c r="D284" s="34" t="s">
        <v>1166</v>
      </c>
      <c r="E284" s="34" t="s">
        <v>68</v>
      </c>
      <c r="F284" s="34" t="s">
        <v>904</v>
      </c>
      <c r="G284" s="34" t="s">
        <v>34</v>
      </c>
      <c r="H284" s="35"/>
      <c r="I284" s="36"/>
      <c r="J284" s="34" t="s">
        <v>33</v>
      </c>
      <c r="K284" s="34" t="s">
        <v>69</v>
      </c>
      <c r="L284" s="34" t="s">
        <v>61</v>
      </c>
      <c r="M284" s="34" t="str">
        <f aca="false">CONCATENATE(K284," ",L284)</f>
        <v>ASCAZ AMBULATORIA</v>
      </c>
      <c r="N284" s="34" t="s">
        <v>37</v>
      </c>
      <c r="O284" s="37" t="s">
        <v>1167</v>
      </c>
      <c r="P284" s="37" t="s">
        <v>322</v>
      </c>
      <c r="Q284" s="37" t="s">
        <v>1168</v>
      </c>
      <c r="R284" s="34" t="s">
        <v>41</v>
      </c>
      <c r="S284" s="34" t="s">
        <v>1169</v>
      </c>
      <c r="T284" s="34" t="s">
        <v>43</v>
      </c>
      <c r="U284" s="35" t="n">
        <v>28292</v>
      </c>
      <c r="V284" s="38" t="n">
        <f aca="false">YEAR($V$1)-YEAR(U284)</f>
        <v>41</v>
      </c>
      <c r="W284" s="34" t="s">
        <v>44</v>
      </c>
      <c r="X284" s="37" t="s">
        <v>1170</v>
      </c>
      <c r="Y284" s="34" t="n">
        <v>60</v>
      </c>
      <c r="Z284" s="34" t="s">
        <v>802</v>
      </c>
      <c r="AA284" s="34" t="s">
        <v>46</v>
      </c>
      <c r="AB284" s="34" t="s">
        <v>47</v>
      </c>
      <c r="AC284" s="34" t="n">
        <v>33209</v>
      </c>
      <c r="AD284" s="34" t="n">
        <v>657196950</v>
      </c>
      <c r="AE284" s="39" t="s">
        <v>1171</v>
      </c>
      <c r="AF284" s="40" t="s">
        <v>611</v>
      </c>
      <c r="AG284" s="40" t="n">
        <v>1465</v>
      </c>
      <c r="AH284" s="40" t="s">
        <v>196</v>
      </c>
      <c r="AI284" s="40" t="n">
        <v>97</v>
      </c>
      <c r="AJ284" s="40" t="n">
        <v>1700437383</v>
      </c>
      <c r="AK284" s="29"/>
      <c r="AL284" s="33"/>
      <c r="AM284" s="41" t="n">
        <v>10</v>
      </c>
      <c r="AO284" s="2" t="str">
        <f aca="false">CONCATENATE(AF284,AG284,AH284,AI284,AJ284)</f>
        <v>ES4314650100971700437383</v>
      </c>
    </row>
    <row r="285" customFormat="false" ht="15" hidden="false" customHeight="true" outlineLevel="0" collapsed="false">
      <c r="A285" s="8" t="n">
        <v>283</v>
      </c>
      <c r="B285" s="20"/>
      <c r="C285" s="33"/>
      <c r="D285" s="34" t="s">
        <v>1172</v>
      </c>
      <c r="E285" s="34" t="s">
        <v>68</v>
      </c>
      <c r="F285" s="34" t="s">
        <v>904</v>
      </c>
      <c r="G285" s="34" t="s">
        <v>34</v>
      </c>
      <c r="H285" s="35"/>
      <c r="I285" s="36"/>
      <c r="J285" s="34" t="s">
        <v>33</v>
      </c>
      <c r="K285" s="34" t="s">
        <v>69</v>
      </c>
      <c r="L285" s="34" t="s">
        <v>61</v>
      </c>
      <c r="M285" s="34" t="str">
        <f aca="false">CONCATENATE(K285," ",L285)</f>
        <v>ASCAZ AMBULATORIA</v>
      </c>
      <c r="N285" s="34" t="s">
        <v>62</v>
      </c>
      <c r="O285" s="37" t="s">
        <v>1173</v>
      </c>
      <c r="P285" s="37" t="s">
        <v>322</v>
      </c>
      <c r="Q285" s="37" t="s">
        <v>1174</v>
      </c>
      <c r="R285" s="34" t="s">
        <v>41</v>
      </c>
      <c r="S285" s="34" t="s">
        <v>1175</v>
      </c>
      <c r="T285" s="34" t="s">
        <v>43</v>
      </c>
      <c r="U285" s="35" t="n">
        <v>40068</v>
      </c>
      <c r="V285" s="38" t="n">
        <f aca="false">YEAR($V$1)-YEAR(U285)</f>
        <v>9</v>
      </c>
      <c r="W285" s="34"/>
      <c r="X285" s="37"/>
      <c r="Y285" s="34"/>
      <c r="Z285" s="34"/>
      <c r="AA285" s="34"/>
      <c r="AB285" s="34"/>
      <c r="AC285" s="34"/>
      <c r="AD285" s="34"/>
      <c r="AE285" s="39"/>
      <c r="AF285" s="40"/>
      <c r="AG285" s="40"/>
      <c r="AH285" s="40"/>
      <c r="AI285" s="40"/>
      <c r="AJ285" s="40"/>
      <c r="AK285" s="29"/>
      <c r="AL285" s="33"/>
      <c r="AM285" s="41" t="n">
        <v>10</v>
      </c>
      <c r="AO285" s="2" t="str">
        <f aca="false">CONCATENATE(AF285,AG285,AH285,AI285,AJ285)</f>
        <v/>
      </c>
    </row>
    <row r="286" customFormat="false" ht="15" hidden="false" customHeight="true" outlineLevel="0" collapsed="false">
      <c r="A286" s="8" t="n">
        <v>284</v>
      </c>
      <c r="B286" s="20"/>
      <c r="C286" s="33"/>
      <c r="D286" s="34" t="s">
        <v>1176</v>
      </c>
      <c r="E286" s="34" t="s">
        <v>68</v>
      </c>
      <c r="F286" s="34" t="s">
        <v>904</v>
      </c>
      <c r="G286" s="34" t="s">
        <v>34</v>
      </c>
      <c r="H286" s="35"/>
      <c r="I286" s="36"/>
      <c r="J286" s="34" t="s">
        <v>33</v>
      </c>
      <c r="K286" s="34" t="s">
        <v>69</v>
      </c>
      <c r="L286" s="34" t="s">
        <v>61</v>
      </c>
      <c r="M286" s="34" t="str">
        <f aca="false">CONCATENATE(K286," ",L286)</f>
        <v>ASCAZ AMBULATORIA</v>
      </c>
      <c r="N286" s="34" t="s">
        <v>70</v>
      </c>
      <c r="O286" s="37" t="s">
        <v>1177</v>
      </c>
      <c r="P286" s="37" t="s">
        <v>1168</v>
      </c>
      <c r="Q286" s="37" t="s">
        <v>190</v>
      </c>
      <c r="R286" s="34" t="s">
        <v>41</v>
      </c>
      <c r="S286" s="34" t="s">
        <v>1178</v>
      </c>
      <c r="T286" s="34" t="s">
        <v>59</v>
      </c>
      <c r="U286" s="35" t="n">
        <v>20144</v>
      </c>
      <c r="V286" s="38" t="n">
        <f aca="false">YEAR($V$1)-YEAR(U286)</f>
        <v>63</v>
      </c>
      <c r="W286" s="34"/>
      <c r="X286" s="37"/>
      <c r="Y286" s="34"/>
      <c r="Z286" s="34"/>
      <c r="AA286" s="34"/>
      <c r="AB286" s="34"/>
      <c r="AC286" s="34"/>
      <c r="AD286" s="34"/>
      <c r="AE286" s="39"/>
      <c r="AF286" s="40"/>
      <c r="AG286" s="40"/>
      <c r="AH286" s="40"/>
      <c r="AI286" s="40"/>
      <c r="AJ286" s="40"/>
      <c r="AK286" s="29"/>
      <c r="AL286" s="33"/>
      <c r="AM286" s="41" t="n">
        <v>10</v>
      </c>
      <c r="AO286" s="2" t="str">
        <f aca="false">CONCATENATE(AF286,AG286,AH286,AI286,AJ286)</f>
        <v/>
      </c>
    </row>
    <row r="287" customFormat="false" ht="15" hidden="false" customHeight="true" outlineLevel="0" collapsed="false">
      <c r="A287" s="8" t="n">
        <v>285</v>
      </c>
      <c r="B287" s="20"/>
      <c r="C287" s="33"/>
      <c r="D287" s="34" t="s">
        <v>1179</v>
      </c>
      <c r="E287" s="34" t="s">
        <v>68</v>
      </c>
      <c r="F287" s="34" t="s">
        <v>904</v>
      </c>
      <c r="G287" s="34" t="s">
        <v>34</v>
      </c>
      <c r="H287" s="35"/>
      <c r="I287" s="36"/>
      <c r="J287" s="34" t="s">
        <v>33</v>
      </c>
      <c r="K287" s="34" t="s">
        <v>69</v>
      </c>
      <c r="L287" s="34" t="s">
        <v>61</v>
      </c>
      <c r="M287" s="34" t="str">
        <f aca="false">CONCATENATE(K287," ",L287)</f>
        <v>ASCAZ AMBULATORIA</v>
      </c>
      <c r="N287" s="34" t="s">
        <v>1180</v>
      </c>
      <c r="O287" s="37" t="s">
        <v>1181</v>
      </c>
      <c r="P287" s="37" t="s">
        <v>322</v>
      </c>
      <c r="Q287" s="37" t="s">
        <v>1168</v>
      </c>
      <c r="R287" s="34" t="s">
        <v>41</v>
      </c>
      <c r="S287" s="34" t="s">
        <v>1182</v>
      </c>
      <c r="T287" s="34" t="s">
        <v>43</v>
      </c>
      <c r="U287" s="35" t="n">
        <v>29032</v>
      </c>
      <c r="V287" s="38" t="n">
        <f aca="false">YEAR($V$1)-YEAR(U287)</f>
        <v>39</v>
      </c>
      <c r="W287" s="34"/>
      <c r="X287" s="37"/>
      <c r="Y287" s="34"/>
      <c r="Z287" s="34"/>
      <c r="AA287" s="34"/>
      <c r="AB287" s="34"/>
      <c r="AC287" s="34"/>
      <c r="AD287" s="34"/>
      <c r="AE287" s="39"/>
      <c r="AF287" s="40"/>
      <c r="AG287" s="40"/>
      <c r="AH287" s="40"/>
      <c r="AI287" s="40"/>
      <c r="AJ287" s="40"/>
      <c r="AK287" s="29"/>
      <c r="AL287" s="33"/>
      <c r="AM287" s="41" t="n">
        <v>10</v>
      </c>
      <c r="AO287" s="2" t="str">
        <f aca="false">CONCATENATE(AF287,AG287,AH287,AI287,AJ287)</f>
        <v/>
      </c>
    </row>
    <row r="288" customFormat="false" ht="15" hidden="false" customHeight="true" outlineLevel="0" collapsed="false">
      <c r="A288" s="8" t="n">
        <v>286</v>
      </c>
      <c r="B288" s="20"/>
      <c r="C288" s="21" t="n">
        <v>102</v>
      </c>
      <c r="D288" s="22"/>
      <c r="E288" s="26"/>
      <c r="F288" s="26"/>
      <c r="G288" s="26"/>
      <c r="H288" s="42"/>
      <c r="I288" s="26"/>
      <c r="J288" s="26"/>
      <c r="K288" s="26"/>
      <c r="L288" s="26"/>
      <c r="M288" s="26"/>
      <c r="N288" s="26"/>
      <c r="O288" s="43"/>
      <c r="P288" s="43"/>
      <c r="Q288" s="43"/>
      <c r="R288" s="26"/>
      <c r="S288" s="26"/>
      <c r="T288" s="26"/>
      <c r="U288" s="42"/>
      <c r="V288" s="26"/>
      <c r="W288" s="26"/>
      <c r="X288" s="43"/>
      <c r="Y288" s="26"/>
      <c r="Z288" s="26"/>
      <c r="AA288" s="26"/>
      <c r="AB288" s="26"/>
      <c r="AC288" s="26"/>
      <c r="AD288" s="26"/>
      <c r="AE288" s="44"/>
      <c r="AF288" s="28"/>
      <c r="AG288" s="28"/>
      <c r="AH288" s="28"/>
      <c r="AI288" s="28"/>
      <c r="AJ288" s="28"/>
      <c r="AK288" s="29"/>
      <c r="AL288" s="30" t="n">
        <v>30</v>
      </c>
      <c r="AM288" s="30"/>
      <c r="AN288" s="32" t="e">
        <f aca="false">#REF!</f>
        <v>#REF!</v>
      </c>
      <c r="AO288" s="2" t="str">
        <f aca="false">CONCATENATE(AF288,AG288,AH288,AI288,AJ288)</f>
        <v/>
      </c>
    </row>
    <row r="289" customFormat="false" ht="15" hidden="false" customHeight="true" outlineLevel="0" collapsed="false">
      <c r="A289" s="8" t="n">
        <v>287</v>
      </c>
      <c r="B289" s="20"/>
      <c r="C289" s="33"/>
      <c r="D289" s="34" t="s">
        <v>1183</v>
      </c>
      <c r="E289" s="34" t="s">
        <v>68</v>
      </c>
      <c r="F289" s="34" t="s">
        <v>1184</v>
      </c>
      <c r="G289" s="34" t="s">
        <v>118</v>
      </c>
      <c r="H289" s="35"/>
      <c r="I289" s="76" t="n">
        <v>0</v>
      </c>
      <c r="J289" s="34" t="s">
        <v>68</v>
      </c>
      <c r="K289" s="34"/>
      <c r="L289" s="34"/>
      <c r="M289" s="34" t="str">
        <f aca="false">CONCATENATE(K289," ",L289)</f>
        <v> </v>
      </c>
      <c r="N289" s="34" t="s">
        <v>37</v>
      </c>
      <c r="O289" s="37" t="s">
        <v>1185</v>
      </c>
      <c r="P289" s="37" t="s">
        <v>1186</v>
      </c>
      <c r="Q289" s="37" t="s">
        <v>1187</v>
      </c>
      <c r="R289" s="34" t="s">
        <v>41</v>
      </c>
      <c r="S289" s="34" t="s">
        <v>1188</v>
      </c>
      <c r="T289" s="34" t="s">
        <v>59</v>
      </c>
      <c r="U289" s="35" t="n">
        <v>20906</v>
      </c>
      <c r="V289" s="38" t="n">
        <f aca="false">YEAR($V$1)-YEAR(U289)</f>
        <v>61</v>
      </c>
      <c r="W289" s="34"/>
      <c r="X289" s="37" t="s">
        <v>1189</v>
      </c>
      <c r="Y289" s="34" t="s">
        <v>1190</v>
      </c>
      <c r="Z289" s="34" t="s">
        <v>1191</v>
      </c>
      <c r="AA289" s="34" t="s">
        <v>46</v>
      </c>
      <c r="AB289" s="34" t="s">
        <v>47</v>
      </c>
      <c r="AC289" s="34" t="n">
        <v>33209</v>
      </c>
      <c r="AD289" s="34" t="n">
        <v>699725110</v>
      </c>
      <c r="AE289" s="39" t="s">
        <v>1192</v>
      </c>
      <c r="AF289" s="40" t="s">
        <v>637</v>
      </c>
      <c r="AG289" s="40" t="s">
        <v>128</v>
      </c>
      <c r="AH289" s="40" t="s">
        <v>1193</v>
      </c>
      <c r="AI289" s="40" t="s">
        <v>992</v>
      </c>
      <c r="AJ289" s="40" t="s">
        <v>1194</v>
      </c>
      <c r="AK289" s="29"/>
      <c r="AL289" s="33"/>
      <c r="AM289" s="41" t="n">
        <v>10</v>
      </c>
      <c r="AO289" s="2" t="str">
        <f aca="false">CONCATENATE(AF289,AG289,AH289,AI289,AJ289)</f>
        <v>ES3300815646250001103412</v>
      </c>
    </row>
    <row r="290" customFormat="false" ht="15" hidden="false" customHeight="true" outlineLevel="0" collapsed="false">
      <c r="A290" s="8" t="n">
        <v>288</v>
      </c>
      <c r="B290" s="20"/>
      <c r="C290" s="33"/>
      <c r="D290" s="34" t="s">
        <v>1195</v>
      </c>
      <c r="E290" s="34" t="s">
        <v>68</v>
      </c>
      <c r="F290" s="34" t="s">
        <v>1184</v>
      </c>
      <c r="G290" s="34" t="s">
        <v>118</v>
      </c>
      <c r="H290" s="35"/>
      <c r="I290" s="76" t="n">
        <v>0</v>
      </c>
      <c r="J290" s="34" t="s">
        <v>33</v>
      </c>
      <c r="K290" s="34" t="s">
        <v>69</v>
      </c>
      <c r="L290" s="34" t="s">
        <v>61</v>
      </c>
      <c r="M290" s="34" t="str">
        <f aca="false">CONCATENATE(K290," ",L290)</f>
        <v>ASCAZ AMBULATORIA</v>
      </c>
      <c r="N290" s="34" t="s">
        <v>62</v>
      </c>
      <c r="O290" s="37" t="s">
        <v>326</v>
      </c>
      <c r="P290" s="37" t="s">
        <v>40</v>
      </c>
      <c r="Q290" s="37" t="s">
        <v>1196</v>
      </c>
      <c r="R290" s="34" t="s">
        <v>41</v>
      </c>
      <c r="S290" s="34" t="s">
        <v>1197</v>
      </c>
      <c r="T290" s="34" t="s">
        <v>59</v>
      </c>
      <c r="U290" s="35" t="n">
        <v>35338</v>
      </c>
      <c r="V290" s="38" t="n">
        <f aca="false">YEAR($V$1)-YEAR(U290)</f>
        <v>22</v>
      </c>
      <c r="W290" s="34"/>
      <c r="X290" s="37"/>
      <c r="Y290" s="34"/>
      <c r="Z290" s="34"/>
      <c r="AA290" s="34"/>
      <c r="AB290" s="34"/>
      <c r="AC290" s="34"/>
      <c r="AD290" s="34"/>
      <c r="AE290" s="39"/>
      <c r="AF290" s="40"/>
      <c r="AG290" s="40"/>
      <c r="AH290" s="40"/>
      <c r="AI290" s="40"/>
      <c r="AJ290" s="40"/>
      <c r="AK290" s="29"/>
      <c r="AL290" s="33"/>
      <c r="AM290" s="41" t="n">
        <v>10</v>
      </c>
      <c r="AO290" s="2" t="str">
        <f aca="false">CONCATENATE(AF290,AG290,AH290,AI290,AJ290)</f>
        <v/>
      </c>
    </row>
    <row r="291" customFormat="false" ht="15" hidden="false" customHeight="true" outlineLevel="0" collapsed="false">
      <c r="A291" s="8" t="n">
        <v>289</v>
      </c>
      <c r="B291" s="20"/>
      <c r="C291" s="21" t="n">
        <v>103</v>
      </c>
      <c r="D291" s="22"/>
      <c r="E291" s="26"/>
      <c r="F291" s="26"/>
      <c r="G291" s="26"/>
      <c r="H291" s="42"/>
      <c r="I291" s="26"/>
      <c r="J291" s="26"/>
      <c r="K291" s="26"/>
      <c r="L291" s="26"/>
      <c r="M291" s="26"/>
      <c r="N291" s="26"/>
      <c r="O291" s="43"/>
      <c r="P291" s="43"/>
      <c r="Q291" s="43"/>
      <c r="R291" s="26"/>
      <c r="S291" s="26"/>
      <c r="T291" s="26"/>
      <c r="U291" s="42"/>
      <c r="V291" s="26"/>
      <c r="W291" s="26"/>
      <c r="X291" s="43"/>
      <c r="Y291" s="26"/>
      <c r="Z291" s="26"/>
      <c r="AA291" s="26"/>
      <c r="AB291" s="26"/>
      <c r="AC291" s="26"/>
      <c r="AD291" s="26"/>
      <c r="AE291" s="44"/>
      <c r="AF291" s="28"/>
      <c r="AG291" s="28"/>
      <c r="AH291" s="28"/>
      <c r="AI291" s="28"/>
      <c r="AJ291" s="28"/>
      <c r="AK291" s="29"/>
      <c r="AL291" s="30" t="n">
        <v>30</v>
      </c>
      <c r="AM291" s="30"/>
      <c r="AN291" s="32" t="e">
        <f aca="false">#REF!</f>
        <v>#REF!</v>
      </c>
      <c r="AO291" s="2" t="str">
        <f aca="false">CONCATENATE(AF291,AG291,AH291,AI291,AJ291)</f>
        <v/>
      </c>
    </row>
    <row r="292" customFormat="false" ht="15" hidden="false" customHeight="true" outlineLevel="0" collapsed="false">
      <c r="A292" s="8" t="n">
        <v>290</v>
      </c>
      <c r="B292" s="20"/>
      <c r="C292" s="33"/>
      <c r="D292" s="34" t="s">
        <v>1198</v>
      </c>
      <c r="E292" s="34" t="s">
        <v>68</v>
      </c>
      <c r="F292" s="34" t="s">
        <v>652</v>
      </c>
      <c r="G292" s="34" t="s">
        <v>118</v>
      </c>
      <c r="H292" s="35"/>
      <c r="I292" s="36"/>
      <c r="J292" s="34" t="s">
        <v>33</v>
      </c>
      <c r="K292" s="34" t="s">
        <v>69</v>
      </c>
      <c r="L292" s="34" t="s">
        <v>61</v>
      </c>
      <c r="M292" s="34" t="str">
        <f aca="false">CONCATENATE(K292," ",L292)</f>
        <v>ASCAZ AMBULATORIA</v>
      </c>
      <c r="N292" s="34" t="s">
        <v>37</v>
      </c>
      <c r="O292" s="37" t="s">
        <v>1199</v>
      </c>
      <c r="P292" s="37" t="s">
        <v>1200</v>
      </c>
      <c r="Q292" s="37" t="s">
        <v>40</v>
      </c>
      <c r="R292" s="34" t="s">
        <v>41</v>
      </c>
      <c r="S292" s="34" t="s">
        <v>1201</v>
      </c>
      <c r="T292" s="34" t="s">
        <v>59</v>
      </c>
      <c r="U292" s="35" t="n">
        <v>31456</v>
      </c>
      <c r="V292" s="38" t="n">
        <f aca="false">YEAR($V$1)-YEAR(U292)</f>
        <v>32</v>
      </c>
      <c r="W292" s="34" t="s">
        <v>44</v>
      </c>
      <c r="X292" s="37" t="s">
        <v>1202</v>
      </c>
      <c r="Y292" s="34" t="n">
        <v>4</v>
      </c>
      <c r="Z292" s="34" t="s">
        <v>1203</v>
      </c>
      <c r="AA292" s="34" t="s">
        <v>46</v>
      </c>
      <c r="AB292" s="34" t="s">
        <v>47</v>
      </c>
      <c r="AC292" s="34" t="n">
        <v>33209</v>
      </c>
      <c r="AD292" s="34" t="n">
        <v>671166240</v>
      </c>
      <c r="AE292" s="39" t="s">
        <v>1204</v>
      </c>
      <c r="AF292" s="40" t="s">
        <v>1023</v>
      </c>
      <c r="AG292" s="40" t="n">
        <v>3035</v>
      </c>
      <c r="AH292" s="40" t="s">
        <v>1205</v>
      </c>
      <c r="AI292" s="40" t="n">
        <v>66</v>
      </c>
      <c r="AJ292" s="40" t="n">
        <v>3730001910</v>
      </c>
      <c r="AK292" s="29"/>
      <c r="AL292" s="33"/>
      <c r="AM292" s="41" t="n">
        <v>10</v>
      </c>
      <c r="AO292" s="2" t="str">
        <f aca="false">CONCATENATE(AF292,AG292,AH292,AI292,AJ292)</f>
        <v>ES8530350373663730001910</v>
      </c>
    </row>
    <row r="293" customFormat="false" ht="15" hidden="false" customHeight="true" outlineLevel="0" collapsed="false">
      <c r="A293" s="8" t="n">
        <v>291</v>
      </c>
      <c r="B293" s="20"/>
      <c r="C293" s="33"/>
      <c r="D293" s="34" t="s">
        <v>1206</v>
      </c>
      <c r="E293" s="34" t="s">
        <v>68</v>
      </c>
      <c r="F293" s="34" t="s">
        <v>652</v>
      </c>
      <c r="G293" s="34" t="s">
        <v>118</v>
      </c>
      <c r="H293" s="35"/>
      <c r="I293" s="36"/>
      <c r="J293" s="34" t="s">
        <v>33</v>
      </c>
      <c r="K293" s="34" t="s">
        <v>69</v>
      </c>
      <c r="L293" s="34" t="s">
        <v>36</v>
      </c>
      <c r="M293" s="34" t="str">
        <f aca="false">CONCATENATE(K293," ",L293)</f>
        <v>ASCAZ HOSPITALARIA</v>
      </c>
      <c r="N293" s="34" t="s">
        <v>54</v>
      </c>
      <c r="O293" s="37" t="s">
        <v>416</v>
      </c>
      <c r="P293" s="37" t="s">
        <v>296</v>
      </c>
      <c r="Q293" s="37" t="s">
        <v>1207</v>
      </c>
      <c r="R293" s="34" t="s">
        <v>41</v>
      </c>
      <c r="S293" s="34" t="s">
        <v>1208</v>
      </c>
      <c r="T293" s="34" t="s">
        <v>43</v>
      </c>
      <c r="U293" s="35" t="n">
        <v>29838</v>
      </c>
      <c r="V293" s="38" t="n">
        <f aca="false">YEAR($V$1)-YEAR(U293)</f>
        <v>37</v>
      </c>
      <c r="W293" s="34"/>
      <c r="X293" s="37"/>
      <c r="Y293" s="34"/>
      <c r="Z293" s="34"/>
      <c r="AA293" s="34"/>
      <c r="AB293" s="34"/>
      <c r="AC293" s="34"/>
      <c r="AD293" s="34"/>
      <c r="AE293" s="39"/>
      <c r="AF293" s="40"/>
      <c r="AG293" s="40"/>
      <c r="AH293" s="40"/>
      <c r="AI293" s="40"/>
      <c r="AJ293" s="40"/>
      <c r="AK293" s="29"/>
      <c r="AL293" s="33"/>
      <c r="AM293" s="41" t="n">
        <v>10</v>
      </c>
      <c r="AO293" s="2" t="str">
        <f aca="false">CONCATENATE(AF293,AG293,AH293,AI293,AJ293)</f>
        <v/>
      </c>
    </row>
    <row r="294" customFormat="false" ht="15" hidden="false" customHeight="true" outlineLevel="0" collapsed="false">
      <c r="A294" s="8" t="n">
        <v>292</v>
      </c>
      <c r="B294" s="20"/>
      <c r="C294" s="21" t="n">
        <v>104</v>
      </c>
      <c r="D294" s="22"/>
      <c r="E294" s="26"/>
      <c r="F294" s="26"/>
      <c r="G294" s="26"/>
      <c r="H294" s="42"/>
      <c r="I294" s="26"/>
      <c r="J294" s="26"/>
      <c r="K294" s="26"/>
      <c r="L294" s="26"/>
      <c r="M294" s="26"/>
      <c r="N294" s="26"/>
      <c r="O294" s="43"/>
      <c r="P294" s="43"/>
      <c r="Q294" s="43"/>
      <c r="R294" s="26"/>
      <c r="S294" s="26"/>
      <c r="T294" s="26"/>
      <c r="U294" s="42"/>
      <c r="V294" s="26"/>
      <c r="W294" s="26"/>
      <c r="X294" s="43"/>
      <c r="Y294" s="26"/>
      <c r="Z294" s="26"/>
      <c r="AA294" s="26"/>
      <c r="AB294" s="26"/>
      <c r="AC294" s="26"/>
      <c r="AD294" s="26"/>
      <c r="AE294" s="44"/>
      <c r="AF294" s="28"/>
      <c r="AG294" s="28"/>
      <c r="AH294" s="28"/>
      <c r="AI294" s="28"/>
      <c r="AJ294" s="28"/>
      <c r="AK294" s="29"/>
      <c r="AL294" s="30" t="n">
        <v>30</v>
      </c>
      <c r="AM294" s="30"/>
      <c r="AN294" s="32" t="e">
        <f aca="false">#REF!</f>
        <v>#REF!</v>
      </c>
      <c r="AO294" s="2" t="str">
        <f aca="false">CONCATENATE(AF294,AG294,AH294,AI294,AJ294)</f>
        <v/>
      </c>
    </row>
    <row r="295" customFormat="false" ht="15" hidden="false" customHeight="true" outlineLevel="0" collapsed="false">
      <c r="A295" s="8" t="n">
        <v>293</v>
      </c>
      <c r="B295" s="20"/>
      <c r="C295" s="33"/>
      <c r="D295" s="34" t="s">
        <v>1209</v>
      </c>
      <c r="E295" s="34" t="s">
        <v>68</v>
      </c>
      <c r="F295" s="34"/>
      <c r="G295" s="34" t="s">
        <v>118</v>
      </c>
      <c r="H295" s="35"/>
      <c r="I295" s="36"/>
      <c r="J295" s="34" t="s">
        <v>33</v>
      </c>
      <c r="K295" s="34" t="s">
        <v>69</v>
      </c>
      <c r="L295" s="34" t="s">
        <v>61</v>
      </c>
      <c r="M295" s="34" t="str">
        <f aca="false">CONCATENATE(K295," ",L295)</f>
        <v>ASCAZ AMBULATORIA</v>
      </c>
      <c r="N295" s="34" t="s">
        <v>37</v>
      </c>
      <c r="O295" s="37" t="s">
        <v>1210</v>
      </c>
      <c r="P295" s="37" t="s">
        <v>40</v>
      </c>
      <c r="Q295" s="37" t="s">
        <v>430</v>
      </c>
      <c r="R295" s="34" t="s">
        <v>41</v>
      </c>
      <c r="S295" s="34" t="s">
        <v>1211</v>
      </c>
      <c r="T295" s="34" t="s">
        <v>43</v>
      </c>
      <c r="U295" s="35" t="n">
        <v>23131</v>
      </c>
      <c r="V295" s="38" t="n">
        <f aca="false">YEAR($V$1)-YEAR(U295)</f>
        <v>55</v>
      </c>
      <c r="W295" s="34" t="s">
        <v>44</v>
      </c>
      <c r="X295" s="37" t="s">
        <v>1212</v>
      </c>
      <c r="Y295" s="34" t="n">
        <v>25</v>
      </c>
      <c r="Z295" s="34" t="s">
        <v>1213</v>
      </c>
      <c r="AA295" s="34" t="s">
        <v>46</v>
      </c>
      <c r="AB295" s="34" t="s">
        <v>47</v>
      </c>
      <c r="AC295" s="34" t="n">
        <v>33207</v>
      </c>
      <c r="AD295" s="34" t="n">
        <v>649267152</v>
      </c>
      <c r="AE295" s="39" t="s">
        <v>1214</v>
      </c>
      <c r="AF295" s="40" t="s">
        <v>1023</v>
      </c>
      <c r="AG295" s="40" t="s">
        <v>128</v>
      </c>
      <c r="AH295" s="40" t="n">
        <v>5664</v>
      </c>
      <c r="AI295" s="40" t="n">
        <v>82</v>
      </c>
      <c r="AJ295" s="40" t="s">
        <v>1215</v>
      </c>
      <c r="AK295" s="29"/>
      <c r="AL295" s="33"/>
      <c r="AM295" s="41" t="n">
        <v>10</v>
      </c>
      <c r="AO295" s="2" t="str">
        <f aca="false">CONCATENATE(AF295,AG295,AH295,AI295,AJ295)</f>
        <v>ES8500815664820006093119</v>
      </c>
    </row>
    <row r="296" customFormat="false" ht="15" hidden="false" customHeight="true" outlineLevel="0" collapsed="false">
      <c r="A296" s="8" t="n">
        <v>294</v>
      </c>
      <c r="B296" s="20"/>
      <c r="C296" s="33"/>
      <c r="D296" s="34" t="s">
        <v>1216</v>
      </c>
      <c r="E296" s="34" t="s">
        <v>68</v>
      </c>
      <c r="F296" s="34"/>
      <c r="G296" s="34" t="s">
        <v>118</v>
      </c>
      <c r="H296" s="35"/>
      <c r="I296" s="36"/>
      <c r="J296" s="34" t="s">
        <v>33</v>
      </c>
      <c r="K296" s="34" t="s">
        <v>69</v>
      </c>
      <c r="L296" s="34" t="s">
        <v>61</v>
      </c>
      <c r="M296" s="34" t="str">
        <f aca="false">CONCATENATE(K296," ",L296)</f>
        <v>ASCAZ AMBULATORIA</v>
      </c>
      <c r="N296" s="34" t="s">
        <v>54</v>
      </c>
      <c r="O296" s="37" t="s">
        <v>1217</v>
      </c>
      <c r="P296" s="37" t="s">
        <v>1218</v>
      </c>
      <c r="Q296" s="37" t="s">
        <v>1219</v>
      </c>
      <c r="R296" s="34" t="s">
        <v>41</v>
      </c>
      <c r="S296" s="34" t="s">
        <v>1220</v>
      </c>
      <c r="T296" s="34" t="s">
        <v>59</v>
      </c>
      <c r="U296" s="35" t="n">
        <v>23116</v>
      </c>
      <c r="V296" s="38" t="n">
        <f aca="false">YEAR($V$1)-YEAR(U296)</f>
        <v>55</v>
      </c>
      <c r="W296" s="34"/>
      <c r="X296" s="37"/>
      <c r="Y296" s="34"/>
      <c r="Z296" s="34"/>
      <c r="AA296" s="34"/>
      <c r="AB296" s="34"/>
      <c r="AC296" s="34"/>
      <c r="AD296" s="34" t="n">
        <v>645907273</v>
      </c>
      <c r="AE296" s="39" t="s">
        <v>1221</v>
      </c>
      <c r="AF296" s="40"/>
      <c r="AG296" s="40"/>
      <c r="AH296" s="40"/>
      <c r="AI296" s="40"/>
      <c r="AJ296" s="40"/>
      <c r="AK296" s="29"/>
      <c r="AL296" s="33"/>
      <c r="AM296" s="41" t="n">
        <v>10</v>
      </c>
      <c r="AO296" s="2" t="str">
        <f aca="false">CONCATENATE(AF296,AG296,AH296,AI296,AJ296)</f>
        <v/>
      </c>
    </row>
    <row r="297" customFormat="false" ht="15" hidden="false" customHeight="true" outlineLevel="0" collapsed="false">
      <c r="A297" s="8" t="n">
        <v>295</v>
      </c>
      <c r="B297" s="20"/>
      <c r="C297" s="21" t="n">
        <v>105</v>
      </c>
      <c r="D297" s="22"/>
      <c r="E297" s="26"/>
      <c r="F297" s="26"/>
      <c r="G297" s="26"/>
      <c r="H297" s="42"/>
      <c r="I297" s="26"/>
      <c r="J297" s="26"/>
      <c r="K297" s="26"/>
      <c r="L297" s="26"/>
      <c r="M297" s="26"/>
      <c r="N297" s="26"/>
      <c r="O297" s="43"/>
      <c r="P297" s="43"/>
      <c r="Q297" s="43"/>
      <c r="R297" s="26"/>
      <c r="S297" s="26"/>
      <c r="T297" s="26"/>
      <c r="U297" s="42"/>
      <c r="V297" s="26"/>
      <c r="W297" s="26"/>
      <c r="X297" s="43"/>
      <c r="Y297" s="26"/>
      <c r="Z297" s="26"/>
      <c r="AA297" s="26"/>
      <c r="AB297" s="26"/>
      <c r="AC297" s="26"/>
      <c r="AD297" s="26"/>
      <c r="AE297" s="44"/>
      <c r="AF297" s="28"/>
      <c r="AG297" s="28"/>
      <c r="AH297" s="28"/>
      <c r="AI297" s="28"/>
      <c r="AJ297" s="28"/>
      <c r="AK297" s="29"/>
      <c r="AL297" s="30" t="n">
        <v>30</v>
      </c>
      <c r="AM297" s="30"/>
      <c r="AN297" s="32" t="e">
        <f aca="false">#REF!</f>
        <v>#REF!</v>
      </c>
      <c r="AO297" s="2" t="str">
        <f aca="false">CONCATENATE(AF297,AG297,AH297,AI297,AJ297)</f>
        <v/>
      </c>
    </row>
    <row r="298" customFormat="false" ht="15" hidden="false" customHeight="true" outlineLevel="0" collapsed="false">
      <c r="A298" s="8" t="n">
        <v>296</v>
      </c>
      <c r="B298" s="20"/>
      <c r="C298" s="33"/>
      <c r="D298" s="34" t="s">
        <v>1222</v>
      </c>
      <c r="E298" s="34" t="s">
        <v>68</v>
      </c>
      <c r="F298" s="34"/>
      <c r="G298" s="34" t="s">
        <v>118</v>
      </c>
      <c r="H298" s="35"/>
      <c r="I298" s="36"/>
      <c r="J298" s="34" t="s">
        <v>33</v>
      </c>
      <c r="K298" s="34" t="s">
        <v>69</v>
      </c>
      <c r="L298" s="34" t="s">
        <v>61</v>
      </c>
      <c r="M298" s="34" t="str">
        <f aca="false">CONCATENATE(K298," ",L298)</f>
        <v>ASCAZ AMBULATORIA</v>
      </c>
      <c r="N298" s="34" t="s">
        <v>37</v>
      </c>
      <c r="O298" s="37" t="s">
        <v>138</v>
      </c>
      <c r="P298" s="37" t="s">
        <v>134</v>
      </c>
      <c r="Q298" s="37" t="s">
        <v>1223</v>
      </c>
      <c r="R298" s="34" t="s">
        <v>41</v>
      </c>
      <c r="S298" s="34" t="s">
        <v>1224</v>
      </c>
      <c r="T298" s="34" t="s">
        <v>43</v>
      </c>
      <c r="U298" s="35" t="n">
        <v>30117</v>
      </c>
      <c r="V298" s="38" t="n">
        <f aca="false">YEAR($V$1)-YEAR(U298)</f>
        <v>36</v>
      </c>
      <c r="W298" s="34" t="s">
        <v>44</v>
      </c>
      <c r="X298" s="37" t="s">
        <v>1225</v>
      </c>
      <c r="Y298" s="34" t="n">
        <v>15</v>
      </c>
      <c r="Z298" s="34" t="s">
        <v>67</v>
      </c>
      <c r="AA298" s="34" t="s">
        <v>46</v>
      </c>
      <c r="AB298" s="34" t="s">
        <v>47</v>
      </c>
      <c r="AC298" s="34" t="n">
        <v>33211</v>
      </c>
      <c r="AD298" s="34" t="n">
        <v>658984717</v>
      </c>
      <c r="AE298" s="39" t="s">
        <v>1226</v>
      </c>
      <c r="AF298" s="40" t="s">
        <v>943</v>
      </c>
      <c r="AG298" s="40" t="n">
        <v>2080</v>
      </c>
      <c r="AH298" s="40" t="s">
        <v>1227</v>
      </c>
      <c r="AI298" s="40" t="n">
        <v>78</v>
      </c>
      <c r="AJ298" s="40" t="n">
        <v>3040006094</v>
      </c>
      <c r="AK298" s="29"/>
      <c r="AL298" s="33"/>
      <c r="AM298" s="41" t="n">
        <v>10</v>
      </c>
      <c r="AO298" s="2" t="str">
        <f aca="false">CONCATENATE(AF298,AG298,AH298,AI298,AJ298)</f>
        <v>ES0520800769783040006094</v>
      </c>
    </row>
    <row r="299" customFormat="false" ht="15" hidden="false" customHeight="true" outlineLevel="0" collapsed="false">
      <c r="A299" s="8" t="n">
        <v>297</v>
      </c>
      <c r="B299" s="20"/>
      <c r="C299" s="33"/>
      <c r="D299" s="34" t="s">
        <v>1228</v>
      </c>
      <c r="E299" s="34" t="s">
        <v>68</v>
      </c>
      <c r="F299" s="34"/>
      <c r="G299" s="34" t="s">
        <v>118</v>
      </c>
      <c r="H299" s="35"/>
      <c r="I299" s="36"/>
      <c r="J299" s="34" t="s">
        <v>33</v>
      </c>
      <c r="K299" s="34" t="s">
        <v>69</v>
      </c>
      <c r="L299" s="34" t="s">
        <v>61</v>
      </c>
      <c r="M299" s="34" t="str">
        <f aca="false">CONCATENATE(K299," ",L299)</f>
        <v>ASCAZ AMBULATORIA</v>
      </c>
      <c r="N299" s="34" t="s">
        <v>54</v>
      </c>
      <c r="O299" s="37" t="s">
        <v>1229</v>
      </c>
      <c r="P299" s="37" t="s">
        <v>1230</v>
      </c>
      <c r="Q299" s="37" t="s">
        <v>134</v>
      </c>
      <c r="R299" s="34" t="s">
        <v>41</v>
      </c>
      <c r="S299" s="34" t="s">
        <v>1231</v>
      </c>
      <c r="T299" s="34" t="s">
        <v>59</v>
      </c>
      <c r="U299" s="35" t="n">
        <v>29976</v>
      </c>
      <c r="V299" s="38" t="n">
        <f aca="false">YEAR($V$1)-YEAR(U299)</f>
        <v>36</v>
      </c>
      <c r="W299" s="34"/>
      <c r="X299" s="37"/>
      <c r="Y299" s="34"/>
      <c r="Z299" s="34"/>
      <c r="AA299" s="34"/>
      <c r="AB299" s="34"/>
      <c r="AC299" s="34"/>
      <c r="AD299" s="34" t="n">
        <v>658661847</v>
      </c>
      <c r="AE299" s="39" t="s">
        <v>1232</v>
      </c>
      <c r="AF299" s="40"/>
      <c r="AG299" s="40"/>
      <c r="AH299" s="40"/>
      <c r="AI299" s="40"/>
      <c r="AJ299" s="40"/>
      <c r="AK299" s="29"/>
      <c r="AL299" s="33"/>
      <c r="AM299" s="41" t="n">
        <v>10</v>
      </c>
      <c r="AO299" s="2" t="str">
        <f aca="false">CONCATENATE(AF299,AG299,AH299,AI299,AJ299)</f>
        <v/>
      </c>
    </row>
    <row r="300" customFormat="false" ht="15" hidden="false" customHeight="true" outlineLevel="0" collapsed="false">
      <c r="A300" s="8" t="n">
        <v>298</v>
      </c>
      <c r="B300" s="20"/>
      <c r="C300" s="21" t="n">
        <v>106</v>
      </c>
      <c r="D300" s="22"/>
      <c r="E300" s="26"/>
      <c r="F300" s="26"/>
      <c r="G300" s="26"/>
      <c r="H300" s="42"/>
      <c r="I300" s="26"/>
      <c r="J300" s="26"/>
      <c r="K300" s="26"/>
      <c r="L300" s="26"/>
      <c r="M300" s="26"/>
      <c r="N300" s="26"/>
      <c r="O300" s="43"/>
      <c r="P300" s="43"/>
      <c r="Q300" s="43"/>
      <c r="R300" s="26"/>
      <c r="S300" s="26"/>
      <c r="T300" s="26"/>
      <c r="U300" s="42"/>
      <c r="V300" s="26"/>
      <c r="W300" s="26"/>
      <c r="X300" s="43"/>
      <c r="Y300" s="26"/>
      <c r="Z300" s="26"/>
      <c r="AA300" s="26"/>
      <c r="AB300" s="26"/>
      <c r="AC300" s="26"/>
      <c r="AD300" s="26"/>
      <c r="AE300" s="44"/>
      <c r="AF300" s="28"/>
      <c r="AG300" s="28"/>
      <c r="AH300" s="28"/>
      <c r="AI300" s="28"/>
      <c r="AJ300" s="28"/>
      <c r="AK300" s="29"/>
      <c r="AL300" s="30" t="n">
        <v>30</v>
      </c>
      <c r="AM300" s="30"/>
      <c r="AN300" s="32" t="e">
        <f aca="false">#REF!</f>
        <v>#REF!</v>
      </c>
      <c r="AO300" s="2" t="str">
        <f aca="false">CONCATENATE(AF300,AG300,AH300,AI300,AJ300)</f>
        <v/>
      </c>
    </row>
    <row r="301" customFormat="false" ht="15" hidden="false" customHeight="true" outlineLevel="0" collapsed="false">
      <c r="A301" s="8" t="n">
        <v>299</v>
      </c>
      <c r="B301" s="20"/>
      <c r="C301" s="33"/>
      <c r="D301" s="34" t="s">
        <v>1233</v>
      </c>
      <c r="E301" s="34" t="s">
        <v>68</v>
      </c>
      <c r="F301" s="34"/>
      <c r="G301" s="34" t="s">
        <v>118</v>
      </c>
      <c r="H301" s="35"/>
      <c r="I301" s="36"/>
      <c r="J301" s="34" t="s">
        <v>33</v>
      </c>
      <c r="K301" s="34" t="s">
        <v>69</v>
      </c>
      <c r="L301" s="34" t="s">
        <v>61</v>
      </c>
      <c r="M301" s="34" t="str">
        <f aca="false">CONCATENATE(K301," ",L301)</f>
        <v>ASCAZ AMBULATORIA</v>
      </c>
      <c r="N301" s="34" t="s">
        <v>37</v>
      </c>
      <c r="O301" s="37" t="s">
        <v>1234</v>
      </c>
      <c r="P301" s="37" t="s">
        <v>134</v>
      </c>
      <c r="Q301" s="37" t="s">
        <v>134</v>
      </c>
      <c r="R301" s="34" t="s">
        <v>41</v>
      </c>
      <c r="S301" s="34" t="s">
        <v>1235</v>
      </c>
      <c r="T301" s="34" t="s">
        <v>43</v>
      </c>
      <c r="U301" s="35" t="n">
        <v>15641</v>
      </c>
      <c r="V301" s="38" t="n">
        <f aca="false">YEAR($V$1)-YEAR(U301)</f>
        <v>76</v>
      </c>
      <c r="W301" s="34" t="s">
        <v>123</v>
      </c>
      <c r="X301" s="37" t="s">
        <v>1236</v>
      </c>
      <c r="Y301" s="34" t="n">
        <v>264</v>
      </c>
      <c r="Z301" s="34"/>
      <c r="AA301" s="34" t="s">
        <v>221</v>
      </c>
      <c r="AB301" s="34" t="s">
        <v>47</v>
      </c>
      <c r="AC301" s="34" t="n">
        <v>33391</v>
      </c>
      <c r="AD301" s="34" t="n">
        <v>670228420</v>
      </c>
      <c r="AE301" s="39" t="s">
        <v>1237</v>
      </c>
      <c r="AF301" s="40" t="s">
        <v>1238</v>
      </c>
      <c r="AG301" s="40" t="n">
        <v>2048</v>
      </c>
      <c r="AH301" s="40" t="s">
        <v>180</v>
      </c>
      <c r="AI301" s="40" t="n">
        <v>67</v>
      </c>
      <c r="AJ301" s="40" t="n">
        <v>3400073282</v>
      </c>
      <c r="AK301" s="29"/>
      <c r="AL301" s="33"/>
      <c r="AM301" s="41" t="n">
        <v>10</v>
      </c>
      <c r="AO301" s="2" t="str">
        <f aca="false">CONCATENATE(AF301,AG301,AH301,AI301,AJ301)</f>
        <v>ES7520480003673400073282</v>
      </c>
    </row>
    <row r="302" customFormat="false" ht="15" hidden="false" customHeight="true" outlineLevel="0" collapsed="false">
      <c r="A302" s="8" t="n">
        <v>300</v>
      </c>
      <c r="B302" s="20"/>
      <c r="C302" s="33"/>
      <c r="D302" s="34" t="s">
        <v>1239</v>
      </c>
      <c r="E302" s="34" t="s">
        <v>68</v>
      </c>
      <c r="F302" s="34"/>
      <c r="G302" s="34" t="s">
        <v>118</v>
      </c>
      <c r="H302" s="35"/>
      <c r="I302" s="36"/>
      <c r="J302" s="34" t="s">
        <v>33</v>
      </c>
      <c r="K302" s="34" t="s">
        <v>69</v>
      </c>
      <c r="L302" s="34" t="s">
        <v>61</v>
      </c>
      <c r="M302" s="34" t="str">
        <f aca="false">CONCATENATE(K302," ",L302)</f>
        <v>ASCAZ AMBULATORIA</v>
      </c>
      <c r="N302" s="34" t="s">
        <v>54</v>
      </c>
      <c r="O302" s="37" t="s">
        <v>779</v>
      </c>
      <c r="P302" s="37" t="s">
        <v>140</v>
      </c>
      <c r="Q302" s="37" t="s">
        <v>1240</v>
      </c>
      <c r="R302" s="34" t="s">
        <v>41</v>
      </c>
      <c r="S302" s="34" t="s">
        <v>1241</v>
      </c>
      <c r="T302" s="34" t="s">
        <v>59</v>
      </c>
      <c r="U302" s="35" t="n">
        <v>19945</v>
      </c>
      <c r="V302" s="38" t="n">
        <f aca="false">YEAR($V$1)-YEAR(U302)</f>
        <v>64</v>
      </c>
      <c r="W302" s="34"/>
      <c r="X302" s="37"/>
      <c r="Y302" s="34"/>
      <c r="Z302" s="34"/>
      <c r="AA302" s="34"/>
      <c r="AB302" s="34"/>
      <c r="AC302" s="34"/>
      <c r="AD302" s="34" t="n">
        <v>687720564</v>
      </c>
      <c r="AE302" s="39" t="s">
        <v>1242</v>
      </c>
      <c r="AF302" s="40"/>
      <c r="AG302" s="40"/>
      <c r="AH302" s="40"/>
      <c r="AI302" s="40"/>
      <c r="AJ302" s="40"/>
      <c r="AK302" s="29"/>
      <c r="AL302" s="33"/>
      <c r="AM302" s="41" t="n">
        <v>10</v>
      </c>
      <c r="AO302" s="2" t="str">
        <f aca="false">CONCATENATE(AF302,AG302,AH302,AI302,AJ302)</f>
        <v/>
      </c>
    </row>
    <row r="303" customFormat="false" ht="15" hidden="false" customHeight="true" outlineLevel="0" collapsed="false">
      <c r="A303" s="8" t="n">
        <v>301</v>
      </c>
      <c r="B303" s="20"/>
      <c r="C303" s="21" t="n">
        <v>107</v>
      </c>
      <c r="D303" s="22"/>
      <c r="E303" s="26"/>
      <c r="F303" s="26"/>
      <c r="G303" s="26"/>
      <c r="H303" s="42"/>
      <c r="I303" s="26"/>
      <c r="J303" s="26"/>
      <c r="K303" s="26"/>
      <c r="L303" s="26"/>
      <c r="M303" s="26"/>
      <c r="N303" s="26"/>
      <c r="O303" s="43"/>
      <c r="P303" s="43"/>
      <c r="Q303" s="43"/>
      <c r="R303" s="26"/>
      <c r="S303" s="26"/>
      <c r="T303" s="26"/>
      <c r="U303" s="42"/>
      <c r="V303" s="26"/>
      <c r="W303" s="26"/>
      <c r="X303" s="43"/>
      <c r="Y303" s="26"/>
      <c r="Z303" s="26"/>
      <c r="AA303" s="26"/>
      <c r="AB303" s="26"/>
      <c r="AC303" s="26"/>
      <c r="AD303" s="26"/>
      <c r="AE303" s="44"/>
      <c r="AF303" s="28"/>
      <c r="AG303" s="28"/>
      <c r="AH303" s="28"/>
      <c r="AI303" s="28"/>
      <c r="AJ303" s="28"/>
      <c r="AK303" s="29"/>
      <c r="AL303" s="30" t="n">
        <v>30</v>
      </c>
      <c r="AM303" s="30"/>
      <c r="AN303" s="32" t="e">
        <f aca="false">#REF!</f>
        <v>#REF!</v>
      </c>
      <c r="AO303" s="2" t="str">
        <f aca="false">CONCATENATE(AF303,AG303,AH303,AI303,AJ303)</f>
        <v/>
      </c>
    </row>
    <row r="304" customFormat="false" ht="15" hidden="false" customHeight="true" outlineLevel="0" collapsed="false">
      <c r="A304" s="8" t="n">
        <v>302</v>
      </c>
      <c r="B304" s="20"/>
      <c r="C304" s="33"/>
      <c r="D304" s="34" t="s">
        <v>1243</v>
      </c>
      <c r="E304" s="34" t="s">
        <v>68</v>
      </c>
      <c r="F304" s="34"/>
      <c r="G304" s="34" t="s">
        <v>118</v>
      </c>
      <c r="H304" s="35"/>
      <c r="I304" s="36"/>
      <c r="J304" s="34" t="s">
        <v>33</v>
      </c>
      <c r="K304" s="34" t="s">
        <v>69</v>
      </c>
      <c r="L304" s="34" t="s">
        <v>61</v>
      </c>
      <c r="M304" s="34" t="str">
        <f aca="false">CONCATENATE(K304," ",L304)</f>
        <v>ASCAZ AMBULATORIA</v>
      </c>
      <c r="N304" s="34" t="s">
        <v>37</v>
      </c>
      <c r="O304" s="37" t="s">
        <v>769</v>
      </c>
      <c r="P304" s="37" t="s">
        <v>477</v>
      </c>
      <c r="Q304" s="37" t="s">
        <v>134</v>
      </c>
      <c r="R304" s="34" t="s">
        <v>41</v>
      </c>
      <c r="S304" s="34" t="s">
        <v>1244</v>
      </c>
      <c r="T304" s="34" t="s">
        <v>59</v>
      </c>
      <c r="U304" s="35" t="n">
        <v>20781</v>
      </c>
      <c r="V304" s="38" t="n">
        <f aca="false">YEAR($V$1)-YEAR(U304)</f>
        <v>62</v>
      </c>
      <c r="W304" s="34" t="s">
        <v>44</v>
      </c>
      <c r="X304" s="37" t="s">
        <v>479</v>
      </c>
      <c r="Y304" s="34" t="n">
        <v>1</v>
      </c>
      <c r="Z304" s="34" t="s">
        <v>480</v>
      </c>
      <c r="AA304" s="34" t="s">
        <v>46</v>
      </c>
      <c r="AB304" s="34" t="s">
        <v>47</v>
      </c>
      <c r="AC304" s="34" t="n">
        <v>33208</v>
      </c>
      <c r="AD304" s="34" t="n">
        <v>638914688</v>
      </c>
      <c r="AE304" s="39" t="s">
        <v>1245</v>
      </c>
      <c r="AF304" s="40" t="s">
        <v>1246</v>
      </c>
      <c r="AG304" s="40" t="s">
        <v>649</v>
      </c>
      <c r="AH304" s="40" t="s">
        <v>823</v>
      </c>
      <c r="AI304" s="40" t="n">
        <v>18</v>
      </c>
      <c r="AJ304" s="40" t="s">
        <v>1247</v>
      </c>
      <c r="AK304" s="29"/>
      <c r="AL304" s="33"/>
      <c r="AM304" s="41" t="n">
        <v>10</v>
      </c>
      <c r="AO304" s="2" t="str">
        <f aca="false">CONCATENATE(AF304,AG304,AH304,AI304,AJ304)</f>
        <v>ES8901820602180201553484</v>
      </c>
    </row>
    <row r="305" customFormat="false" ht="15" hidden="false" customHeight="true" outlineLevel="0" collapsed="false">
      <c r="A305" s="8" t="n">
        <v>303</v>
      </c>
      <c r="B305" s="20"/>
      <c r="C305" s="21" t="n">
        <v>108</v>
      </c>
      <c r="D305" s="22"/>
      <c r="E305" s="26"/>
      <c r="F305" s="26"/>
      <c r="G305" s="26"/>
      <c r="H305" s="42"/>
      <c r="I305" s="26"/>
      <c r="J305" s="26"/>
      <c r="K305" s="26"/>
      <c r="L305" s="26"/>
      <c r="M305" s="26"/>
      <c r="N305" s="26"/>
      <c r="O305" s="43"/>
      <c r="P305" s="43"/>
      <c r="Q305" s="43"/>
      <c r="R305" s="26"/>
      <c r="S305" s="26"/>
      <c r="T305" s="26"/>
      <c r="U305" s="42"/>
      <c r="V305" s="26"/>
      <c r="W305" s="26"/>
      <c r="X305" s="43"/>
      <c r="Y305" s="26"/>
      <c r="Z305" s="26"/>
      <c r="AA305" s="26"/>
      <c r="AB305" s="26"/>
      <c r="AC305" s="26"/>
      <c r="AD305" s="26"/>
      <c r="AE305" s="44"/>
      <c r="AF305" s="28"/>
      <c r="AG305" s="28"/>
      <c r="AH305" s="28"/>
      <c r="AI305" s="28"/>
      <c r="AJ305" s="28"/>
      <c r="AK305" s="29"/>
      <c r="AL305" s="30" t="n">
        <v>30</v>
      </c>
      <c r="AM305" s="30"/>
      <c r="AN305" s="32" t="e">
        <f aca="false">#REF!</f>
        <v>#REF!</v>
      </c>
      <c r="AO305" s="2" t="str">
        <f aca="false">CONCATENATE(AF305,AG305,AH305,AI305,AJ305)</f>
        <v/>
      </c>
    </row>
    <row r="306" customFormat="false" ht="15" hidden="false" customHeight="true" outlineLevel="0" collapsed="false">
      <c r="A306" s="8" t="n">
        <v>304</v>
      </c>
      <c r="B306" s="20"/>
      <c r="C306" s="33"/>
      <c r="D306" s="34" t="s">
        <v>1248</v>
      </c>
      <c r="E306" s="34" t="s">
        <v>68</v>
      </c>
      <c r="F306" s="34"/>
      <c r="G306" s="34" t="s">
        <v>118</v>
      </c>
      <c r="H306" s="35"/>
      <c r="I306" s="36"/>
      <c r="J306" s="34" t="s">
        <v>33</v>
      </c>
      <c r="K306" s="34" t="s">
        <v>69</v>
      </c>
      <c r="L306" s="34" t="s">
        <v>61</v>
      </c>
      <c r="M306" s="34" t="str">
        <f aca="false">CONCATENATE(K306," ",L306)</f>
        <v>ASCAZ AMBULATORIA</v>
      </c>
      <c r="N306" s="34" t="s">
        <v>37</v>
      </c>
      <c r="O306" s="37" t="s">
        <v>1054</v>
      </c>
      <c r="P306" s="37" t="s">
        <v>537</v>
      </c>
      <c r="Q306" s="37" t="s">
        <v>344</v>
      </c>
      <c r="R306" s="34" t="s">
        <v>41</v>
      </c>
      <c r="S306" s="34" t="s">
        <v>1249</v>
      </c>
      <c r="T306" s="34" t="s">
        <v>43</v>
      </c>
      <c r="U306" s="35" t="n">
        <v>26821</v>
      </c>
      <c r="V306" s="38" t="n">
        <f aca="false">YEAR($V$1)-YEAR(U306)</f>
        <v>45</v>
      </c>
      <c r="W306" s="34" t="s">
        <v>44</v>
      </c>
      <c r="X306" s="37" t="s">
        <v>1250</v>
      </c>
      <c r="Y306" s="34" t="n">
        <v>53</v>
      </c>
      <c r="Z306" s="34" t="s">
        <v>1251</v>
      </c>
      <c r="AA306" s="34" t="s">
        <v>46</v>
      </c>
      <c r="AB306" s="34" t="s">
        <v>47</v>
      </c>
      <c r="AC306" s="34" t="n">
        <v>33209</v>
      </c>
      <c r="AD306" s="34" t="n">
        <v>699386651</v>
      </c>
      <c r="AE306" s="39" t="s">
        <v>1252</v>
      </c>
      <c r="AF306" s="40" t="s">
        <v>1238</v>
      </c>
      <c r="AG306" s="40" t="s">
        <v>110</v>
      </c>
      <c r="AH306" s="40" t="n">
        <v>6247</v>
      </c>
      <c r="AI306" s="40" t="n">
        <v>10</v>
      </c>
      <c r="AJ306" s="40" t="n">
        <v>2116062064</v>
      </c>
      <c r="AK306" s="29"/>
      <c r="AL306" s="33"/>
      <c r="AM306" s="41" t="n">
        <v>10</v>
      </c>
      <c r="AO306" s="2" t="str">
        <f aca="false">CONCATENATE(AF306,AG306,AH306,AI306,AJ306)</f>
        <v>ES7500496247102116062064</v>
      </c>
    </row>
    <row r="307" customFormat="false" ht="15" hidden="false" customHeight="true" outlineLevel="0" collapsed="false">
      <c r="A307" s="8" t="n">
        <v>305</v>
      </c>
      <c r="B307" s="20"/>
      <c r="C307" s="21" t="n">
        <v>109</v>
      </c>
      <c r="D307" s="22"/>
      <c r="E307" s="26"/>
      <c r="F307" s="26"/>
      <c r="G307" s="26"/>
      <c r="H307" s="42"/>
      <c r="I307" s="26"/>
      <c r="J307" s="26"/>
      <c r="K307" s="26"/>
      <c r="L307" s="26"/>
      <c r="M307" s="26"/>
      <c r="N307" s="26"/>
      <c r="O307" s="43"/>
      <c r="P307" s="43"/>
      <c r="Q307" s="43"/>
      <c r="R307" s="26"/>
      <c r="S307" s="26"/>
      <c r="T307" s="26"/>
      <c r="U307" s="42"/>
      <c r="V307" s="26"/>
      <c r="W307" s="26"/>
      <c r="X307" s="43"/>
      <c r="Y307" s="26"/>
      <c r="Z307" s="26"/>
      <c r="AA307" s="26"/>
      <c r="AB307" s="26"/>
      <c r="AC307" s="26"/>
      <c r="AD307" s="26"/>
      <c r="AE307" s="44"/>
      <c r="AF307" s="28"/>
      <c r="AG307" s="28"/>
      <c r="AH307" s="28"/>
      <c r="AI307" s="28"/>
      <c r="AJ307" s="28"/>
      <c r="AK307" s="29"/>
      <c r="AL307" s="30" t="n">
        <v>30</v>
      </c>
      <c r="AM307" s="30"/>
      <c r="AN307" s="32" t="e">
        <f aca="false">#REF!</f>
        <v>#REF!</v>
      </c>
      <c r="AO307" s="2" t="str">
        <f aca="false">CONCATENATE(AF307,AG307,AH307,AI307,AJ307)</f>
        <v/>
      </c>
    </row>
    <row r="308" customFormat="false" ht="15" hidden="false" customHeight="true" outlineLevel="0" collapsed="false">
      <c r="A308" s="8" t="n">
        <v>306</v>
      </c>
      <c r="B308" s="20"/>
      <c r="C308" s="33"/>
      <c r="D308" s="34" t="s">
        <v>1253</v>
      </c>
      <c r="E308" s="34" t="s">
        <v>68</v>
      </c>
      <c r="F308" s="34"/>
      <c r="G308" s="34" t="s">
        <v>118</v>
      </c>
      <c r="H308" s="35"/>
      <c r="I308" s="36"/>
      <c r="J308" s="34" t="s">
        <v>33</v>
      </c>
      <c r="K308" s="34" t="s">
        <v>69</v>
      </c>
      <c r="L308" s="34" t="s">
        <v>61</v>
      </c>
      <c r="M308" s="34" t="str">
        <f aca="false">CONCATENATE(K308," ",L308)</f>
        <v>ASCAZ AMBULATORIA</v>
      </c>
      <c r="N308" s="34" t="s">
        <v>37</v>
      </c>
      <c r="O308" s="37" t="s">
        <v>89</v>
      </c>
      <c r="P308" s="37" t="s">
        <v>1254</v>
      </c>
      <c r="Q308" s="37" t="s">
        <v>307</v>
      </c>
      <c r="R308" s="34" t="s">
        <v>41</v>
      </c>
      <c r="S308" s="34" t="s">
        <v>1255</v>
      </c>
      <c r="T308" s="34" t="s">
        <v>59</v>
      </c>
      <c r="U308" s="35" t="n">
        <v>19286</v>
      </c>
      <c r="V308" s="38" t="n">
        <f aca="false">YEAR($V$1)-YEAR(U308)</f>
        <v>66</v>
      </c>
      <c r="W308" s="34" t="s">
        <v>44</v>
      </c>
      <c r="X308" s="37" t="s">
        <v>79</v>
      </c>
      <c r="Y308" s="34" t="n">
        <v>4</v>
      </c>
      <c r="Z308" s="34" t="s">
        <v>1256</v>
      </c>
      <c r="AA308" s="34" t="s">
        <v>46</v>
      </c>
      <c r="AB308" s="34" t="s">
        <v>300</v>
      </c>
      <c r="AC308" s="34" t="n">
        <v>33008</v>
      </c>
      <c r="AD308" s="34" t="n">
        <v>696163029</v>
      </c>
      <c r="AE308" s="39" t="s">
        <v>1013</v>
      </c>
      <c r="AF308" s="40" t="s">
        <v>1014</v>
      </c>
      <c r="AG308" s="40" t="n">
        <v>2048</v>
      </c>
      <c r="AH308" s="40" t="s">
        <v>1015</v>
      </c>
      <c r="AI308" s="40" t="s">
        <v>1016</v>
      </c>
      <c r="AJ308" s="40" t="n">
        <v>3000047252</v>
      </c>
      <c r="AK308" s="29"/>
      <c r="AL308" s="33"/>
      <c r="AM308" s="41" t="n">
        <v>10</v>
      </c>
      <c r="AO308" s="2" t="str">
        <f aca="false">CONCATENATE(AF308,AG308,AH308,AI308,AJ308)</f>
        <v>ES7720480076073000047252</v>
      </c>
    </row>
    <row r="309" customFormat="false" ht="15" hidden="false" customHeight="true" outlineLevel="0" collapsed="false">
      <c r="A309" s="8" t="n">
        <v>307</v>
      </c>
      <c r="B309" s="20"/>
      <c r="C309" s="21" t="s">
        <v>1257</v>
      </c>
      <c r="D309" s="22"/>
      <c r="E309" s="26"/>
      <c r="F309" s="26"/>
      <c r="G309" s="26"/>
      <c r="H309" s="42"/>
      <c r="I309" s="26"/>
      <c r="J309" s="26"/>
      <c r="K309" s="26"/>
      <c r="L309" s="26"/>
      <c r="M309" s="26"/>
      <c r="N309" s="26"/>
      <c r="O309" s="43"/>
      <c r="P309" s="43"/>
      <c r="Q309" s="43"/>
      <c r="R309" s="26"/>
      <c r="S309" s="26"/>
      <c r="T309" s="26"/>
      <c r="U309" s="42"/>
      <c r="V309" s="26"/>
      <c r="W309" s="26"/>
      <c r="X309" s="43"/>
      <c r="Y309" s="26"/>
      <c r="Z309" s="26"/>
      <c r="AA309" s="26"/>
      <c r="AB309" s="26"/>
      <c r="AC309" s="26"/>
      <c r="AD309" s="26"/>
      <c r="AE309" s="44"/>
      <c r="AF309" s="28"/>
      <c r="AG309" s="28"/>
      <c r="AH309" s="28"/>
      <c r="AI309" s="28"/>
      <c r="AJ309" s="28"/>
      <c r="AK309" s="29"/>
      <c r="AL309" s="30" t="n">
        <v>30</v>
      </c>
      <c r="AM309" s="30"/>
      <c r="AN309" s="32" t="e">
        <f aca="false">#REF!</f>
        <v>#REF!</v>
      </c>
      <c r="AO309" s="2" t="str">
        <f aca="false">CONCATENATE(AF309,AG309,AH309,AI309,AJ309)</f>
        <v/>
      </c>
    </row>
    <row r="310" customFormat="false" ht="15" hidden="false" customHeight="true" outlineLevel="0" collapsed="false">
      <c r="A310" s="8" t="n">
        <v>308</v>
      </c>
      <c r="B310" s="20"/>
      <c r="C310" s="33"/>
      <c r="D310" s="34" t="s">
        <v>1258</v>
      </c>
      <c r="E310" s="34" t="s">
        <v>33</v>
      </c>
      <c r="F310" s="34" t="s">
        <v>2</v>
      </c>
      <c r="G310" s="34" t="s">
        <v>1259</v>
      </c>
      <c r="H310" s="35"/>
      <c r="I310" s="36"/>
      <c r="J310" s="34" t="s">
        <v>33</v>
      </c>
      <c r="K310" s="34" t="s">
        <v>35</v>
      </c>
      <c r="L310" s="34" t="s">
        <v>36</v>
      </c>
      <c r="M310" s="34" t="str">
        <f aca="false">CONCATENATE(K310," ",L310)</f>
        <v>ZITRON-ASCAZ HOSPITALARIA</v>
      </c>
      <c r="N310" s="34" t="s">
        <v>37</v>
      </c>
      <c r="O310" s="37" t="s">
        <v>1260</v>
      </c>
      <c r="P310" s="37" t="s">
        <v>307</v>
      </c>
      <c r="Q310" s="37" t="s">
        <v>380</v>
      </c>
      <c r="R310" s="34" t="s">
        <v>41</v>
      </c>
      <c r="S310" s="34" t="s">
        <v>1261</v>
      </c>
      <c r="T310" s="34" t="s">
        <v>59</v>
      </c>
      <c r="U310" s="35" t="n">
        <v>27499</v>
      </c>
      <c r="V310" s="38" t="n">
        <f aca="false">YEAR($V$1)-YEAR(U310)</f>
        <v>43</v>
      </c>
      <c r="W310" s="34" t="s">
        <v>73</v>
      </c>
      <c r="X310" s="37" t="s">
        <v>1262</v>
      </c>
      <c r="Y310" s="34" t="s">
        <v>1263</v>
      </c>
      <c r="Z310" s="34" t="s">
        <v>1264</v>
      </c>
      <c r="AA310" s="34" t="s">
        <v>46</v>
      </c>
      <c r="AB310" s="34" t="s">
        <v>300</v>
      </c>
      <c r="AC310" s="34" t="s">
        <v>1265</v>
      </c>
      <c r="AD310" s="34" t="s">
        <v>1266</v>
      </c>
      <c r="AE310" s="5" t="s">
        <v>1267</v>
      </c>
      <c r="AF310" s="40" t="s">
        <v>624</v>
      </c>
      <c r="AG310" s="40" t="s">
        <v>128</v>
      </c>
      <c r="AH310" s="40" t="s">
        <v>1268</v>
      </c>
      <c r="AI310" s="40" t="s">
        <v>211</v>
      </c>
      <c r="AJ310" s="40" t="s">
        <v>1269</v>
      </c>
      <c r="AK310" s="29"/>
      <c r="AL310" s="33"/>
      <c r="AM310" s="41" t="n">
        <v>10</v>
      </c>
      <c r="AO310" s="2" t="str">
        <f aca="false">CONCATENATE(AF310,AG310,AH310,AI310,AJ310)</f>
        <v>ES8000815312170006106719</v>
      </c>
    </row>
    <row r="311" customFormat="false" ht="15" hidden="false" customHeight="true" outlineLevel="0" collapsed="false">
      <c r="A311" s="8" t="n">
        <v>309</v>
      </c>
      <c r="B311" s="20"/>
      <c r="C311" s="21" t="s">
        <v>1270</v>
      </c>
      <c r="D311" s="22"/>
      <c r="E311" s="26"/>
      <c r="F311" s="26"/>
      <c r="G311" s="26"/>
      <c r="H311" s="42"/>
      <c r="I311" s="26"/>
      <c r="J311" s="26"/>
      <c r="K311" s="26"/>
      <c r="L311" s="26"/>
      <c r="M311" s="26"/>
      <c r="N311" s="26"/>
      <c r="O311" s="43"/>
      <c r="P311" s="43"/>
      <c r="Q311" s="43"/>
      <c r="R311" s="26"/>
      <c r="S311" s="26"/>
      <c r="T311" s="26"/>
      <c r="U311" s="42"/>
      <c r="V311" s="26"/>
      <c r="W311" s="26"/>
      <c r="X311" s="43"/>
      <c r="Y311" s="26"/>
      <c r="Z311" s="26"/>
      <c r="AA311" s="26"/>
      <c r="AB311" s="26"/>
      <c r="AC311" s="26"/>
      <c r="AD311" s="26"/>
      <c r="AE311" s="44"/>
      <c r="AF311" s="28"/>
      <c r="AG311" s="28"/>
      <c r="AH311" s="28"/>
      <c r="AI311" s="28"/>
      <c r="AJ311" s="28"/>
      <c r="AK311" s="29"/>
      <c r="AL311" s="30" t="n">
        <v>30</v>
      </c>
      <c r="AM311" s="30"/>
      <c r="AN311" s="32" t="e">
        <f aca="false">#REF!</f>
        <v>#REF!</v>
      </c>
      <c r="AO311" s="2" t="str">
        <f aca="false">CONCATENATE(AF311,AG311,AH311,AI311,AJ311)</f>
        <v/>
      </c>
    </row>
    <row r="312" customFormat="false" ht="15" hidden="false" customHeight="true" outlineLevel="0" collapsed="false">
      <c r="A312" s="8" t="n">
        <v>310</v>
      </c>
      <c r="B312" s="20"/>
      <c r="C312" s="33"/>
      <c r="D312" s="34" t="s">
        <v>1271</v>
      </c>
      <c r="E312" s="34" t="s">
        <v>68</v>
      </c>
      <c r="F312" s="34" t="s">
        <v>652</v>
      </c>
      <c r="G312" s="34" t="s">
        <v>1272</v>
      </c>
      <c r="H312" s="35"/>
      <c r="I312" s="36"/>
      <c r="J312" s="34" t="s">
        <v>33</v>
      </c>
      <c r="K312" s="34" t="s">
        <v>69</v>
      </c>
      <c r="L312" s="34" t="s">
        <v>36</v>
      </c>
      <c r="M312" s="34" t="str">
        <f aca="false">CONCATENATE(K312," ",L312)</f>
        <v>ASCAZ HOSPITALARIA</v>
      </c>
      <c r="N312" s="34" t="s">
        <v>37</v>
      </c>
      <c r="O312" s="37" t="s">
        <v>1273</v>
      </c>
      <c r="P312" s="37" t="s">
        <v>1274</v>
      </c>
      <c r="Q312" s="37" t="s">
        <v>322</v>
      </c>
      <c r="R312" s="34" t="s">
        <v>41</v>
      </c>
      <c r="S312" s="34" t="s">
        <v>1275</v>
      </c>
      <c r="T312" s="34" t="s">
        <v>43</v>
      </c>
      <c r="U312" s="35" t="n">
        <v>27749</v>
      </c>
      <c r="V312" s="38" t="n">
        <f aca="false">YEAR($V$1)-YEAR(U312)</f>
        <v>43</v>
      </c>
      <c r="W312" s="34" t="s">
        <v>44</v>
      </c>
      <c r="X312" s="37" t="s">
        <v>1276</v>
      </c>
      <c r="Y312" s="34" t="s">
        <v>1263</v>
      </c>
      <c r="Z312" s="34" t="s">
        <v>896</v>
      </c>
      <c r="AA312" s="34" t="s">
        <v>46</v>
      </c>
      <c r="AB312" s="34" t="s">
        <v>47</v>
      </c>
      <c r="AC312" s="34" t="s">
        <v>1277</v>
      </c>
      <c r="AD312" s="34" t="s">
        <v>1278</v>
      </c>
      <c r="AE312" s="5" t="s">
        <v>1279</v>
      </c>
      <c r="AF312" s="40" t="s">
        <v>1280</v>
      </c>
      <c r="AG312" s="40" t="s">
        <v>649</v>
      </c>
      <c r="AH312" s="40" t="s">
        <v>1281</v>
      </c>
      <c r="AI312" s="40" t="s">
        <v>149</v>
      </c>
      <c r="AJ312" s="40" t="s">
        <v>1282</v>
      </c>
      <c r="AK312" s="29"/>
      <c r="AL312" s="33"/>
      <c r="AM312" s="41" t="n">
        <v>10</v>
      </c>
      <c r="AO312" s="2" t="str">
        <f aca="false">CONCATENATE(AF312,AG312,AH312,AI312,AJ312)</f>
        <v>ES8201820601580208522217</v>
      </c>
    </row>
    <row r="313" customFormat="false" ht="15" hidden="false" customHeight="true" outlineLevel="0" collapsed="false">
      <c r="A313" s="8" t="n">
        <v>311</v>
      </c>
      <c r="B313" s="20"/>
      <c r="C313" s="21" t="n">
        <v>112</v>
      </c>
      <c r="D313" s="22"/>
      <c r="E313" s="26"/>
      <c r="F313" s="26"/>
      <c r="G313" s="26"/>
      <c r="H313" s="42"/>
      <c r="I313" s="26"/>
      <c r="J313" s="26"/>
      <c r="K313" s="26"/>
      <c r="L313" s="26"/>
      <c r="M313" s="26"/>
      <c r="N313" s="26"/>
      <c r="O313" s="43"/>
      <c r="P313" s="43"/>
      <c r="Q313" s="43"/>
      <c r="R313" s="26"/>
      <c r="S313" s="26"/>
      <c r="T313" s="26"/>
      <c r="U313" s="42"/>
      <c r="V313" s="26"/>
      <c r="W313" s="26"/>
      <c r="X313" s="43"/>
      <c r="Y313" s="26"/>
      <c r="Z313" s="26"/>
      <c r="AA313" s="26"/>
      <c r="AB313" s="26"/>
      <c r="AC313" s="26"/>
      <c r="AD313" s="26"/>
      <c r="AE313" s="44"/>
      <c r="AF313" s="28"/>
      <c r="AG313" s="28"/>
      <c r="AH313" s="28"/>
      <c r="AI313" s="28"/>
      <c r="AJ313" s="28"/>
      <c r="AK313" s="29"/>
      <c r="AL313" s="30" t="n">
        <v>30</v>
      </c>
      <c r="AM313" s="30"/>
      <c r="AN313" s="32" t="e">
        <f aca="false">#REF!</f>
        <v>#REF!</v>
      </c>
      <c r="AO313" s="2" t="str">
        <f aca="false">CONCATENATE(AF313,AG313,AH313,AI313,AJ313)</f>
        <v/>
      </c>
    </row>
    <row r="314" customFormat="false" ht="15" hidden="false" customHeight="true" outlineLevel="0" collapsed="false">
      <c r="A314" s="8" t="n">
        <v>312</v>
      </c>
      <c r="B314" s="20"/>
      <c r="C314" s="33"/>
      <c r="D314" s="34" t="s">
        <v>1283</v>
      </c>
      <c r="E314" s="34" t="s">
        <v>68</v>
      </c>
      <c r="F314" s="34" t="s">
        <v>1284</v>
      </c>
      <c r="G314" s="35" t="n">
        <v>43119</v>
      </c>
      <c r="H314" s="35"/>
      <c r="I314" s="36"/>
      <c r="J314" s="34" t="s">
        <v>33</v>
      </c>
      <c r="K314" s="34" t="s">
        <v>69</v>
      </c>
      <c r="L314" s="34" t="s">
        <v>36</v>
      </c>
      <c r="M314" s="34" t="str">
        <f aca="false">CONCATENATE(K314," ",L314)</f>
        <v>ASCAZ HOSPITALARIA</v>
      </c>
      <c r="N314" s="34" t="s">
        <v>37</v>
      </c>
      <c r="O314" s="37" t="s">
        <v>1285</v>
      </c>
      <c r="P314" s="37" t="s">
        <v>1286</v>
      </c>
      <c r="Q314" s="37"/>
      <c r="R314" s="34" t="s">
        <v>41</v>
      </c>
      <c r="S314" s="34" t="s">
        <v>1287</v>
      </c>
      <c r="T314" s="34" t="s">
        <v>59</v>
      </c>
      <c r="U314" s="35" t="n">
        <v>26810</v>
      </c>
      <c r="V314" s="38" t="n">
        <f aca="false">YEAR($V$1)-YEAR(U314)</f>
        <v>45</v>
      </c>
      <c r="W314" s="34" t="s">
        <v>44</v>
      </c>
      <c r="X314" s="37" t="s">
        <v>1288</v>
      </c>
      <c r="Y314" s="34" t="n">
        <v>9</v>
      </c>
      <c r="Z314" s="34" t="s">
        <v>1090</v>
      </c>
      <c r="AA314" s="34" t="s">
        <v>46</v>
      </c>
      <c r="AB314" s="34" t="s">
        <v>47</v>
      </c>
      <c r="AC314" s="34" t="n">
        <v>33213</v>
      </c>
      <c r="AD314" s="34" t="n">
        <v>662153575</v>
      </c>
      <c r="AE314" s="47" t="s">
        <v>1289</v>
      </c>
      <c r="AF314" s="40" t="s">
        <v>830</v>
      </c>
      <c r="AG314" s="40" t="s">
        <v>649</v>
      </c>
      <c r="AH314" s="40" t="s">
        <v>1281</v>
      </c>
      <c r="AI314" s="40" t="s">
        <v>1290</v>
      </c>
      <c r="AJ314" s="40" t="s">
        <v>1291</v>
      </c>
      <c r="AK314" s="29"/>
      <c r="AL314" s="33"/>
      <c r="AM314" s="41" t="n">
        <v>10</v>
      </c>
      <c r="AO314" s="2" t="str">
        <f aca="false">CONCATENATE(AF314,AG314,AH314,AI314,AJ314)</f>
        <v>ES7301820601550201597308</v>
      </c>
    </row>
    <row r="315" customFormat="false" ht="15" hidden="false" customHeight="true" outlineLevel="0" collapsed="false">
      <c r="A315" s="8" t="n">
        <v>313</v>
      </c>
      <c r="B315" s="20"/>
      <c r="C315" s="21" t="n">
        <v>113</v>
      </c>
      <c r="D315" s="22"/>
      <c r="E315" s="26"/>
      <c r="F315" s="26"/>
      <c r="G315" s="26"/>
      <c r="H315" s="42"/>
      <c r="I315" s="26"/>
      <c r="J315" s="26"/>
      <c r="K315" s="26"/>
      <c r="L315" s="26"/>
      <c r="M315" s="26"/>
      <c r="N315" s="26"/>
      <c r="O315" s="43"/>
      <c r="P315" s="43"/>
      <c r="Q315" s="43"/>
      <c r="R315" s="26"/>
      <c r="S315" s="26"/>
      <c r="T315" s="26"/>
      <c r="U315" s="42"/>
      <c r="V315" s="42"/>
      <c r="W315" s="26"/>
      <c r="X315" s="43"/>
      <c r="Y315" s="26"/>
      <c r="Z315" s="26"/>
      <c r="AA315" s="26"/>
      <c r="AB315" s="26"/>
      <c r="AC315" s="26"/>
      <c r="AD315" s="26"/>
      <c r="AE315" s="44"/>
      <c r="AF315" s="28"/>
      <c r="AG315" s="28"/>
      <c r="AH315" s="28"/>
      <c r="AI315" s="28"/>
      <c r="AJ315" s="28"/>
      <c r="AK315" s="29"/>
      <c r="AL315" s="30" t="n">
        <v>30</v>
      </c>
      <c r="AM315" s="30"/>
      <c r="AN315" s="32" t="e">
        <f aca="false">#REF!</f>
        <v>#REF!</v>
      </c>
      <c r="AO315" s="2" t="str">
        <f aca="false">CONCATENATE(AF315,AG315,AH315,AI315,AJ315)</f>
        <v/>
      </c>
    </row>
    <row r="316" customFormat="false" ht="15" hidden="false" customHeight="true" outlineLevel="0" collapsed="false">
      <c r="A316" s="8" t="n">
        <v>314</v>
      </c>
      <c r="B316" s="20"/>
      <c r="C316" s="33"/>
      <c r="D316" s="34" t="s">
        <v>1292</v>
      </c>
      <c r="E316" s="34" t="s">
        <v>33</v>
      </c>
      <c r="F316" s="34" t="s">
        <v>2</v>
      </c>
      <c r="G316" s="35" t="n">
        <v>43130</v>
      </c>
      <c r="H316" s="35"/>
      <c r="I316" s="36"/>
      <c r="J316" s="34" t="s">
        <v>33</v>
      </c>
      <c r="K316" s="34" t="s">
        <v>35</v>
      </c>
      <c r="L316" s="34" t="s">
        <v>36</v>
      </c>
      <c r="M316" s="34" t="str">
        <f aca="false">CONCATENATE(K316," ",L316)</f>
        <v>ZITRON-ASCAZ HOSPITALARIA</v>
      </c>
      <c r="N316" s="34" t="s">
        <v>37</v>
      </c>
      <c r="O316" s="37" t="s">
        <v>429</v>
      </c>
      <c r="P316" s="37" t="s">
        <v>1293</v>
      </c>
      <c r="Q316" s="37" t="s">
        <v>1294</v>
      </c>
      <c r="R316" s="34" t="s">
        <v>41</v>
      </c>
      <c r="S316" s="34" t="s">
        <v>1295</v>
      </c>
      <c r="T316" s="34" t="s">
        <v>43</v>
      </c>
      <c r="U316" s="35" t="n">
        <v>27542</v>
      </c>
      <c r="V316" s="38" t="e">
        <f aca="false">YEAR($N$1)-YEAR(U316)</f>
        <v>#VALUE!</v>
      </c>
      <c r="W316" s="34" t="s">
        <v>578</v>
      </c>
      <c r="X316" s="37" t="s">
        <v>1296</v>
      </c>
      <c r="Y316" s="34" t="n">
        <v>11</v>
      </c>
      <c r="Z316" s="34" t="s">
        <v>1297</v>
      </c>
      <c r="AA316" s="34" t="s">
        <v>46</v>
      </c>
      <c r="AB316" s="34" t="s">
        <v>1298</v>
      </c>
      <c r="AC316" s="34" t="n">
        <v>33450</v>
      </c>
      <c r="AD316" s="34" t="n">
        <v>634594635</v>
      </c>
      <c r="AE316" s="47" t="s">
        <v>1299</v>
      </c>
      <c r="AF316" s="40" t="s">
        <v>1120</v>
      </c>
      <c r="AG316" s="40" t="s">
        <v>649</v>
      </c>
      <c r="AH316" s="40" t="s">
        <v>1300</v>
      </c>
      <c r="AI316" s="40" t="s">
        <v>1301</v>
      </c>
      <c r="AJ316" s="40" t="s">
        <v>1302</v>
      </c>
      <c r="AK316" s="29"/>
      <c r="AL316" s="33"/>
      <c r="AM316" s="41" t="n">
        <v>10</v>
      </c>
      <c r="AO316" s="2" t="str">
        <f aca="false">CONCATENATE(AF316,AG316,AH316,AI316,AJ316)</f>
        <v>ES4101825010570201548541</v>
      </c>
    </row>
    <row r="317" customFormat="false" ht="15" hidden="false" customHeight="true" outlineLevel="0" collapsed="false">
      <c r="A317" s="8" t="n">
        <v>315</v>
      </c>
      <c r="B317" s="20"/>
      <c r="C317" s="33"/>
      <c r="D317" s="34" t="s">
        <v>1303</v>
      </c>
      <c r="E317" s="34" t="s">
        <v>33</v>
      </c>
      <c r="F317" s="34" t="s">
        <v>2</v>
      </c>
      <c r="G317" s="35" t="n">
        <v>43130</v>
      </c>
      <c r="H317" s="35"/>
      <c r="I317" s="36"/>
      <c r="J317" s="34" t="s">
        <v>33</v>
      </c>
      <c r="K317" s="34" t="s">
        <v>35</v>
      </c>
      <c r="L317" s="34" t="s">
        <v>36</v>
      </c>
      <c r="M317" s="34" t="str">
        <f aca="false">CONCATENATE(K317," ",L317)</f>
        <v>ZITRON-ASCAZ HOSPITALARIA</v>
      </c>
      <c r="N317" s="34" t="s">
        <v>54</v>
      </c>
      <c r="O317" s="37" t="s">
        <v>1304</v>
      </c>
      <c r="P317" s="37" t="s">
        <v>1305</v>
      </c>
      <c r="Q317" s="37" t="s">
        <v>200</v>
      </c>
      <c r="R317" s="34" t="s">
        <v>41</v>
      </c>
      <c r="S317" s="34" t="s">
        <v>1306</v>
      </c>
      <c r="T317" s="34" t="s">
        <v>59</v>
      </c>
      <c r="U317" s="35" t="n">
        <v>27871</v>
      </c>
      <c r="V317" s="38" t="e">
        <f aca="false">YEAR($N$1)-YEAR(U317)</f>
        <v>#VALUE!</v>
      </c>
      <c r="W317" s="34"/>
      <c r="X317" s="37"/>
      <c r="Y317" s="34"/>
      <c r="Z317" s="34"/>
      <c r="AA317" s="34"/>
      <c r="AB317" s="34"/>
      <c r="AC317" s="34"/>
      <c r="AD317" s="34" t="n">
        <v>667750154</v>
      </c>
      <c r="AE317" s="47" t="s">
        <v>1307</v>
      </c>
      <c r="AF317" s="40"/>
      <c r="AG317" s="40"/>
      <c r="AH317" s="40"/>
      <c r="AI317" s="40"/>
      <c r="AJ317" s="40"/>
      <c r="AK317" s="29"/>
      <c r="AL317" s="33"/>
      <c r="AM317" s="41" t="n">
        <v>10</v>
      </c>
      <c r="AO317" s="2" t="str">
        <f aca="false">CONCATENATE(AF317,AG317,AH317,AI317,AJ317)</f>
        <v/>
      </c>
    </row>
    <row r="318" customFormat="false" ht="15" hidden="false" customHeight="true" outlineLevel="0" collapsed="false">
      <c r="A318" s="8" t="n">
        <v>316</v>
      </c>
      <c r="B318" s="20"/>
      <c r="C318" s="21" t="n">
        <v>114</v>
      </c>
      <c r="D318" s="22"/>
      <c r="E318" s="26"/>
      <c r="F318" s="26"/>
      <c r="G318" s="26"/>
      <c r="H318" s="42"/>
      <c r="I318" s="26"/>
      <c r="J318" s="26"/>
      <c r="K318" s="26"/>
      <c r="L318" s="26"/>
      <c r="M318" s="26" t="str">
        <f aca="false">CONCATENATE(K318," ",L318)</f>
        <v> </v>
      </c>
      <c r="N318" s="26"/>
      <c r="O318" s="43"/>
      <c r="P318" s="43"/>
      <c r="Q318" s="43"/>
      <c r="R318" s="26"/>
      <c r="S318" s="26"/>
      <c r="T318" s="26"/>
      <c r="U318" s="42"/>
      <c r="V318" s="42"/>
      <c r="W318" s="26"/>
      <c r="X318" s="43"/>
      <c r="Y318" s="26"/>
      <c r="Z318" s="26"/>
      <c r="AA318" s="26"/>
      <c r="AB318" s="26"/>
      <c r="AC318" s="26"/>
      <c r="AD318" s="26"/>
      <c r="AE318" s="44"/>
      <c r="AF318" s="28"/>
      <c r="AG318" s="28"/>
      <c r="AH318" s="28"/>
      <c r="AI318" s="28"/>
      <c r="AJ318" s="28"/>
      <c r="AK318" s="29"/>
      <c r="AL318" s="30" t="n">
        <v>30</v>
      </c>
      <c r="AM318" s="30"/>
      <c r="AN318" s="32" t="e">
        <f aca="false">#REF!</f>
        <v>#REF!</v>
      </c>
      <c r="AO318" s="2" t="str">
        <f aca="false">CONCATENATE(AF318,AG318,AH318,AI318,AJ318)</f>
        <v/>
      </c>
    </row>
    <row r="319" customFormat="false" ht="15" hidden="false" customHeight="true" outlineLevel="0" collapsed="false">
      <c r="A319" s="8" t="n">
        <v>317</v>
      </c>
      <c r="B319" s="20"/>
      <c r="C319" s="33"/>
      <c r="D319" s="34" t="s">
        <v>1308</v>
      </c>
      <c r="E319" s="34" t="s">
        <v>33</v>
      </c>
      <c r="F319" s="34" t="s">
        <v>2</v>
      </c>
      <c r="G319" s="35" t="n">
        <v>43130</v>
      </c>
      <c r="H319" s="35"/>
      <c r="I319" s="36"/>
      <c r="J319" s="34" t="s">
        <v>33</v>
      </c>
      <c r="K319" s="34" t="s">
        <v>35</v>
      </c>
      <c r="L319" s="34" t="s">
        <v>36</v>
      </c>
      <c r="M319" s="34" t="str">
        <f aca="false">CONCATENATE(K319," ",L319)</f>
        <v>ZITRON-ASCAZ HOSPITALARIA</v>
      </c>
      <c r="N319" s="34" t="s">
        <v>37</v>
      </c>
      <c r="O319" s="37" t="s">
        <v>1309</v>
      </c>
      <c r="P319" s="37" t="s">
        <v>1310</v>
      </c>
      <c r="Q319" s="37" t="s">
        <v>1311</v>
      </c>
      <c r="R319" s="34" t="s">
        <v>41</v>
      </c>
      <c r="S319" s="34" t="s">
        <v>1312</v>
      </c>
      <c r="T319" s="34" t="s">
        <v>59</v>
      </c>
      <c r="U319" s="35" t="n">
        <v>34234</v>
      </c>
      <c r="V319" s="38" t="e">
        <f aca="false">YEAR($N$1)-YEAR(U319)</f>
        <v>#VALUE!</v>
      </c>
      <c r="W319" s="34" t="s">
        <v>44</v>
      </c>
      <c r="X319" s="37" t="s">
        <v>1313</v>
      </c>
      <c r="Y319" s="34" t="n">
        <v>8</v>
      </c>
      <c r="Z319" s="34" t="s">
        <v>802</v>
      </c>
      <c r="AA319" s="34" t="s">
        <v>46</v>
      </c>
      <c r="AB319" s="34" t="s">
        <v>270</v>
      </c>
      <c r="AC319" s="34" t="n">
        <v>33510</v>
      </c>
      <c r="AD319" s="34" t="n">
        <v>657446975</v>
      </c>
      <c r="AE319" s="47" t="s">
        <v>1314</v>
      </c>
      <c r="AF319" s="40" t="s">
        <v>1315</v>
      </c>
      <c r="AG319" s="40" t="s">
        <v>110</v>
      </c>
      <c r="AH319" s="40" t="s">
        <v>1316</v>
      </c>
      <c r="AI319" s="40" t="s">
        <v>1317</v>
      </c>
      <c r="AJ319" s="40" t="s">
        <v>1318</v>
      </c>
      <c r="AK319" s="29"/>
      <c r="AL319" s="33"/>
      <c r="AM319" s="41" t="n">
        <v>10</v>
      </c>
      <c r="AO319" s="2" t="str">
        <f aca="false">CONCATENATE(AF319,AG319,AH319,AI319,AJ319)</f>
        <v>ES0600495284302893329960</v>
      </c>
    </row>
    <row r="320" customFormat="false" ht="15" hidden="false" customHeight="true" outlineLevel="0" collapsed="false">
      <c r="A320" s="8" t="n">
        <v>318</v>
      </c>
      <c r="B320" s="20"/>
      <c r="C320" s="21" t="n">
        <v>115</v>
      </c>
      <c r="D320" s="22"/>
      <c r="E320" s="26"/>
      <c r="F320" s="26"/>
      <c r="G320" s="26"/>
      <c r="H320" s="42"/>
      <c r="I320" s="26"/>
      <c r="J320" s="26"/>
      <c r="K320" s="26"/>
      <c r="L320" s="26"/>
      <c r="M320" s="26" t="str">
        <f aca="false">CONCATENATE(K320," ",L320)</f>
        <v> </v>
      </c>
      <c r="N320" s="26"/>
      <c r="O320" s="43"/>
      <c r="P320" s="43"/>
      <c r="Q320" s="43"/>
      <c r="R320" s="26"/>
      <c r="S320" s="26"/>
      <c r="T320" s="26"/>
      <c r="U320" s="42"/>
      <c r="V320" s="42"/>
      <c r="W320" s="26"/>
      <c r="X320" s="43"/>
      <c r="Y320" s="26"/>
      <c r="Z320" s="26"/>
      <c r="AA320" s="26"/>
      <c r="AB320" s="26"/>
      <c r="AC320" s="26"/>
      <c r="AD320" s="26"/>
      <c r="AE320" s="44"/>
      <c r="AF320" s="28"/>
      <c r="AG320" s="28"/>
      <c r="AH320" s="28"/>
      <c r="AI320" s="28"/>
      <c r="AJ320" s="28"/>
      <c r="AK320" s="29"/>
      <c r="AL320" s="30" t="n">
        <v>30</v>
      </c>
      <c r="AM320" s="30"/>
      <c r="AN320" s="32" t="e">
        <f aca="false">#REF!</f>
        <v>#REF!</v>
      </c>
      <c r="AO320" s="2" t="str">
        <f aca="false">CONCATENATE(AF320,AG320,AH320,AI320,AJ320)</f>
        <v/>
      </c>
    </row>
    <row r="321" customFormat="false" ht="15" hidden="false" customHeight="true" outlineLevel="0" collapsed="false">
      <c r="A321" s="8" t="n">
        <v>319</v>
      </c>
      <c r="B321" s="20"/>
      <c r="C321" s="33"/>
      <c r="D321" s="34" t="s">
        <v>1319</v>
      </c>
      <c r="E321" s="34" t="s">
        <v>68</v>
      </c>
      <c r="F321" s="34" t="s">
        <v>1026</v>
      </c>
      <c r="G321" s="35" t="n">
        <v>43130</v>
      </c>
      <c r="H321" s="35"/>
      <c r="I321" s="36"/>
      <c r="J321" s="34" t="s">
        <v>33</v>
      </c>
      <c r="K321" s="34" t="s">
        <v>69</v>
      </c>
      <c r="L321" s="34" t="s">
        <v>36</v>
      </c>
      <c r="M321" s="34" t="str">
        <f aca="false">CONCATENATE(K321," ",L321)</f>
        <v>ASCAZ HOSPITALARIA</v>
      </c>
      <c r="N321" s="34" t="s">
        <v>37</v>
      </c>
      <c r="O321" s="37" t="s">
        <v>1320</v>
      </c>
      <c r="P321" s="37" t="s">
        <v>1321</v>
      </c>
      <c r="Q321" s="37" t="s">
        <v>296</v>
      </c>
      <c r="R321" s="34" t="s">
        <v>41</v>
      </c>
      <c r="S321" s="34" t="s">
        <v>1322</v>
      </c>
      <c r="T321" s="34" t="s">
        <v>59</v>
      </c>
      <c r="U321" s="35" t="n">
        <v>26216</v>
      </c>
      <c r="V321" s="38" t="e">
        <f aca="false">YEAR($N$1)-YEAR(U321)</f>
        <v>#VALUE!</v>
      </c>
      <c r="W321" s="34" t="s">
        <v>44</v>
      </c>
      <c r="X321" s="37" t="s">
        <v>1323</v>
      </c>
      <c r="Y321" s="34" t="s">
        <v>53</v>
      </c>
      <c r="Z321" s="34" t="s">
        <v>1012</v>
      </c>
      <c r="AA321" s="34" t="s">
        <v>46</v>
      </c>
      <c r="AB321" s="34" t="s">
        <v>300</v>
      </c>
      <c r="AC321" s="34" t="n">
        <v>33012</v>
      </c>
      <c r="AD321" s="34" t="n">
        <v>627056751</v>
      </c>
      <c r="AE321" s="77" t="s">
        <v>1033</v>
      </c>
      <c r="AF321" s="40" t="s">
        <v>745</v>
      </c>
      <c r="AG321" s="40" t="s">
        <v>1324</v>
      </c>
      <c r="AH321" s="40" t="s">
        <v>1325</v>
      </c>
      <c r="AI321" s="40" t="s">
        <v>1326</v>
      </c>
      <c r="AJ321" s="40" t="s">
        <v>1327</v>
      </c>
      <c r="AK321" s="29"/>
      <c r="AL321" s="33"/>
      <c r="AM321" s="41" t="n">
        <v>10</v>
      </c>
      <c r="AO321" s="2" t="str">
        <f aca="false">CONCATENATE(AF321,AG321,AH321,AI321,AJ321)</f>
        <v>ES0420480062563004011643</v>
      </c>
    </row>
    <row r="322" customFormat="false" ht="15" hidden="false" customHeight="true" outlineLevel="0" collapsed="false">
      <c r="A322" s="8" t="n">
        <v>320</v>
      </c>
      <c r="B322" s="20"/>
      <c r="C322" s="21" t="n">
        <v>116</v>
      </c>
      <c r="D322" s="22"/>
      <c r="E322" s="26"/>
      <c r="F322" s="26"/>
      <c r="G322" s="26"/>
      <c r="H322" s="42"/>
      <c r="I322" s="26"/>
      <c r="J322" s="26"/>
      <c r="K322" s="26"/>
      <c r="L322" s="26"/>
      <c r="M322" s="26" t="str">
        <f aca="false">CONCATENATE(K322," ",L322)</f>
        <v> </v>
      </c>
      <c r="N322" s="26"/>
      <c r="O322" s="43"/>
      <c r="P322" s="43"/>
      <c r="Q322" s="43"/>
      <c r="R322" s="26"/>
      <c r="S322" s="26"/>
      <c r="T322" s="26"/>
      <c r="U322" s="42"/>
      <c r="V322" s="42"/>
      <c r="W322" s="26"/>
      <c r="X322" s="43"/>
      <c r="Y322" s="26"/>
      <c r="Z322" s="26"/>
      <c r="AA322" s="26"/>
      <c r="AB322" s="26"/>
      <c r="AC322" s="26"/>
      <c r="AD322" s="26"/>
      <c r="AE322" s="44"/>
      <c r="AF322" s="28"/>
      <c r="AG322" s="28"/>
      <c r="AH322" s="28"/>
      <c r="AI322" s="28"/>
      <c r="AJ322" s="28"/>
      <c r="AK322" s="29"/>
      <c r="AL322" s="30" t="n">
        <v>30</v>
      </c>
      <c r="AM322" s="30"/>
      <c r="AN322" s="32" t="n">
        <f aca="false">E322</f>
        <v>0</v>
      </c>
      <c r="AO322" s="2" t="str">
        <f aca="false">CONCATENATE(AF322,AG322,AH322,AI322,AJ322)</f>
        <v/>
      </c>
    </row>
    <row r="323" customFormat="false" ht="15" hidden="false" customHeight="true" outlineLevel="0" collapsed="false">
      <c r="A323" s="8" t="n">
        <v>321</v>
      </c>
      <c r="B323" s="20"/>
      <c r="C323" s="33"/>
      <c r="D323" s="34" t="s">
        <v>1328</v>
      </c>
      <c r="E323" s="34" t="s">
        <v>68</v>
      </c>
      <c r="F323" s="34" t="s">
        <v>1026</v>
      </c>
      <c r="G323" s="35" t="n">
        <v>43130</v>
      </c>
      <c r="H323" s="35"/>
      <c r="I323" s="36"/>
      <c r="J323" s="34" t="s">
        <v>33</v>
      </c>
      <c r="K323" s="34" t="s">
        <v>69</v>
      </c>
      <c r="L323" s="34" t="s">
        <v>36</v>
      </c>
      <c r="M323" s="34" t="str">
        <f aca="false">CONCATENATE(K323," ",L323)</f>
        <v>ASCAZ HOSPITALARIA</v>
      </c>
      <c r="N323" s="34" t="s">
        <v>37</v>
      </c>
      <c r="O323" s="37" t="s">
        <v>1329</v>
      </c>
      <c r="P323" s="37" t="s">
        <v>1330</v>
      </c>
      <c r="Q323" s="37" t="s">
        <v>1331</v>
      </c>
      <c r="R323" s="34" t="s">
        <v>41</v>
      </c>
      <c r="S323" s="34" t="s">
        <v>1332</v>
      </c>
      <c r="T323" s="34" t="s">
        <v>43</v>
      </c>
      <c r="U323" s="35" t="n">
        <v>26044</v>
      </c>
      <c r="V323" s="38" t="e">
        <f aca="false">YEAR($N$1)-YEAR(U323)</f>
        <v>#VALUE!</v>
      </c>
      <c r="W323" s="34" t="s">
        <v>1333</v>
      </c>
      <c r="X323" s="37" t="s">
        <v>1334</v>
      </c>
      <c r="Y323" s="34" t="s">
        <v>1335</v>
      </c>
      <c r="Z323" s="34" t="s">
        <v>1336</v>
      </c>
      <c r="AA323" s="34" t="s">
        <v>46</v>
      </c>
      <c r="AB323" s="34" t="s">
        <v>300</v>
      </c>
      <c r="AC323" s="34" t="n">
        <v>33010</v>
      </c>
      <c r="AD323" s="34" t="n">
        <v>620980291</v>
      </c>
      <c r="AE323" s="47" t="s">
        <v>1337</v>
      </c>
      <c r="AF323" s="40" t="s">
        <v>745</v>
      </c>
      <c r="AG323" s="40" t="s">
        <v>1324</v>
      </c>
      <c r="AH323" s="40" t="s">
        <v>1325</v>
      </c>
      <c r="AI323" s="40" t="s">
        <v>1326</v>
      </c>
      <c r="AJ323" s="40" t="s">
        <v>1327</v>
      </c>
      <c r="AK323" s="29"/>
      <c r="AL323" s="33"/>
      <c r="AM323" s="41" t="n">
        <v>10</v>
      </c>
      <c r="AO323" s="2" t="str">
        <f aca="false">CONCATENATE(AF323,AG323,AH323,AI323,AJ323)</f>
        <v>ES0420480062563004011643</v>
      </c>
    </row>
    <row r="324" customFormat="false" ht="15" hidden="false" customHeight="true" outlineLevel="0" collapsed="false">
      <c r="A324" s="8" t="n">
        <v>322</v>
      </c>
      <c r="B324" s="20"/>
      <c r="C324" s="21" t="n">
        <v>117</v>
      </c>
      <c r="D324" s="22"/>
      <c r="E324" s="26"/>
      <c r="F324" s="26"/>
      <c r="G324" s="26"/>
      <c r="H324" s="42"/>
      <c r="I324" s="26"/>
      <c r="J324" s="26"/>
      <c r="K324" s="26"/>
      <c r="L324" s="26"/>
      <c r="M324" s="26"/>
      <c r="N324" s="26"/>
      <c r="O324" s="43"/>
      <c r="P324" s="43"/>
      <c r="Q324" s="43"/>
      <c r="R324" s="26"/>
      <c r="S324" s="26"/>
      <c r="T324" s="26"/>
      <c r="U324" s="42"/>
      <c r="V324" s="42"/>
      <c r="W324" s="26"/>
      <c r="X324" s="43"/>
      <c r="Y324" s="26"/>
      <c r="Z324" s="26"/>
      <c r="AA324" s="26"/>
      <c r="AB324" s="26"/>
      <c r="AC324" s="26"/>
      <c r="AD324" s="26"/>
      <c r="AE324" s="44"/>
      <c r="AF324" s="28"/>
      <c r="AG324" s="28"/>
      <c r="AH324" s="28"/>
      <c r="AI324" s="28"/>
      <c r="AJ324" s="28"/>
      <c r="AK324" s="29"/>
      <c r="AL324" s="30" t="n">
        <v>30</v>
      </c>
      <c r="AM324" s="30"/>
      <c r="AN324" s="32" t="n">
        <f aca="false">E324</f>
        <v>0</v>
      </c>
      <c r="AO324" s="2" t="str">
        <f aca="false">CONCATENATE(AF324,AG324,AH324,AI324,AJ324)</f>
        <v/>
      </c>
    </row>
    <row r="325" customFormat="false" ht="15" hidden="false" customHeight="true" outlineLevel="0" collapsed="false">
      <c r="A325" s="8" t="n">
        <v>323</v>
      </c>
      <c r="B325" s="20"/>
      <c r="C325" s="33"/>
      <c r="D325" s="34" t="s">
        <v>1338</v>
      </c>
      <c r="E325" s="34" t="s">
        <v>68</v>
      </c>
      <c r="F325" s="34"/>
      <c r="G325" s="35" t="n">
        <v>43130</v>
      </c>
      <c r="H325" s="35"/>
      <c r="I325" s="36"/>
      <c r="J325" s="34" t="s">
        <v>33</v>
      </c>
      <c r="K325" s="34" t="s">
        <v>69</v>
      </c>
      <c r="L325" s="34" t="s">
        <v>36</v>
      </c>
      <c r="M325" s="34" t="str">
        <f aca="false">CONCATENATE(K325," ",L325)</f>
        <v>ASCAZ HOSPITALARIA</v>
      </c>
      <c r="N325" s="34" t="s">
        <v>37</v>
      </c>
      <c r="O325" s="37" t="s">
        <v>1339</v>
      </c>
      <c r="P325" s="37" t="s">
        <v>1340</v>
      </c>
      <c r="Q325" s="37" t="s">
        <v>1341</v>
      </c>
      <c r="R325" s="34" t="s">
        <v>41</v>
      </c>
      <c r="S325" s="34" t="s">
        <v>1342</v>
      </c>
      <c r="T325" s="34" t="s">
        <v>59</v>
      </c>
      <c r="U325" s="35" t="n">
        <v>25251</v>
      </c>
      <c r="V325" s="38" t="e">
        <f aca="false">YEAR($N$1)-YEAR(U325)</f>
        <v>#VALUE!</v>
      </c>
      <c r="W325" s="34" t="s">
        <v>44</v>
      </c>
      <c r="X325" s="37" t="s">
        <v>1343</v>
      </c>
      <c r="Y325" s="34" t="n">
        <v>5</v>
      </c>
      <c r="Z325" s="34" t="s">
        <v>405</v>
      </c>
      <c r="AA325" s="34" t="s">
        <v>46</v>
      </c>
      <c r="AB325" s="34" t="s">
        <v>300</v>
      </c>
      <c r="AC325" s="34" t="n">
        <v>33011</v>
      </c>
      <c r="AD325" s="34" t="n">
        <v>647250228</v>
      </c>
      <c r="AE325" s="47" t="s">
        <v>1344</v>
      </c>
      <c r="AF325" s="40" t="s">
        <v>109</v>
      </c>
      <c r="AG325" s="40" t="s">
        <v>612</v>
      </c>
      <c r="AH325" s="40" t="s">
        <v>1345</v>
      </c>
      <c r="AI325" s="40" t="s">
        <v>1346</v>
      </c>
      <c r="AJ325" s="40" t="s">
        <v>1347</v>
      </c>
      <c r="AK325" s="29"/>
      <c r="AL325" s="33"/>
      <c r="AM325" s="41" t="n">
        <v>10</v>
      </c>
      <c r="AO325" s="2" t="str">
        <f aca="false">CONCATENATE(AF325,AG325,AH325,AI325,AJ325)</f>
        <v>ES0900190457754010025294</v>
      </c>
    </row>
    <row r="326" customFormat="false" ht="15" hidden="false" customHeight="true" outlineLevel="0" collapsed="false">
      <c r="A326" s="8" t="n">
        <v>322</v>
      </c>
      <c r="B326" s="20"/>
      <c r="C326" s="21" t="n">
        <v>118</v>
      </c>
      <c r="D326" s="22"/>
      <c r="E326" s="26"/>
      <c r="F326" s="26"/>
      <c r="G326" s="26"/>
      <c r="H326" s="42"/>
      <c r="I326" s="26"/>
      <c r="J326" s="26"/>
      <c r="K326" s="26"/>
      <c r="L326" s="26"/>
      <c r="M326" s="26"/>
      <c r="N326" s="26"/>
      <c r="O326" s="43"/>
      <c r="P326" s="43"/>
      <c r="Q326" s="43"/>
      <c r="R326" s="26"/>
      <c r="S326" s="26"/>
      <c r="T326" s="26"/>
      <c r="U326" s="42"/>
      <c r="V326" s="42"/>
      <c r="W326" s="26"/>
      <c r="X326" s="43"/>
      <c r="Y326" s="26"/>
      <c r="Z326" s="26"/>
      <c r="AA326" s="26"/>
      <c r="AB326" s="26"/>
      <c r="AC326" s="26"/>
      <c r="AD326" s="26"/>
      <c r="AE326" s="44"/>
      <c r="AF326" s="28"/>
      <c r="AG326" s="28"/>
      <c r="AH326" s="28"/>
      <c r="AI326" s="28"/>
      <c r="AJ326" s="28"/>
      <c r="AK326" s="29"/>
      <c r="AL326" s="30" t="n">
        <v>30</v>
      </c>
      <c r="AM326" s="30"/>
      <c r="AN326" s="32" t="n">
        <f aca="false">C326</f>
        <v>118</v>
      </c>
      <c r="AO326" s="2" t="str">
        <f aca="false">CONCATENATE(AF326,AG326,AH326,AI326,AJ326)</f>
        <v/>
      </c>
    </row>
    <row r="327" customFormat="false" ht="15" hidden="false" customHeight="true" outlineLevel="0" collapsed="false">
      <c r="A327" s="8" t="n">
        <v>323</v>
      </c>
      <c r="B327" s="20"/>
      <c r="C327" s="33"/>
      <c r="D327" s="34" t="s">
        <v>1348</v>
      </c>
      <c r="E327" s="34" t="s">
        <v>68</v>
      </c>
      <c r="F327" s="34" t="s">
        <v>603</v>
      </c>
      <c r="G327" s="35" t="n">
        <v>43137</v>
      </c>
      <c r="H327" s="35"/>
      <c r="I327" s="36"/>
      <c r="J327" s="34" t="s">
        <v>33</v>
      </c>
      <c r="K327" s="34" t="s">
        <v>69</v>
      </c>
      <c r="L327" s="34" t="s">
        <v>36</v>
      </c>
      <c r="M327" s="34" t="str">
        <f aca="false">CONCATENATE(K327," ",L327)</f>
        <v>ASCAZ HOSPITALARIA</v>
      </c>
      <c r="N327" s="34" t="s">
        <v>37</v>
      </c>
      <c r="O327" s="37" t="s">
        <v>1349</v>
      </c>
      <c r="P327" s="37" t="s">
        <v>1350</v>
      </c>
      <c r="Q327" s="37" t="s">
        <v>1351</v>
      </c>
      <c r="R327" s="34" t="s">
        <v>41</v>
      </c>
      <c r="S327" s="34" t="s">
        <v>1352</v>
      </c>
      <c r="T327" s="34" t="s">
        <v>59</v>
      </c>
      <c r="U327" s="35" t="n">
        <v>26048</v>
      </c>
      <c r="V327" s="38" t="n">
        <f aca="false">YEAR($V$1)-YEAR(U327)</f>
        <v>47</v>
      </c>
      <c r="W327" s="34" t="s">
        <v>44</v>
      </c>
      <c r="X327" s="37" t="s">
        <v>1353</v>
      </c>
      <c r="Y327" s="34" t="n">
        <v>25</v>
      </c>
      <c r="Z327" s="34" t="s">
        <v>1354</v>
      </c>
      <c r="AA327" s="34" t="s">
        <v>46</v>
      </c>
      <c r="AB327" s="34" t="s">
        <v>1355</v>
      </c>
      <c r="AC327" s="34" t="n">
        <v>33213</v>
      </c>
      <c r="AD327" s="34" t="n">
        <v>620668015</v>
      </c>
      <c r="AE327" s="77" t="s">
        <v>1356</v>
      </c>
      <c r="AF327" s="40" t="s">
        <v>127</v>
      </c>
      <c r="AG327" s="40" t="s">
        <v>1324</v>
      </c>
      <c r="AH327" s="40" t="s">
        <v>850</v>
      </c>
      <c r="AI327" s="40" t="s">
        <v>1357</v>
      </c>
      <c r="AJ327" s="40" t="s">
        <v>1358</v>
      </c>
      <c r="AK327" s="29"/>
      <c r="AL327" s="33"/>
      <c r="AM327" s="41" t="n">
        <v>10</v>
      </c>
      <c r="AO327" s="2" t="str">
        <f aca="false">CONCATENATE(AF327,AG327,AH327,AI327,AJ327)</f>
        <v>ES2420480096533404002422</v>
      </c>
    </row>
    <row r="328" customFormat="false" ht="15" hidden="false" customHeight="true" outlineLevel="0" collapsed="false">
      <c r="A328" s="8" t="n">
        <v>322</v>
      </c>
      <c r="B328" s="20"/>
      <c r="C328" s="21" t="n">
        <v>119</v>
      </c>
      <c r="D328" s="22"/>
      <c r="E328" s="26"/>
      <c r="F328" s="26"/>
      <c r="G328" s="26"/>
      <c r="H328" s="42"/>
      <c r="I328" s="26"/>
      <c r="J328" s="26"/>
      <c r="K328" s="26"/>
      <c r="L328" s="26"/>
      <c r="M328" s="26"/>
      <c r="N328" s="26"/>
      <c r="O328" s="43"/>
      <c r="P328" s="43"/>
      <c r="Q328" s="43"/>
      <c r="R328" s="26"/>
      <c r="S328" s="26"/>
      <c r="T328" s="26"/>
      <c r="U328" s="42"/>
      <c r="V328" s="42"/>
      <c r="W328" s="26"/>
      <c r="X328" s="43"/>
      <c r="Y328" s="26"/>
      <c r="Z328" s="26"/>
      <c r="AA328" s="26"/>
      <c r="AB328" s="26"/>
      <c r="AC328" s="26"/>
      <c r="AD328" s="26"/>
      <c r="AE328" s="44"/>
      <c r="AF328" s="28"/>
      <c r="AG328" s="28"/>
      <c r="AH328" s="28"/>
      <c r="AI328" s="28"/>
      <c r="AJ328" s="28"/>
      <c r="AK328" s="29"/>
      <c r="AL328" s="30" t="n">
        <v>30</v>
      </c>
      <c r="AM328" s="30"/>
      <c r="AN328" s="32" t="n">
        <f aca="false">C328</f>
        <v>119</v>
      </c>
      <c r="AO328" s="2" t="str">
        <f aca="false">CONCATENATE(AF328,AG328,AH328,AI328,AJ328)</f>
        <v/>
      </c>
    </row>
    <row r="329" customFormat="false" ht="15" hidden="false" customHeight="true" outlineLevel="0" collapsed="false">
      <c r="A329" s="8" t="n">
        <v>323</v>
      </c>
      <c r="B329" s="20"/>
      <c r="C329" s="33"/>
      <c r="D329" s="34" t="s">
        <v>1359</v>
      </c>
      <c r="E329" s="34" t="s">
        <v>68</v>
      </c>
      <c r="F329" s="34" t="s">
        <v>1086</v>
      </c>
      <c r="G329" s="35" t="n">
        <v>43131</v>
      </c>
      <c r="H329" s="35"/>
      <c r="I329" s="36"/>
      <c r="J329" s="34" t="s">
        <v>33</v>
      </c>
      <c r="K329" s="34" t="s">
        <v>69</v>
      </c>
      <c r="L329" s="34" t="s">
        <v>36</v>
      </c>
      <c r="M329" s="34" t="str">
        <f aca="false">CONCATENATE(K329," ",L329)</f>
        <v>ASCAZ HOSPITALARIA</v>
      </c>
      <c r="N329" s="34" t="s">
        <v>37</v>
      </c>
      <c r="O329" s="37" t="s">
        <v>1018</v>
      </c>
      <c r="P329" s="37" t="s">
        <v>1133</v>
      </c>
      <c r="Q329" s="37" t="s">
        <v>1134</v>
      </c>
      <c r="R329" s="34" t="s">
        <v>41</v>
      </c>
      <c r="S329" s="34" t="s">
        <v>1360</v>
      </c>
      <c r="T329" s="34" t="s">
        <v>59</v>
      </c>
      <c r="U329" s="35" t="n">
        <v>24606</v>
      </c>
      <c r="V329" s="38" t="n">
        <f aca="false">YEAR($V$1)-YEAR(U329)</f>
        <v>51</v>
      </c>
      <c r="W329" s="34" t="s">
        <v>1361</v>
      </c>
      <c r="X329" s="37" t="s">
        <v>1362</v>
      </c>
      <c r="Y329" s="34" t="n">
        <v>2</v>
      </c>
      <c r="Z329" s="34" t="s">
        <v>164</v>
      </c>
      <c r="AA329" s="34" t="s">
        <v>46</v>
      </c>
      <c r="AB329" s="34" t="s">
        <v>300</v>
      </c>
      <c r="AC329" s="34" t="n">
        <v>33001</v>
      </c>
      <c r="AD329" s="34" t="n">
        <v>600759877</v>
      </c>
      <c r="AE329" s="77" t="s">
        <v>1363</v>
      </c>
      <c r="AF329" s="40" t="s">
        <v>1364</v>
      </c>
      <c r="AG329" s="40" t="s">
        <v>128</v>
      </c>
      <c r="AH329" s="40" t="s">
        <v>1365</v>
      </c>
      <c r="AI329" s="40" t="s">
        <v>168</v>
      </c>
      <c r="AJ329" s="40" t="s">
        <v>1366</v>
      </c>
      <c r="AK329" s="29"/>
      <c r="AL329" s="33"/>
      <c r="AM329" s="41" t="n">
        <v>10</v>
      </c>
      <c r="AO329" s="2" t="str">
        <f aca="false">CONCATENATE(AF329,AG329,AH329,AI329,AJ329)</f>
        <v>ES2700815051510006207133</v>
      </c>
    </row>
    <row r="330" customFormat="false" ht="15" hidden="false" customHeight="true" outlineLevel="0" collapsed="false">
      <c r="A330" s="8" t="n">
        <v>313</v>
      </c>
      <c r="B330" s="20"/>
      <c r="C330" s="21" t="n">
        <v>120</v>
      </c>
      <c r="D330" s="22"/>
      <c r="E330" s="26"/>
      <c r="F330" s="26"/>
      <c r="G330" s="26"/>
      <c r="H330" s="42"/>
      <c r="I330" s="26"/>
      <c r="J330" s="26"/>
      <c r="K330" s="26"/>
      <c r="L330" s="26"/>
      <c r="M330" s="26"/>
      <c r="N330" s="26"/>
      <c r="O330" s="43"/>
      <c r="P330" s="43"/>
      <c r="Q330" s="43"/>
      <c r="R330" s="26"/>
      <c r="S330" s="26"/>
      <c r="T330" s="26"/>
      <c r="U330" s="42"/>
      <c r="V330" s="42"/>
      <c r="W330" s="26"/>
      <c r="X330" s="43"/>
      <c r="Y330" s="26"/>
      <c r="Z330" s="26"/>
      <c r="AA330" s="26"/>
      <c r="AB330" s="26"/>
      <c r="AC330" s="26"/>
      <c r="AD330" s="26"/>
      <c r="AE330" s="44"/>
      <c r="AF330" s="28"/>
      <c r="AG330" s="28"/>
      <c r="AH330" s="28"/>
      <c r="AI330" s="28"/>
      <c r="AJ330" s="28"/>
      <c r="AK330" s="29"/>
      <c r="AL330" s="30" t="n">
        <v>30</v>
      </c>
      <c r="AM330" s="30"/>
      <c r="AN330" s="32" t="n">
        <f aca="false">C330</f>
        <v>120</v>
      </c>
      <c r="AO330" s="2" t="str">
        <f aca="false">CONCATENATE(AF330,AG330,AH330,AI330,AJ330)</f>
        <v/>
      </c>
    </row>
    <row r="331" customFormat="false" ht="15" hidden="false" customHeight="true" outlineLevel="0" collapsed="false">
      <c r="A331" s="8" t="n">
        <v>314</v>
      </c>
      <c r="B331" s="20"/>
      <c r="C331" s="33"/>
      <c r="D331" s="34" t="s">
        <v>1367</v>
      </c>
      <c r="E331" s="34" t="s">
        <v>33</v>
      </c>
      <c r="F331" s="34" t="s">
        <v>2</v>
      </c>
      <c r="G331" s="35" t="n">
        <v>43139</v>
      </c>
      <c r="H331" s="35"/>
      <c r="I331" s="36"/>
      <c r="J331" s="34" t="s">
        <v>33</v>
      </c>
      <c r="K331" s="34" t="s">
        <v>35</v>
      </c>
      <c r="L331" s="34" t="s">
        <v>36</v>
      </c>
      <c r="M331" s="34" t="str">
        <f aca="false">CONCATENATE(K331," ",L331)</f>
        <v>ZITRON-ASCAZ HOSPITALARIA</v>
      </c>
      <c r="N331" s="34" t="s">
        <v>37</v>
      </c>
      <c r="O331" s="37" t="s">
        <v>1368</v>
      </c>
      <c r="P331" s="37" t="s">
        <v>229</v>
      </c>
      <c r="Q331" s="37" t="s">
        <v>238</v>
      </c>
      <c r="R331" s="34" t="s">
        <v>41</v>
      </c>
      <c r="S331" s="34" t="s">
        <v>1369</v>
      </c>
      <c r="T331" s="34" t="s">
        <v>43</v>
      </c>
      <c r="U331" s="35" t="n">
        <v>29833</v>
      </c>
      <c r="V331" s="38" t="n">
        <f aca="false">YEAR($V$1)-YEAR(U331)</f>
        <v>37</v>
      </c>
      <c r="W331" s="34" t="s">
        <v>44</v>
      </c>
      <c r="X331" s="37" t="s">
        <v>1170</v>
      </c>
      <c r="Y331" s="34" t="n">
        <v>130</v>
      </c>
      <c r="Z331" s="34" t="s">
        <v>164</v>
      </c>
      <c r="AA331" s="34" t="s">
        <v>46</v>
      </c>
      <c r="AB331" s="34" t="s">
        <v>1355</v>
      </c>
      <c r="AC331" s="34" t="n">
        <v>33209</v>
      </c>
      <c r="AD331" s="34" t="n">
        <v>628759479</v>
      </c>
      <c r="AE331" s="77" t="s">
        <v>1370</v>
      </c>
      <c r="AF331" s="40" t="s">
        <v>83</v>
      </c>
      <c r="AG331" s="40" t="s">
        <v>179</v>
      </c>
      <c r="AH331" s="40" t="s">
        <v>1371</v>
      </c>
      <c r="AI331" s="40" t="s">
        <v>1372</v>
      </c>
      <c r="AJ331" s="40" t="s">
        <v>1373</v>
      </c>
      <c r="AK331" s="29"/>
      <c r="AL331" s="33"/>
      <c r="AM331" s="41" t="n">
        <v>10</v>
      </c>
      <c r="AO331" s="2" t="str">
        <f aca="false">CONCATENATE(AF331,AG331,AH331,AI331,AJ331)</f>
        <v>ES0730070005982014585612</v>
      </c>
    </row>
    <row r="332" customFormat="false" ht="15" hidden="false" customHeight="true" outlineLevel="0" collapsed="false">
      <c r="A332" s="8" t="n">
        <v>315</v>
      </c>
      <c r="B332" s="20"/>
      <c r="C332" s="33"/>
      <c r="D332" s="34" t="s">
        <v>1374</v>
      </c>
      <c r="E332" s="34" t="s">
        <v>33</v>
      </c>
      <c r="F332" s="34" t="s">
        <v>2</v>
      </c>
      <c r="G332" s="35" t="n">
        <v>43139</v>
      </c>
      <c r="H332" s="35"/>
      <c r="I332" s="36"/>
      <c r="J332" s="34" t="s">
        <v>33</v>
      </c>
      <c r="K332" s="34" t="s">
        <v>35</v>
      </c>
      <c r="L332" s="34" t="s">
        <v>36</v>
      </c>
      <c r="M332" s="34" t="str">
        <f aca="false">CONCATENATE(K332," ",L332)</f>
        <v>ZITRON-ASCAZ HOSPITALARIA</v>
      </c>
      <c r="N332" s="34" t="s">
        <v>54</v>
      </c>
      <c r="O332" s="37" t="s">
        <v>1070</v>
      </c>
      <c r="P332" s="37" t="s">
        <v>1340</v>
      </c>
      <c r="Q332" s="37" t="s">
        <v>134</v>
      </c>
      <c r="R332" s="34" t="s">
        <v>41</v>
      </c>
      <c r="S332" s="34" t="s">
        <v>1375</v>
      </c>
      <c r="T332" s="34" t="s">
        <v>59</v>
      </c>
      <c r="U332" s="35" t="n">
        <v>29532</v>
      </c>
      <c r="V332" s="38" t="n">
        <f aca="false">YEAR($V$1)-YEAR(U332)</f>
        <v>38</v>
      </c>
      <c r="W332" s="34"/>
      <c r="X332" s="37"/>
      <c r="Y332" s="34"/>
      <c r="Z332" s="34"/>
      <c r="AA332" s="34"/>
      <c r="AB332" s="34"/>
      <c r="AC332" s="34"/>
      <c r="AD332" s="34"/>
      <c r="AE332" s="47"/>
      <c r="AF332" s="40"/>
      <c r="AG332" s="40"/>
      <c r="AH332" s="40"/>
      <c r="AI332" s="40"/>
      <c r="AJ332" s="40"/>
      <c r="AK332" s="29"/>
      <c r="AL332" s="33"/>
      <c r="AM332" s="41" t="n">
        <v>10</v>
      </c>
      <c r="AO332" s="2" t="str">
        <f aca="false">CONCATENATE(AF332,AG332,AH332,AI332,AJ332)</f>
        <v/>
      </c>
    </row>
    <row r="333" customFormat="false" ht="15" hidden="false" customHeight="true" outlineLevel="0" collapsed="false">
      <c r="A333" s="8" t="n">
        <v>313</v>
      </c>
      <c r="B333" s="20"/>
      <c r="C333" s="21" t="n">
        <v>121</v>
      </c>
      <c r="D333" s="22"/>
      <c r="E333" s="26"/>
      <c r="F333" s="26"/>
      <c r="G333" s="26"/>
      <c r="H333" s="42"/>
      <c r="I333" s="26"/>
      <c r="J333" s="26"/>
      <c r="K333" s="26"/>
      <c r="L333" s="26"/>
      <c r="M333" s="26"/>
      <c r="N333" s="26"/>
      <c r="O333" s="43"/>
      <c r="P333" s="43"/>
      <c r="Q333" s="43"/>
      <c r="R333" s="26"/>
      <c r="S333" s="26"/>
      <c r="T333" s="26"/>
      <c r="U333" s="42"/>
      <c r="V333" s="42"/>
      <c r="W333" s="26"/>
      <c r="X333" s="43"/>
      <c r="Y333" s="26"/>
      <c r="Z333" s="26"/>
      <c r="AA333" s="26"/>
      <c r="AB333" s="26"/>
      <c r="AC333" s="26"/>
      <c r="AD333" s="26"/>
      <c r="AE333" s="44"/>
      <c r="AF333" s="28"/>
      <c r="AG333" s="28"/>
      <c r="AH333" s="28"/>
      <c r="AI333" s="28"/>
      <c r="AJ333" s="28"/>
      <c r="AK333" s="29"/>
      <c r="AL333" s="30" t="n">
        <v>30</v>
      </c>
      <c r="AM333" s="30"/>
      <c r="AN333" s="32" t="n">
        <f aca="false">C333</f>
        <v>121</v>
      </c>
      <c r="AO333" s="2" t="str">
        <f aca="false">CONCATENATE(AF333,AG333,AH333,AI333,AJ333)</f>
        <v/>
      </c>
    </row>
    <row r="334" customFormat="false" ht="15" hidden="false" customHeight="true" outlineLevel="0" collapsed="false">
      <c r="A334" s="8" t="n">
        <v>314</v>
      </c>
      <c r="B334" s="20"/>
      <c r="C334" s="33"/>
      <c r="D334" s="34" t="s">
        <v>1376</v>
      </c>
      <c r="E334" s="34" t="s">
        <v>33</v>
      </c>
      <c r="F334" s="34" t="s">
        <v>2</v>
      </c>
      <c r="G334" s="35" t="n">
        <v>43139</v>
      </c>
      <c r="H334" s="35"/>
      <c r="I334" s="36"/>
      <c r="J334" s="34" t="s">
        <v>33</v>
      </c>
      <c r="K334" s="34" t="s">
        <v>35</v>
      </c>
      <c r="L334" s="34" t="s">
        <v>36</v>
      </c>
      <c r="M334" s="34" t="str">
        <f aca="false">CONCATENATE(K334," ",L334)</f>
        <v>ZITRON-ASCAZ HOSPITALARIA</v>
      </c>
      <c r="N334" s="34" t="s">
        <v>37</v>
      </c>
      <c r="O334" s="37" t="s">
        <v>264</v>
      </c>
      <c r="P334" s="37" t="s">
        <v>1377</v>
      </c>
      <c r="Q334" s="37" t="s">
        <v>134</v>
      </c>
      <c r="R334" s="34" t="s">
        <v>41</v>
      </c>
      <c r="S334" s="34" t="s">
        <v>1378</v>
      </c>
      <c r="T334" s="34" t="s">
        <v>43</v>
      </c>
      <c r="U334" s="35" t="n">
        <v>29833</v>
      </c>
      <c r="V334" s="38" t="n">
        <f aca="false">YEAR($V$1)-YEAR(U334)</f>
        <v>37</v>
      </c>
      <c r="W334" s="34" t="s">
        <v>44</v>
      </c>
      <c r="X334" s="37" t="s">
        <v>1379</v>
      </c>
      <c r="Y334" s="34" t="n">
        <v>5</v>
      </c>
      <c r="Z334" s="34" t="s">
        <v>1380</v>
      </c>
      <c r="AA334" s="34" t="s">
        <v>46</v>
      </c>
      <c r="AB334" s="34" t="s">
        <v>1351</v>
      </c>
      <c r="AC334" s="34" t="n">
        <v>33600</v>
      </c>
      <c r="AD334" s="34" t="n">
        <v>687194973</v>
      </c>
      <c r="AE334" s="77" t="s">
        <v>1381</v>
      </c>
      <c r="AF334" s="40" t="s">
        <v>1382</v>
      </c>
      <c r="AG334" s="40" t="s">
        <v>649</v>
      </c>
      <c r="AH334" s="40" t="s">
        <v>1383</v>
      </c>
      <c r="AI334" s="40" t="s">
        <v>1384</v>
      </c>
      <c r="AJ334" s="40" t="s">
        <v>1385</v>
      </c>
      <c r="AK334" s="29"/>
      <c r="AL334" s="33"/>
      <c r="AM334" s="41" t="n">
        <v>10</v>
      </c>
      <c r="AO334" s="2" t="str">
        <f aca="false">CONCATENATE(AF334,AG334,AH334,AI334,AJ334)</f>
        <v>ES9101820608710201545313</v>
      </c>
    </row>
    <row r="336" customFormat="false" ht="15" hidden="false" customHeight="true" outlineLevel="0" collapsed="false">
      <c r="AL336" s="2" t="n">
        <f aca="false">SUM(AL2:AL335)</f>
        <v>2850</v>
      </c>
      <c r="AM336" s="2" t="n">
        <f aca="false">SUM(AM2:AM335)</f>
        <v>2110</v>
      </c>
      <c r="AN336" s="7" t="n">
        <f aca="false">AL336+AM336</f>
        <v>4960</v>
      </c>
    </row>
  </sheetData>
  <autoFilter ref="A1:AR332"/>
  <mergeCells count="2">
    <mergeCell ref="K1:M1"/>
    <mergeCell ref="Q101:R10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3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6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27"/>
  <sheetViews>
    <sheetView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D127" activeCellId="0" sqref="D127"/>
    </sheetView>
  </sheetViews>
  <sheetFormatPr defaultRowHeight="15" zeroHeight="false" outlineLevelRow="0" outlineLevelCol="0"/>
  <cols>
    <col collapsed="false" customWidth="true" hidden="false" outlineLevel="0" max="1" min="1" style="5" width="40.86"/>
    <col collapsed="false" customWidth="true" hidden="false" outlineLevel="0" max="1025" min="2" style="0" width="10.5"/>
  </cols>
  <sheetData>
    <row r="1" customFormat="false" ht="15" hidden="false" customHeight="false" outlineLevel="0" collapsed="false">
      <c r="A1" s="39" t="s">
        <v>48</v>
      </c>
    </row>
    <row r="2" customFormat="false" ht="15" hidden="false" customHeight="false" outlineLevel="0" collapsed="false">
      <c r="A2" s="39" t="s">
        <v>76</v>
      </c>
    </row>
    <row r="3" customFormat="false" ht="15" hidden="false" customHeight="false" outlineLevel="0" collapsed="false">
      <c r="A3" s="39" t="s">
        <v>82</v>
      </c>
    </row>
    <row r="4" customFormat="false" ht="15" hidden="false" customHeight="false" outlineLevel="0" collapsed="false">
      <c r="A4" s="39" t="s">
        <v>108</v>
      </c>
    </row>
    <row r="5" customFormat="false" ht="15" hidden="false" customHeight="false" outlineLevel="0" collapsed="false">
      <c r="A5" s="39" t="s">
        <v>126</v>
      </c>
    </row>
    <row r="6" customFormat="false" ht="15" hidden="false" customHeight="false" outlineLevel="0" collapsed="false">
      <c r="A6" s="39" t="s">
        <v>145</v>
      </c>
    </row>
    <row r="7" customFormat="false" ht="15" hidden="false" customHeight="false" outlineLevel="0" collapsed="false">
      <c r="A7" s="39" t="s">
        <v>165</v>
      </c>
    </row>
    <row r="8" customFormat="false" ht="15" hidden="false" customHeight="false" outlineLevel="0" collapsed="false">
      <c r="A8" s="39" t="s">
        <v>177</v>
      </c>
    </row>
    <row r="9" customFormat="false" ht="15" hidden="false" customHeight="false" outlineLevel="0" collapsed="false">
      <c r="A9" s="39" t="s">
        <v>194</v>
      </c>
    </row>
    <row r="10" customFormat="false" ht="15" hidden="false" customHeight="false" outlineLevel="0" collapsed="false">
      <c r="A10" s="39" t="s">
        <v>208</v>
      </c>
    </row>
    <row r="11" customFormat="false" ht="15" hidden="false" customHeight="false" outlineLevel="0" collapsed="false">
      <c r="A11" s="39" t="s">
        <v>223</v>
      </c>
    </row>
    <row r="12" customFormat="false" ht="15" hidden="false" customHeight="false" outlineLevel="0" collapsed="false">
      <c r="A12" s="39" t="s">
        <v>235</v>
      </c>
    </row>
    <row r="13" customFormat="false" ht="15" hidden="false" customHeight="false" outlineLevel="0" collapsed="false">
      <c r="A13" s="39" t="s">
        <v>247</v>
      </c>
    </row>
    <row r="14" customFormat="false" ht="15" hidden="false" customHeight="false" outlineLevel="0" collapsed="false">
      <c r="A14" s="39" t="s">
        <v>254</v>
      </c>
    </row>
    <row r="15" customFormat="false" ht="15" hidden="false" customHeight="false" outlineLevel="0" collapsed="false">
      <c r="A15" s="39" t="s">
        <v>271</v>
      </c>
    </row>
    <row r="16" customFormat="false" ht="15" hidden="false" customHeight="false" outlineLevel="0" collapsed="false">
      <c r="A16" s="39" t="s">
        <v>286</v>
      </c>
    </row>
    <row r="17" customFormat="false" ht="15" hidden="false" customHeight="false" outlineLevel="0" collapsed="false">
      <c r="A17" s="39" t="s">
        <v>301</v>
      </c>
    </row>
    <row r="18" customFormat="false" ht="15" hidden="false" customHeight="false" outlineLevel="0" collapsed="false">
      <c r="A18" s="39" t="s">
        <v>312</v>
      </c>
    </row>
    <row r="19" customFormat="false" ht="15" hidden="false" customHeight="false" outlineLevel="0" collapsed="false">
      <c r="A19" s="39" t="s">
        <v>319</v>
      </c>
    </row>
    <row r="20" customFormat="false" ht="15" hidden="false" customHeight="false" outlineLevel="0" collapsed="false">
      <c r="A20" s="39" t="s">
        <v>324</v>
      </c>
    </row>
    <row r="21" customFormat="false" ht="15" hidden="false" customHeight="false" outlineLevel="0" collapsed="false">
      <c r="A21" s="39" t="s">
        <v>334</v>
      </c>
    </row>
    <row r="22" customFormat="false" ht="15" hidden="false" customHeight="false" outlineLevel="0" collapsed="false">
      <c r="A22" s="39" t="s">
        <v>340</v>
      </c>
    </row>
    <row r="23" customFormat="false" ht="15" hidden="false" customHeight="false" outlineLevel="0" collapsed="false">
      <c r="A23" s="39" t="s">
        <v>353</v>
      </c>
    </row>
    <row r="24" customFormat="false" ht="15" hidden="false" customHeight="false" outlineLevel="0" collapsed="false">
      <c r="A24" s="39" t="s">
        <v>362</v>
      </c>
    </row>
    <row r="25" customFormat="false" ht="15" hidden="false" customHeight="false" outlineLevel="0" collapsed="false">
      <c r="A25" s="39" t="s">
        <v>370</v>
      </c>
    </row>
    <row r="26" customFormat="false" ht="15" hidden="false" customHeight="false" outlineLevel="0" collapsed="false">
      <c r="A26" s="39" t="s">
        <v>377</v>
      </c>
    </row>
    <row r="27" customFormat="false" ht="15" hidden="false" customHeight="false" outlineLevel="0" collapsed="false">
      <c r="A27" s="39" t="s">
        <v>384</v>
      </c>
    </row>
    <row r="28" customFormat="false" ht="15" hidden="false" customHeight="false" outlineLevel="0" collapsed="false">
      <c r="A28" s="39" t="s">
        <v>390</v>
      </c>
    </row>
    <row r="29" customFormat="false" ht="15" hidden="false" customHeight="false" outlineLevel="0" collapsed="false">
      <c r="A29" s="39" t="s">
        <v>399</v>
      </c>
    </row>
    <row r="30" customFormat="false" ht="15" hidden="false" customHeight="false" outlineLevel="0" collapsed="false">
      <c r="A30" s="39" t="s">
        <v>406</v>
      </c>
    </row>
    <row r="31" customFormat="false" ht="15" hidden="false" customHeight="false" outlineLevel="0" collapsed="false">
      <c r="A31" s="47" t="s">
        <v>422</v>
      </c>
    </row>
    <row r="32" customFormat="false" ht="15" hidden="false" customHeight="false" outlineLevel="0" collapsed="false">
      <c r="A32" s="78" t="s">
        <v>427</v>
      </c>
    </row>
    <row r="33" customFormat="false" ht="15" hidden="false" customHeight="false" outlineLevel="0" collapsed="false">
      <c r="A33" s="39" t="s">
        <v>434</v>
      </c>
    </row>
    <row r="34" customFormat="false" ht="15" hidden="false" customHeight="false" outlineLevel="0" collapsed="false">
      <c r="A34" s="39" t="s">
        <v>439</v>
      </c>
    </row>
    <row r="35" customFormat="false" ht="15" hidden="false" customHeight="false" outlineLevel="0" collapsed="false">
      <c r="A35" s="39" t="s">
        <v>443</v>
      </c>
    </row>
    <row r="36" customFormat="false" ht="15" hidden="false" customHeight="false" outlineLevel="0" collapsed="false">
      <c r="A36" s="39" t="s">
        <v>449</v>
      </c>
    </row>
    <row r="37" customFormat="false" ht="15" hidden="false" customHeight="false" outlineLevel="0" collapsed="false">
      <c r="A37" s="39" t="s">
        <v>466</v>
      </c>
    </row>
    <row r="38" customFormat="false" ht="15" hidden="false" customHeight="false" outlineLevel="0" collapsed="false">
      <c r="A38" s="39" t="s">
        <v>471</v>
      </c>
    </row>
    <row r="39" customFormat="false" ht="15" hidden="false" customHeight="false" outlineLevel="0" collapsed="false">
      <c r="A39" s="39" t="s">
        <v>481</v>
      </c>
    </row>
    <row r="40" customFormat="false" ht="15" hidden="false" customHeight="false" outlineLevel="0" collapsed="false">
      <c r="A40" s="39" t="s">
        <v>487</v>
      </c>
    </row>
    <row r="41" customFormat="false" ht="15" hidden="false" customHeight="false" outlineLevel="0" collapsed="false">
      <c r="A41" s="39" t="s">
        <v>496</v>
      </c>
    </row>
    <row r="42" customFormat="false" ht="15" hidden="false" customHeight="false" outlineLevel="0" collapsed="false">
      <c r="A42" s="39" t="s">
        <v>502</v>
      </c>
    </row>
    <row r="43" customFormat="false" ht="15" hidden="false" customHeight="false" outlineLevel="0" collapsed="false">
      <c r="A43" s="39" t="s">
        <v>510</v>
      </c>
    </row>
    <row r="44" customFormat="false" ht="15" hidden="false" customHeight="false" outlineLevel="0" collapsed="false">
      <c r="A44" s="39" t="s">
        <v>517</v>
      </c>
    </row>
    <row r="45" customFormat="false" ht="15" hidden="false" customHeight="false" outlineLevel="0" collapsed="false">
      <c r="A45" s="39" t="s">
        <v>523</v>
      </c>
    </row>
    <row r="46" customFormat="false" ht="15" hidden="false" customHeight="false" outlineLevel="0" collapsed="false">
      <c r="A46" s="39" t="s">
        <v>528</v>
      </c>
    </row>
    <row r="47" customFormat="false" ht="15" hidden="false" customHeight="false" outlineLevel="0" collapsed="false">
      <c r="A47" s="39" t="s">
        <v>532</v>
      </c>
    </row>
    <row r="48" customFormat="false" ht="15" hidden="false" customHeight="false" outlineLevel="0" collapsed="false">
      <c r="A48" s="39" t="s">
        <v>541</v>
      </c>
    </row>
    <row r="49" customFormat="false" ht="15" hidden="false" customHeight="false" outlineLevel="0" collapsed="false">
      <c r="A49" s="39" t="s">
        <v>545</v>
      </c>
    </row>
    <row r="50" customFormat="false" ht="15" hidden="false" customHeight="false" outlineLevel="0" collapsed="false">
      <c r="A50" s="39" t="s">
        <v>553</v>
      </c>
    </row>
    <row r="51" customFormat="false" ht="15" hidden="false" customHeight="false" outlineLevel="0" collapsed="false">
      <c r="A51" s="39" t="s">
        <v>558</v>
      </c>
    </row>
    <row r="52" customFormat="false" ht="15" hidden="false" customHeight="false" outlineLevel="0" collapsed="false">
      <c r="A52" s="39" t="s">
        <v>565</v>
      </c>
    </row>
    <row r="53" customFormat="false" ht="15" hidden="false" customHeight="false" outlineLevel="0" collapsed="false">
      <c r="A53" s="39" t="s">
        <v>573</v>
      </c>
    </row>
    <row r="54" customFormat="false" ht="15" hidden="false" customHeight="false" outlineLevel="0" collapsed="false">
      <c r="A54" s="39" t="s">
        <v>581</v>
      </c>
    </row>
    <row r="55" customFormat="false" ht="15" hidden="false" customHeight="false" outlineLevel="0" collapsed="false">
      <c r="A55" s="39" t="s">
        <v>595</v>
      </c>
    </row>
    <row r="56" customFormat="false" ht="15" hidden="false" customHeight="false" outlineLevel="0" collapsed="false">
      <c r="A56" s="39" t="s">
        <v>601</v>
      </c>
    </row>
    <row r="57" customFormat="false" ht="15" hidden="false" customHeight="false" outlineLevel="0" collapsed="false">
      <c r="A57" s="39" t="s">
        <v>610</v>
      </c>
    </row>
    <row r="58" customFormat="false" ht="15" hidden="false" customHeight="false" outlineLevel="0" collapsed="false">
      <c r="A58" s="39" t="s">
        <v>616</v>
      </c>
    </row>
    <row r="59" customFormat="false" ht="15" hidden="false" customHeight="false" outlineLevel="0" collapsed="false">
      <c r="A59" s="39" t="s">
        <v>623</v>
      </c>
    </row>
    <row r="60" customFormat="false" ht="15" hidden="false" customHeight="false" outlineLevel="0" collapsed="false">
      <c r="A60" s="39" t="s">
        <v>636</v>
      </c>
    </row>
    <row r="61" customFormat="false" ht="15" hidden="false" customHeight="false" outlineLevel="0" collapsed="false">
      <c r="A61" s="39" t="s">
        <v>647</v>
      </c>
    </row>
    <row r="62" customFormat="false" ht="15" hidden="false" customHeight="false" outlineLevel="0" collapsed="false">
      <c r="A62" s="39" t="s">
        <v>660</v>
      </c>
    </row>
    <row r="63" customFormat="false" ht="15" hidden="false" customHeight="false" outlineLevel="0" collapsed="false">
      <c r="A63" s="39" t="s">
        <v>674</v>
      </c>
    </row>
    <row r="64" customFormat="false" ht="15" hidden="false" customHeight="false" outlineLevel="0" collapsed="false">
      <c r="A64" s="39" t="s">
        <v>682</v>
      </c>
    </row>
    <row r="65" customFormat="false" ht="15" hidden="false" customHeight="false" outlineLevel="0" collapsed="false">
      <c r="A65" s="39" t="s">
        <v>691</v>
      </c>
    </row>
    <row r="66" customFormat="false" ht="15" hidden="false" customHeight="false" outlineLevel="0" collapsed="false">
      <c r="A66" s="39" t="s">
        <v>699</v>
      </c>
    </row>
    <row r="67" customFormat="false" ht="15" hidden="false" customHeight="false" outlineLevel="0" collapsed="false">
      <c r="A67" s="39" t="s">
        <v>713</v>
      </c>
    </row>
    <row r="68" customFormat="false" ht="15" hidden="false" customHeight="false" outlineLevel="0" collapsed="false">
      <c r="A68" s="39" t="s">
        <v>720</v>
      </c>
    </row>
    <row r="69" customFormat="false" ht="15" hidden="false" customHeight="false" outlineLevel="0" collapsed="false">
      <c r="A69" s="39" t="s">
        <v>731</v>
      </c>
    </row>
    <row r="70" customFormat="false" ht="15" hidden="false" customHeight="false" outlineLevel="0" collapsed="false">
      <c r="A70" s="39" t="s">
        <v>738</v>
      </c>
    </row>
    <row r="71" customFormat="false" ht="15" hidden="false" customHeight="false" outlineLevel="0" collapsed="false">
      <c r="A71" s="39" t="s">
        <v>744</v>
      </c>
    </row>
    <row r="72" customFormat="false" ht="15" hidden="false" customHeight="false" outlineLevel="0" collapsed="false">
      <c r="A72" s="39" t="s">
        <v>753</v>
      </c>
    </row>
    <row r="73" customFormat="false" ht="15" hidden="false" customHeight="false" outlineLevel="0" collapsed="false">
      <c r="A73" s="39" t="s">
        <v>793</v>
      </c>
    </row>
    <row r="74" customFormat="false" ht="15" hidden="false" customHeight="false" outlineLevel="0" collapsed="false">
      <c r="A74" s="39" t="s">
        <v>803</v>
      </c>
    </row>
    <row r="75" customFormat="false" ht="15" hidden="false" customHeight="false" outlineLevel="0" collapsed="false">
      <c r="A75" s="39" t="s">
        <v>811</v>
      </c>
    </row>
    <row r="76" customFormat="false" ht="15" hidden="false" customHeight="false" outlineLevel="0" collapsed="false">
      <c r="A76" s="39" t="s">
        <v>821</v>
      </c>
    </row>
    <row r="77" customFormat="false" ht="15" hidden="false" customHeight="false" outlineLevel="0" collapsed="false">
      <c r="A77" s="39" t="s">
        <v>829</v>
      </c>
    </row>
    <row r="78" customFormat="false" ht="15" hidden="false" customHeight="false" outlineLevel="0" collapsed="false">
      <c r="A78" s="39" t="s">
        <v>842</v>
      </c>
    </row>
    <row r="79" customFormat="false" ht="15" hidden="false" customHeight="false" outlineLevel="0" collapsed="false">
      <c r="A79" s="39" t="s">
        <v>849</v>
      </c>
    </row>
    <row r="80" customFormat="false" ht="15" hidden="false" customHeight="false" outlineLevel="0" collapsed="false">
      <c r="A80" s="39" t="s">
        <v>883</v>
      </c>
    </row>
    <row r="81" customFormat="false" ht="15" hidden="false" customHeight="false" outlineLevel="0" collapsed="false">
      <c r="A81" s="39" t="s">
        <v>892</v>
      </c>
    </row>
    <row r="82" customFormat="false" ht="15" hidden="false" customHeight="false" outlineLevel="0" collapsed="false">
      <c r="A82" s="39" t="s">
        <v>897</v>
      </c>
    </row>
    <row r="83" customFormat="false" ht="15" hidden="false" customHeight="false" outlineLevel="0" collapsed="false">
      <c r="A83" s="39" t="s">
        <v>908</v>
      </c>
    </row>
    <row r="84" customFormat="false" ht="15" hidden="false" customHeight="false" outlineLevel="0" collapsed="false">
      <c r="A84" s="39" t="s">
        <v>923</v>
      </c>
    </row>
    <row r="85" customFormat="false" ht="15" hidden="false" customHeight="false" outlineLevel="0" collapsed="false">
      <c r="A85" s="39" t="s">
        <v>930</v>
      </c>
    </row>
    <row r="86" customFormat="false" ht="15" hidden="false" customHeight="false" outlineLevel="0" collapsed="false">
      <c r="A86" s="39" t="s">
        <v>942</v>
      </c>
    </row>
    <row r="87" customFormat="false" ht="15" hidden="false" customHeight="false" outlineLevel="0" collapsed="false">
      <c r="A87" s="39" t="s">
        <v>950</v>
      </c>
    </row>
    <row r="88" customFormat="false" ht="15" hidden="false" customHeight="false" outlineLevel="0" collapsed="false">
      <c r="A88" s="39" t="s">
        <v>959</v>
      </c>
    </row>
    <row r="89" customFormat="false" ht="15" hidden="false" customHeight="false" outlineLevel="0" collapsed="false">
      <c r="A89" s="39" t="s">
        <v>974</v>
      </c>
    </row>
    <row r="90" customFormat="false" ht="15" hidden="false" customHeight="false" outlineLevel="0" collapsed="false">
      <c r="A90" s="39" t="s">
        <v>990</v>
      </c>
    </row>
    <row r="91" customFormat="false" ht="15" hidden="false" customHeight="false" outlineLevel="0" collapsed="false">
      <c r="A91" s="39" t="s">
        <v>1001</v>
      </c>
    </row>
    <row r="92" customFormat="false" ht="15" hidden="false" customHeight="false" outlineLevel="0" collapsed="false">
      <c r="A92" s="39" t="s">
        <v>1013</v>
      </c>
    </row>
    <row r="93" customFormat="false" ht="15" hidden="false" customHeight="false" outlineLevel="0" collapsed="false">
      <c r="A93" s="39" t="s">
        <v>1022</v>
      </c>
    </row>
    <row r="94" customFormat="false" ht="15" hidden="false" customHeight="false" outlineLevel="0" collapsed="false">
      <c r="A94" s="47" t="s">
        <v>1033</v>
      </c>
    </row>
    <row r="95" customFormat="false" ht="15" hidden="false" customHeight="false" outlineLevel="0" collapsed="false">
      <c r="A95" s="39" t="s">
        <v>1040</v>
      </c>
    </row>
    <row r="96" customFormat="false" ht="15" hidden="false" customHeight="false" outlineLevel="0" collapsed="false">
      <c r="A96" s="39" t="s">
        <v>1044</v>
      </c>
    </row>
    <row r="97" customFormat="false" ht="15" hidden="false" customHeight="false" outlineLevel="0" collapsed="false">
      <c r="A97" s="39" t="s">
        <v>1058</v>
      </c>
    </row>
    <row r="98" customFormat="false" ht="15" hidden="false" customHeight="false" outlineLevel="0" collapsed="false">
      <c r="A98" s="39" t="s">
        <v>1067</v>
      </c>
    </row>
    <row r="99" customFormat="false" ht="15" hidden="false" customHeight="false" outlineLevel="0" collapsed="false">
      <c r="A99" s="39" t="s">
        <v>1074</v>
      </c>
    </row>
    <row r="100" customFormat="false" ht="15" hidden="false" customHeight="false" outlineLevel="0" collapsed="false">
      <c r="A100" s="39" t="s">
        <v>1082</v>
      </c>
    </row>
    <row r="101" customFormat="false" ht="15" hidden="false" customHeight="false" outlineLevel="0" collapsed="false">
      <c r="A101" s="39" t="s">
        <v>1091</v>
      </c>
    </row>
    <row r="102" customFormat="false" ht="15" hidden="false" customHeight="false" outlineLevel="0" collapsed="false">
      <c r="A102" s="39" t="s">
        <v>1098</v>
      </c>
    </row>
    <row r="103" customFormat="false" ht="15" hidden="false" customHeight="false" outlineLevel="0" collapsed="false">
      <c r="A103" s="39" t="s">
        <v>1119</v>
      </c>
    </row>
    <row r="104" customFormat="false" ht="15" hidden="false" customHeight="false" outlineLevel="0" collapsed="false">
      <c r="A104" s="39" t="s">
        <v>1131</v>
      </c>
    </row>
    <row r="105" customFormat="false" ht="15" hidden="false" customHeight="false" outlineLevel="0" collapsed="false">
      <c r="A105" s="39" t="s">
        <v>1137</v>
      </c>
    </row>
    <row r="106" customFormat="false" ht="15" hidden="false" customHeight="false" outlineLevel="0" collapsed="false">
      <c r="A106" s="39" t="s">
        <v>1143</v>
      </c>
    </row>
    <row r="107" customFormat="false" ht="15" hidden="false" customHeight="false" outlineLevel="0" collapsed="false">
      <c r="A107" s="39" t="s">
        <v>1151</v>
      </c>
    </row>
    <row r="108" customFormat="false" ht="15" hidden="false" customHeight="false" outlineLevel="0" collapsed="false">
      <c r="A108" s="39" t="s">
        <v>1161</v>
      </c>
    </row>
    <row r="109" customFormat="false" ht="15" hidden="false" customHeight="false" outlineLevel="0" collapsed="false">
      <c r="A109" s="39" t="s">
        <v>1171</v>
      </c>
    </row>
    <row r="110" customFormat="false" ht="15" hidden="false" customHeight="false" outlineLevel="0" collapsed="false">
      <c r="A110" s="39" t="s">
        <v>1192</v>
      </c>
    </row>
    <row r="111" customFormat="false" ht="15" hidden="false" customHeight="false" outlineLevel="0" collapsed="false">
      <c r="A111" s="39" t="s">
        <v>1204</v>
      </c>
    </row>
    <row r="112" customFormat="false" ht="15" hidden="false" customHeight="false" outlineLevel="0" collapsed="false">
      <c r="A112" s="39" t="s">
        <v>1214</v>
      </c>
    </row>
    <row r="113" customFormat="false" ht="15" hidden="false" customHeight="false" outlineLevel="0" collapsed="false">
      <c r="A113" s="39" t="s">
        <v>1221</v>
      </c>
    </row>
    <row r="114" customFormat="false" ht="15" hidden="false" customHeight="false" outlineLevel="0" collapsed="false">
      <c r="A114" s="39" t="s">
        <v>1226</v>
      </c>
    </row>
    <row r="115" customFormat="false" ht="15" hidden="false" customHeight="false" outlineLevel="0" collapsed="false">
      <c r="A115" s="39" t="s">
        <v>1232</v>
      </c>
    </row>
    <row r="116" customFormat="false" ht="15" hidden="false" customHeight="false" outlineLevel="0" collapsed="false">
      <c r="A116" s="39" t="s">
        <v>1237</v>
      </c>
    </row>
    <row r="117" customFormat="false" ht="15" hidden="false" customHeight="false" outlineLevel="0" collapsed="false">
      <c r="A117" s="39" t="s">
        <v>1242</v>
      </c>
    </row>
    <row r="118" customFormat="false" ht="15" hidden="false" customHeight="false" outlineLevel="0" collapsed="false">
      <c r="A118" s="39" t="s">
        <v>1245</v>
      </c>
    </row>
    <row r="119" customFormat="false" ht="15" hidden="false" customHeight="false" outlineLevel="0" collapsed="false">
      <c r="A119" s="39" t="s">
        <v>1252</v>
      </c>
    </row>
    <row r="120" customFormat="false" ht="15" hidden="false" customHeight="false" outlineLevel="0" collapsed="false">
      <c r="A120" s="5" t="s">
        <v>1267</v>
      </c>
    </row>
    <row r="121" customFormat="false" ht="15" hidden="false" customHeight="false" outlineLevel="0" collapsed="false">
      <c r="A121" s="5" t="s">
        <v>1279</v>
      </c>
    </row>
    <row r="122" customFormat="false" ht="15" hidden="false" customHeight="false" outlineLevel="0" collapsed="false">
      <c r="A122" s="47" t="s">
        <v>1289</v>
      </c>
    </row>
    <row r="123" customFormat="false" ht="15" hidden="false" customHeight="false" outlineLevel="0" collapsed="false">
      <c r="A123" s="47" t="s">
        <v>1299</v>
      </c>
    </row>
    <row r="124" customFormat="false" ht="15" hidden="false" customHeight="false" outlineLevel="0" collapsed="false">
      <c r="A124" s="47" t="s">
        <v>1307</v>
      </c>
    </row>
    <row r="125" customFormat="false" ht="15" hidden="false" customHeight="false" outlineLevel="0" collapsed="false">
      <c r="A125" s="47" t="s">
        <v>1314</v>
      </c>
    </row>
    <row r="126" customFormat="false" ht="15" hidden="false" customHeight="false" outlineLevel="0" collapsed="false">
      <c r="A126" s="47" t="s">
        <v>1337</v>
      </c>
    </row>
    <row r="127" customFormat="false" ht="15" hidden="false" customHeight="false" outlineLevel="0" collapsed="false">
      <c r="A127" s="47" t="s">
        <v>1344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showFormulas="false" showGridLines="true" showRowColHeaders="true" showZeros="true" rightToLeft="false" tabSelected="false" showOutlineSymbols="true" defaultGridColor="true" view="normal" topLeftCell="A7" colorId="64" zoomScale="235" zoomScaleNormal="235" zoomScalePageLayoutView="100" workbookViewId="0">
      <selection pane="topLeft" activeCell="A16" activeCellId="0" sqref="A16"/>
    </sheetView>
  </sheetViews>
  <sheetFormatPr defaultRowHeight="15" zeroHeight="false" outlineLevelRow="0" outlineLevelCol="0"/>
  <cols>
    <col collapsed="false" customWidth="true" hidden="false" outlineLevel="0" max="1" min="1" style="79" width="32.71"/>
    <col collapsed="false" customWidth="true" hidden="false" outlineLevel="0" max="2" min="2" style="79" width="11.99"/>
    <col collapsed="false" customWidth="true" hidden="false" outlineLevel="0" max="3" min="3" style="79" width="3.14"/>
    <col collapsed="false" customWidth="true" hidden="false" outlineLevel="0" max="4" min="4" style="79" width="14.57"/>
    <col collapsed="false" customWidth="true" hidden="false" outlineLevel="0" max="5" min="5" style="79" width="13.14"/>
    <col collapsed="false" customWidth="true" hidden="false" outlineLevel="0" max="6" min="6" style="79" width="2.14"/>
    <col collapsed="false" customWidth="true" hidden="false" outlineLevel="0" max="7" min="7" style="79" width="7.71"/>
    <col collapsed="false" customWidth="true" hidden="false" outlineLevel="0" max="8" min="8" style="79" width="8.29"/>
    <col collapsed="false" customWidth="true" hidden="false" outlineLevel="0" max="9" min="9" style="79" width="2.14"/>
    <col collapsed="false" customWidth="true" hidden="false" outlineLevel="0" max="11" min="10" style="79" width="7.71"/>
    <col collapsed="false" customWidth="false" hidden="false" outlineLevel="0" max="1025" min="12" style="79" width="11.42"/>
  </cols>
  <sheetData>
    <row r="1" customFormat="false" ht="20.25" hidden="false" customHeight="false" outlineLevel="0" collapsed="false">
      <c r="A1" s="80" t="s">
        <v>1386</v>
      </c>
      <c r="B1" s="80"/>
      <c r="C1" s="80"/>
      <c r="D1" s="80"/>
      <c r="E1" s="80"/>
      <c r="F1" s="81"/>
    </row>
    <row r="2" customFormat="false" ht="16.5" hidden="false" customHeight="false" outlineLevel="0" collapsed="false"/>
    <row r="3" customFormat="false" ht="18.75" hidden="false" customHeight="false" outlineLevel="0" collapsed="false">
      <c r="B3" s="82" t="s">
        <v>1387</v>
      </c>
      <c r="C3" s="82"/>
      <c r="D3" s="83" t="s">
        <v>1388</v>
      </c>
      <c r="E3" s="84"/>
      <c r="F3" s="85"/>
    </row>
    <row r="4" customFormat="false" ht="18.75" hidden="false" customHeight="false" outlineLevel="0" collapsed="false">
      <c r="A4" s="86" t="s">
        <v>1389</v>
      </c>
      <c r="B4" s="87" t="n">
        <f aca="false">COUNTIFS(LIBRO_SOCIOS!M:M,"ZITRON-ASCAZ HOSPITALARIA")</f>
        <v>74</v>
      </c>
      <c r="C4" s="88"/>
      <c r="D4" s="89" t="n">
        <v>36.5</v>
      </c>
      <c r="E4" s="90" t="n">
        <f aca="false">B4*D4</f>
        <v>2701</v>
      </c>
      <c r="F4" s="91"/>
      <c r="G4" s="92" t="n">
        <f aca="false">B4/B10</f>
        <v>0.354066985645933</v>
      </c>
      <c r="H4" s="93" t="n">
        <f aca="false">(B4+B5)/B10</f>
        <v>0.421052631578947</v>
      </c>
      <c r="K4" s="94" t="n">
        <f aca="false">(B4+B7)/B10</f>
        <v>0.837320574162679</v>
      </c>
    </row>
    <row r="5" customFormat="false" ht="18.75" hidden="false" customHeight="false" outlineLevel="0" collapsed="false">
      <c r="A5" s="95" t="s">
        <v>1390</v>
      </c>
      <c r="B5" s="96" t="n">
        <f aca="false">COUNTIFS(LIBRO_SOCIOS!M:M,"ZITRON-ASCAZ AMBULATORIA")</f>
        <v>14</v>
      </c>
      <c r="C5" s="97" t="n">
        <f aca="false">B4+B5</f>
        <v>88</v>
      </c>
      <c r="D5" s="98" t="n">
        <v>23.5</v>
      </c>
      <c r="E5" s="99" t="n">
        <f aca="false">B5*D5</f>
        <v>329</v>
      </c>
      <c r="F5" s="91"/>
      <c r="G5" s="100" t="n">
        <f aca="false">B5/B10</f>
        <v>0.0669856459330144</v>
      </c>
      <c r="H5" s="93"/>
      <c r="J5" s="101" t="n">
        <f aca="false">(B5+B8)/B10</f>
        <v>0.162679425837321</v>
      </c>
      <c r="K5" s="94"/>
    </row>
    <row r="6" customFormat="false" ht="18.75" hidden="false" customHeight="false" outlineLevel="0" collapsed="false">
      <c r="A6" s="95"/>
      <c r="B6" s="102"/>
      <c r="C6" s="103"/>
      <c r="D6" s="104"/>
      <c r="E6" s="99"/>
      <c r="F6" s="91"/>
      <c r="G6" s="105"/>
      <c r="H6" s="105"/>
      <c r="J6" s="101"/>
      <c r="K6" s="94"/>
    </row>
    <row r="7" customFormat="false" ht="18.75" hidden="false" customHeight="false" outlineLevel="0" collapsed="false">
      <c r="A7" s="95" t="s">
        <v>1391</v>
      </c>
      <c r="B7" s="96" t="n">
        <f aca="false">COUNTIFS(LIBRO_SOCIOS!M:M,"ASCAZ HOSPITALARIA")</f>
        <v>101</v>
      </c>
      <c r="C7" s="106"/>
      <c r="D7" s="104" t="n">
        <f aca="false">D4</f>
        <v>36.5</v>
      </c>
      <c r="E7" s="99" t="n">
        <f aca="false">B7*D7</f>
        <v>3686.5</v>
      </c>
      <c r="F7" s="91"/>
      <c r="G7" s="92" t="n">
        <f aca="false">B7/B10</f>
        <v>0.483253588516746</v>
      </c>
      <c r="H7" s="93" t="n">
        <f aca="false">(B7+B8)/B10</f>
        <v>0.578947368421053</v>
      </c>
      <c r="J7" s="101"/>
      <c r="K7" s="94"/>
    </row>
    <row r="8" customFormat="false" ht="18.75" hidden="false" customHeight="false" outlineLevel="0" collapsed="false">
      <c r="A8" s="107" t="s">
        <v>1392</v>
      </c>
      <c r="B8" s="108" t="n">
        <f aca="false">COUNTIFS(LIBRO_SOCIOS!M:M,"ASCAZ AMBULATORIA")</f>
        <v>20</v>
      </c>
      <c r="C8" s="109" t="n">
        <f aca="false">B7+B8</f>
        <v>121</v>
      </c>
      <c r="D8" s="110" t="n">
        <f aca="false">D5</f>
        <v>23.5</v>
      </c>
      <c r="E8" s="111" t="n">
        <f aca="false">B8*D8</f>
        <v>470</v>
      </c>
      <c r="F8" s="91"/>
      <c r="G8" s="100" t="n">
        <f aca="false">B8/B10</f>
        <v>0.0956937799043062</v>
      </c>
      <c r="H8" s="93"/>
      <c r="J8" s="101"/>
    </row>
    <row r="9" customFormat="false" ht="15.75" hidden="false" customHeight="false" outlineLevel="0" collapsed="false">
      <c r="E9" s="112"/>
      <c r="F9" s="112"/>
    </row>
    <row r="10" customFormat="false" ht="15.75" hidden="false" customHeight="false" outlineLevel="0" collapsed="false">
      <c r="B10" s="113" t="n">
        <f aca="false">SUM(B4:B8)</f>
        <v>209</v>
      </c>
      <c r="C10" s="114"/>
      <c r="E10" s="115" t="n">
        <f aca="false">SUM(E4:E8)</f>
        <v>7186.5</v>
      </c>
      <c r="F10" s="116"/>
    </row>
    <row r="11" customFormat="false" ht="15.75" hidden="false" customHeight="false" outlineLevel="0" collapsed="false"/>
    <row r="12" customFormat="false" ht="15.75" hidden="false" customHeight="false" outlineLevel="0" collapsed="false">
      <c r="E12" s="115" t="n">
        <f aca="false">E10*12</f>
        <v>86238</v>
      </c>
    </row>
    <row r="13" customFormat="false" ht="15.75" hidden="false" customHeight="false" outlineLevel="0" collapsed="false"/>
  </sheetData>
  <sheetProtection sheet="true" objects="true" scenarios="true"/>
  <mergeCells count="6">
    <mergeCell ref="A1:E1"/>
    <mergeCell ref="B3:C3"/>
    <mergeCell ref="H4:H5"/>
    <mergeCell ref="K4:K7"/>
    <mergeCell ref="J5:J8"/>
    <mergeCell ref="H7:H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0"/>
  <sheetViews>
    <sheetView showFormulas="false" showGridLines="true" showRowColHeaders="true" showZeros="true" rightToLeft="false" tabSelected="false" showOutlineSymbols="true" defaultGridColor="true" view="normal" topLeftCell="A4" colorId="64" zoomScale="171" zoomScaleNormal="171" zoomScalePageLayoutView="100" workbookViewId="0">
      <selection pane="topLeft" activeCell="D12" activeCellId="0" sqref="D12"/>
    </sheetView>
  </sheetViews>
  <sheetFormatPr defaultRowHeight="15" zeroHeight="false" outlineLevelRow="0" outlineLevelCol="0"/>
  <cols>
    <col collapsed="false" customWidth="true" hidden="false" outlineLevel="0" max="1" min="1" style="117" width="3.57"/>
    <col collapsed="false" customWidth="false" hidden="false" outlineLevel="0" max="5" min="2" style="117" width="11.42"/>
    <col collapsed="false" customWidth="true" hidden="false" outlineLevel="0" max="6" min="6" style="117" width="3.99"/>
    <col collapsed="false" customWidth="false" hidden="false" outlineLevel="0" max="10" min="7" style="117" width="11.42"/>
    <col collapsed="false" customWidth="true" hidden="false" outlineLevel="0" max="11" min="11" style="117" width="4.14"/>
    <col collapsed="false" customWidth="false" hidden="false" outlineLevel="0" max="15" min="12" style="117" width="11.42"/>
    <col collapsed="false" customWidth="true" hidden="false" outlineLevel="0" max="16" min="16" style="117" width="4.57"/>
    <col collapsed="false" customWidth="false" hidden="false" outlineLevel="0" max="1025" min="17" style="117" width="11.42"/>
  </cols>
  <sheetData>
    <row r="1" customFormat="false" ht="15" hidden="false" customHeight="true" outlineLevel="0" collapsed="false">
      <c r="A1" s="118" t="s">
        <v>1393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</row>
    <row r="2" customFormat="false" ht="15.75" hidden="false" customHeight="true" outlineLevel="0" collapsed="false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</row>
    <row r="3" customFormat="false" ht="15.75" hidden="false" customHeight="false" outlineLevel="0" collapsed="false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</row>
    <row r="4" customFormat="false" ht="8.25" hidden="false" customHeight="true" outlineLevel="0" collapsed="false"/>
    <row r="5" customFormat="false" ht="8.25" hidden="false" customHeight="true" outlineLevel="0" collapsed="false"/>
    <row r="6" customFormat="false" ht="15" hidden="false" customHeight="false" outlineLevel="0" collapsed="false">
      <c r="A6" s="119"/>
      <c r="B6" s="120" t="s">
        <v>61</v>
      </c>
      <c r="C6" s="120"/>
      <c r="D6" s="121" t="n">
        <f aca="false">C18/M18</f>
        <v>0.167487684729064</v>
      </c>
      <c r="E6" s="121"/>
      <c r="F6" s="122"/>
      <c r="G6" s="120" t="s">
        <v>36</v>
      </c>
      <c r="H6" s="120"/>
      <c r="I6" s="121" t="n">
        <f aca="false">H18/M18</f>
        <v>0.832512315270936</v>
      </c>
      <c r="J6" s="121"/>
      <c r="K6" s="122"/>
      <c r="L6" s="120" t="s">
        <v>1394</v>
      </c>
      <c r="M6" s="120"/>
      <c r="N6" s="123" t="n">
        <f aca="false">I6+D6</f>
        <v>1</v>
      </c>
      <c r="O6" s="123"/>
      <c r="P6" s="124"/>
    </row>
    <row r="7" customFormat="false" ht="15" hidden="false" customHeight="false" outlineLevel="0" collapsed="false">
      <c r="A7" s="125"/>
      <c r="B7" s="120"/>
      <c r="C7" s="120"/>
      <c r="D7" s="121"/>
      <c r="E7" s="121"/>
      <c r="F7" s="126"/>
      <c r="G7" s="120"/>
      <c r="H7" s="120"/>
      <c r="I7" s="121"/>
      <c r="J7" s="121"/>
      <c r="K7" s="126"/>
      <c r="L7" s="120"/>
      <c r="M7" s="120"/>
      <c r="N7" s="123"/>
      <c r="O7" s="123"/>
      <c r="P7" s="127"/>
    </row>
    <row r="8" customFormat="false" ht="21" hidden="false" customHeight="false" outlineLevel="0" collapsed="false">
      <c r="A8" s="125"/>
      <c r="B8" s="128"/>
      <c r="C8" s="128"/>
      <c r="D8" s="129"/>
      <c r="E8" s="129"/>
      <c r="F8" s="126"/>
      <c r="G8" s="128"/>
      <c r="H8" s="128"/>
      <c r="I8" s="129"/>
      <c r="J8" s="129"/>
      <c r="K8" s="126"/>
      <c r="L8" s="128"/>
      <c r="M8" s="128"/>
      <c r="N8" s="130"/>
      <c r="O8" s="130"/>
      <c r="P8" s="127"/>
    </row>
    <row r="9" customFormat="false" ht="15" hidden="false" customHeight="false" outlineLevel="0" collapsed="false">
      <c r="A9" s="131"/>
      <c r="B9" s="132" t="s">
        <v>1395</v>
      </c>
      <c r="C9" s="132" t="n">
        <f aca="false">COUNTIFS(LIBRO_SOCIOS!V:V,"&gt;65",LIBRO_SOCIOS!L:L,"ambulatoria")</f>
        <v>3</v>
      </c>
      <c r="D9" s="133" t="n">
        <f aca="false">(C9/$C$18)</f>
        <v>0.0882352941176471</v>
      </c>
      <c r="E9" s="133" t="n">
        <f aca="false">E10+D9</f>
        <v>1</v>
      </c>
      <c r="F9" s="126"/>
      <c r="G9" s="132" t="s">
        <v>1395</v>
      </c>
      <c r="H9" s="132" t="n">
        <f aca="false">COUNTIFS(LIBRO_SOCIOS!V:V,"&gt;65",LIBRO_SOCIOS!L:L,"HOSPITALARIA")</f>
        <v>9</v>
      </c>
      <c r="I9" s="133" t="n">
        <f aca="false">(H9/$H$18)</f>
        <v>0.0532544378698225</v>
      </c>
      <c r="J9" s="133" t="n">
        <f aca="false">J10+I9</f>
        <v>1</v>
      </c>
      <c r="K9" s="126"/>
      <c r="L9" s="132" t="s">
        <v>1395</v>
      </c>
      <c r="M9" s="132" t="n">
        <f aca="false">C9+H9</f>
        <v>12</v>
      </c>
      <c r="N9" s="133" t="n">
        <f aca="false">(M9/$M$18)</f>
        <v>0.0591133004926108</v>
      </c>
      <c r="O9" s="133" t="n">
        <f aca="false">O10+N9</f>
        <v>1</v>
      </c>
      <c r="P9" s="127"/>
    </row>
    <row r="10" customFormat="false" ht="15" hidden="false" customHeight="false" outlineLevel="0" collapsed="false">
      <c r="A10" s="131"/>
      <c r="B10" s="132" t="s">
        <v>1396</v>
      </c>
      <c r="C10" s="132" t="n">
        <f aca="false">COUNTIFS(LIBRO_SOCIOS!V:V,"&gt;50",LIBRO_SOCIOS!V:V,"&lt;66",LIBRO_SOCIOS!L:L,"ambulatoria")</f>
        <v>6</v>
      </c>
      <c r="D10" s="133" t="n">
        <f aca="false">(C10/$C$18)</f>
        <v>0.176470588235294</v>
      </c>
      <c r="E10" s="133" t="n">
        <f aca="false">E11+D10</f>
        <v>0.911764705882353</v>
      </c>
      <c r="F10" s="126"/>
      <c r="G10" s="132" t="s">
        <v>1396</v>
      </c>
      <c r="H10" s="132" t="n">
        <f aca="false">COUNTIFS(LIBRO_SOCIOS!V:V,"&gt;50",LIBRO_SOCIOS!V:V,"&lt;66",LIBRO_SOCIOS!L:L,"HOSPITALARIA")</f>
        <v>36</v>
      </c>
      <c r="I10" s="133" t="n">
        <f aca="false">(H10/$H$18)</f>
        <v>0.21301775147929</v>
      </c>
      <c r="J10" s="133" t="n">
        <f aca="false">J11+I10</f>
        <v>0.946745562130177</v>
      </c>
      <c r="K10" s="126"/>
      <c r="L10" s="132" t="s">
        <v>1396</v>
      </c>
      <c r="M10" s="132" t="n">
        <f aca="false">C10+H10</f>
        <v>42</v>
      </c>
      <c r="N10" s="133" t="n">
        <f aca="false">(M10/$M$18)</f>
        <v>0.206896551724138</v>
      </c>
      <c r="O10" s="133" t="n">
        <f aca="false">O11+N10</f>
        <v>0.940886699507389</v>
      </c>
      <c r="P10" s="127"/>
    </row>
    <row r="11" customFormat="false" ht="15" hidden="false" customHeight="false" outlineLevel="0" collapsed="false">
      <c r="A11" s="131"/>
      <c r="B11" s="132" t="s">
        <v>1397</v>
      </c>
      <c r="C11" s="132" t="n">
        <f aca="false">COUNTIFS(LIBRO_SOCIOS!V:V,"&gt;40",LIBRO_SOCIOS!V:V,"&lt;51",LIBRO_SOCIOS!L:L,"ambulatoria")</f>
        <v>4</v>
      </c>
      <c r="D11" s="133" t="n">
        <f aca="false">(C11/$C$18)</f>
        <v>0.117647058823529</v>
      </c>
      <c r="E11" s="133" t="n">
        <f aca="false">E12+D11</f>
        <v>0.735294117647059</v>
      </c>
      <c r="F11" s="126"/>
      <c r="G11" s="132" t="s">
        <v>1397</v>
      </c>
      <c r="H11" s="132" t="n">
        <f aca="false">COUNTIFS(LIBRO_SOCIOS!V:V,"&gt;40",LIBRO_SOCIOS!V:V,"&lt;51",LIBRO_SOCIOS!L:L,"HOSPITALARIA")</f>
        <v>50</v>
      </c>
      <c r="I11" s="133" t="n">
        <f aca="false">(H11/$H$18)</f>
        <v>0.29585798816568</v>
      </c>
      <c r="J11" s="133" t="n">
        <f aca="false">J12+I11</f>
        <v>0.733727810650888</v>
      </c>
      <c r="K11" s="126"/>
      <c r="L11" s="132" t="s">
        <v>1397</v>
      </c>
      <c r="M11" s="132" t="n">
        <f aca="false">C11+H11</f>
        <v>54</v>
      </c>
      <c r="N11" s="133" t="n">
        <f aca="false">(M11/$M$18)</f>
        <v>0.266009852216749</v>
      </c>
      <c r="O11" s="133" t="n">
        <f aca="false">O12+N11</f>
        <v>0.733990147783251</v>
      </c>
      <c r="P11" s="127"/>
    </row>
    <row r="12" customFormat="false" ht="15" hidden="false" customHeight="false" outlineLevel="0" collapsed="false">
      <c r="A12" s="131"/>
      <c r="B12" s="132" t="s">
        <v>1398</v>
      </c>
      <c r="C12" s="132" t="n">
        <f aca="false">COUNTIFS(LIBRO_SOCIOS!V:V,"&gt;30",LIBRO_SOCIOS!V:V,"&lt;41",LIBRO_SOCIOS!L:L,"ambulatoria")</f>
        <v>5</v>
      </c>
      <c r="D12" s="133" t="n">
        <f aca="false">(C12/$C$18)</f>
        <v>0.147058823529412</v>
      </c>
      <c r="E12" s="133" t="n">
        <f aca="false">E13+D12</f>
        <v>0.617647058823529</v>
      </c>
      <c r="F12" s="126"/>
      <c r="G12" s="132" t="s">
        <v>1398</v>
      </c>
      <c r="H12" s="132" t="n">
        <f aca="false">COUNTIFS(LIBRO_SOCIOS!V:V,"&gt;30",LIBRO_SOCIOS!V:V,"&lt;41",LIBRO_SOCIOS!L:L,"HOSPITALARIA")</f>
        <v>55</v>
      </c>
      <c r="I12" s="133" t="n">
        <f aca="false">(H12/$H$18)</f>
        <v>0.325443786982248</v>
      </c>
      <c r="J12" s="133" t="n">
        <f aca="false">J13+I12</f>
        <v>0.437869822485207</v>
      </c>
      <c r="K12" s="126"/>
      <c r="L12" s="132" t="s">
        <v>1398</v>
      </c>
      <c r="M12" s="132" t="n">
        <f aca="false">C12+H12</f>
        <v>60</v>
      </c>
      <c r="N12" s="133" t="n">
        <f aca="false">(M12/$M$18)</f>
        <v>0.295566502463054</v>
      </c>
      <c r="O12" s="133" t="n">
        <f aca="false">O13+N12</f>
        <v>0.467980295566503</v>
      </c>
      <c r="P12" s="127"/>
    </row>
    <row r="13" customFormat="false" ht="15" hidden="false" customHeight="false" outlineLevel="0" collapsed="false">
      <c r="A13" s="131"/>
      <c r="B13" s="132" t="s">
        <v>1399</v>
      </c>
      <c r="C13" s="132" t="n">
        <f aca="false">COUNTIFS(LIBRO_SOCIOS!V:V,"&gt;20",LIBRO_SOCIOS!V:V,"&lt;31",LIBRO_SOCIOS!L:L,"ambulatoria")</f>
        <v>2</v>
      </c>
      <c r="D13" s="133" t="n">
        <f aca="false">(C13/$C$18)</f>
        <v>0.0588235294117647</v>
      </c>
      <c r="E13" s="133" t="n">
        <f aca="false">E14+D13</f>
        <v>0.470588235294118</v>
      </c>
      <c r="F13" s="126"/>
      <c r="G13" s="132" t="s">
        <v>1399</v>
      </c>
      <c r="H13" s="132" t="n">
        <f aca="false">COUNTIFS(LIBRO_SOCIOS!V:V,"&gt;20",LIBRO_SOCIOS!V:V,"&lt;31",LIBRO_SOCIOS!L:L,"HOSPITALARIA")</f>
        <v>6</v>
      </c>
      <c r="I13" s="133" t="n">
        <f aca="false">(H13/$H$18)</f>
        <v>0.0355029585798817</v>
      </c>
      <c r="J13" s="133" t="n">
        <f aca="false">J14+I13</f>
        <v>0.112426035502959</v>
      </c>
      <c r="K13" s="126"/>
      <c r="L13" s="132" t="s">
        <v>1399</v>
      </c>
      <c r="M13" s="132" t="n">
        <f aca="false">C13+H13</f>
        <v>8</v>
      </c>
      <c r="N13" s="133" t="n">
        <f aca="false">(M13/$M$18)</f>
        <v>0.0394088669950739</v>
      </c>
      <c r="O13" s="133" t="n">
        <f aca="false">O14+N13</f>
        <v>0.172413793103448</v>
      </c>
      <c r="P13" s="127"/>
    </row>
    <row r="14" customFormat="false" ht="15" hidden="false" customHeight="false" outlineLevel="0" collapsed="false">
      <c r="A14" s="131"/>
      <c r="B14" s="134" t="s">
        <v>1400</v>
      </c>
      <c r="C14" s="132" t="n">
        <f aca="false">COUNTIFS(LIBRO_SOCIOS!V:V,"&gt;10",LIBRO_SOCIOS!V:V,"&lt;21",LIBRO_SOCIOS!L:L,"ambulatoria")</f>
        <v>3</v>
      </c>
      <c r="D14" s="133" t="n">
        <f aca="false">(C14/$C$18)</f>
        <v>0.0882352941176471</v>
      </c>
      <c r="E14" s="133" t="n">
        <f aca="false">D15+D14</f>
        <v>0.411764705882353</v>
      </c>
      <c r="F14" s="126"/>
      <c r="G14" s="134" t="s">
        <v>1400</v>
      </c>
      <c r="H14" s="132" t="n">
        <f aca="false">COUNTIFS(LIBRO_SOCIOS!V:V,"&gt;10",LIBRO_SOCIOS!V:V,"&lt;21",LIBRO_SOCIOS!L:L,"HOSPITALARIA")</f>
        <v>4</v>
      </c>
      <c r="I14" s="133" t="n">
        <f aca="false">(H14/$H$18)</f>
        <v>0.0236686390532544</v>
      </c>
      <c r="J14" s="133" t="n">
        <f aca="false">I15+I14</f>
        <v>0.0769230769230769</v>
      </c>
      <c r="K14" s="126"/>
      <c r="L14" s="134" t="s">
        <v>1400</v>
      </c>
      <c r="M14" s="132" t="n">
        <f aca="false">C14+H14</f>
        <v>7</v>
      </c>
      <c r="N14" s="133" t="n">
        <f aca="false">(M14/$M$18)</f>
        <v>0.0344827586206897</v>
      </c>
      <c r="O14" s="133" t="n">
        <f aca="false">N15+N14</f>
        <v>0.133004926108374</v>
      </c>
      <c r="P14" s="127"/>
    </row>
    <row r="15" customFormat="false" ht="15" hidden="false" customHeight="false" outlineLevel="0" collapsed="false">
      <c r="A15" s="131"/>
      <c r="B15" s="135" t="s">
        <v>1401</v>
      </c>
      <c r="C15" s="132" t="n">
        <f aca="false">COUNTIFS(LIBRO_SOCIOS!V:V,"&gt;0",LIBRO_SOCIOS!V:V,"&lt;11",LIBRO_SOCIOS!L:L,"ambulatoria")</f>
        <v>11</v>
      </c>
      <c r="D15" s="133" t="n">
        <f aca="false">(C15/$C$18)</f>
        <v>0.323529411764706</v>
      </c>
      <c r="F15" s="126"/>
      <c r="G15" s="135" t="s">
        <v>1401</v>
      </c>
      <c r="H15" s="132" t="n">
        <f aca="false">COUNTIFS(LIBRO_SOCIOS!V:V,"&gt;0",LIBRO_SOCIOS!V:V,"&lt;11",LIBRO_SOCIOS!L:L,"HOSPITALARIA")</f>
        <v>9</v>
      </c>
      <c r="I15" s="133" t="n">
        <f aca="false">(H15/$H$18)</f>
        <v>0.0532544378698225</v>
      </c>
      <c r="K15" s="126"/>
      <c r="L15" s="135" t="s">
        <v>1401</v>
      </c>
      <c r="M15" s="132" t="n">
        <f aca="false">C15+H15</f>
        <v>20</v>
      </c>
      <c r="N15" s="133" t="n">
        <f aca="false">(M15/$M$18)</f>
        <v>0.0985221674876847</v>
      </c>
      <c r="P15" s="127"/>
    </row>
    <row r="16" customFormat="false" ht="15" hidden="false" customHeight="false" outlineLevel="0" collapsed="false">
      <c r="A16" s="131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7"/>
    </row>
    <row r="17" customFormat="false" ht="15" hidden="false" customHeight="false" outlineLevel="0" collapsed="false">
      <c r="A17" s="131"/>
      <c r="B17" s="132"/>
      <c r="C17" s="132"/>
      <c r="D17" s="133"/>
      <c r="E17" s="133"/>
      <c r="F17" s="126"/>
      <c r="G17" s="132"/>
      <c r="H17" s="132"/>
      <c r="I17" s="136"/>
      <c r="J17" s="133"/>
      <c r="K17" s="126"/>
      <c r="L17" s="132"/>
      <c r="M17" s="132"/>
      <c r="N17" s="133"/>
      <c r="O17" s="133"/>
      <c r="P17" s="127"/>
    </row>
    <row r="18" customFormat="false" ht="15.75" hidden="false" customHeight="false" outlineLevel="0" collapsed="false">
      <c r="A18" s="131"/>
      <c r="B18" s="137" t="s">
        <v>1394</v>
      </c>
      <c r="C18" s="138" t="n">
        <f aca="false">SUM(C9:C15)</f>
        <v>34</v>
      </c>
      <c r="D18" s="139" t="s">
        <v>1402</v>
      </c>
      <c r="E18" s="140" t="n">
        <f aca="false">((5*C15)+(15*C14)+(25*C13)+(35*C12)+(45*C11)+(60*C10)+(70*C9))/C18</f>
        <v>31.6176470588235</v>
      </c>
      <c r="F18" s="126"/>
      <c r="G18" s="137" t="s">
        <v>1394</v>
      </c>
      <c r="H18" s="138" t="n">
        <f aca="false">SUM(H9:H15)</f>
        <v>169</v>
      </c>
      <c r="I18" s="139" t="s">
        <v>1402</v>
      </c>
      <c r="J18" s="140" t="n">
        <f aca="false">((5*H15)+(15*H14)+(25*H13)+(35*H12)+(45*H11)+(60*H10)+(70*H9))/H18</f>
        <v>42.7218934911243</v>
      </c>
      <c r="K18" s="126"/>
      <c r="L18" s="137" t="s">
        <v>1394</v>
      </c>
      <c r="M18" s="138" t="n">
        <f aca="false">SUM(M9:M15)</f>
        <v>203</v>
      </c>
      <c r="N18" s="139" t="s">
        <v>1402</v>
      </c>
      <c r="O18" s="140" t="n">
        <f aca="false">((5*M15)+(15*M14)+(25*M13)+(35*M12)+(45*M11)+(60*M10)+(70*M9))/M18</f>
        <v>40.8620689655172</v>
      </c>
      <c r="P18" s="127"/>
    </row>
    <row r="19" customFormat="false" ht="15" hidden="false" customHeight="false" outlineLevel="0" collapsed="false">
      <c r="A19" s="131"/>
      <c r="B19" s="132"/>
      <c r="C19" s="141"/>
      <c r="D19" s="136"/>
      <c r="E19" s="136"/>
      <c r="F19" s="126"/>
      <c r="G19" s="132"/>
      <c r="H19" s="132"/>
      <c r="I19" s="136"/>
      <c r="J19" s="136"/>
      <c r="K19" s="126"/>
      <c r="L19" s="132"/>
      <c r="M19" s="141"/>
      <c r="N19" s="136"/>
      <c r="O19" s="136"/>
      <c r="P19" s="127"/>
    </row>
    <row r="20" customFormat="false" ht="15.75" hidden="false" customHeight="false" outlineLevel="0" collapsed="false">
      <c r="A20" s="142"/>
      <c r="B20" s="143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5"/>
    </row>
  </sheetData>
  <sheetProtection sheet="true" objects="true" scenarios="true"/>
  <mergeCells count="7">
    <mergeCell ref="A1:P3"/>
    <mergeCell ref="B6:C7"/>
    <mergeCell ref="D6:E7"/>
    <mergeCell ref="G6:H7"/>
    <mergeCell ref="I6:J7"/>
    <mergeCell ref="L6:M7"/>
    <mergeCell ref="N6:O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7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Z25" activeCellId="0" sqref="Z25"/>
    </sheetView>
  </sheetViews>
  <sheetFormatPr defaultRowHeight="15" zeroHeight="false" outlineLevelRow="0" outlineLevelCol="0"/>
  <cols>
    <col collapsed="false" customWidth="true" hidden="false" outlineLevel="0" max="1" min="1" style="117" width="4.86"/>
    <col collapsed="false" customWidth="true" hidden="false" outlineLevel="0" max="3" min="2" style="117" width="12.86"/>
    <col collapsed="false" customWidth="true" hidden="false" outlineLevel="0" max="4" min="4" style="117" width="11.86"/>
    <col collapsed="false" customWidth="true" hidden="false" outlineLevel="0" max="5" min="5" style="117" width="8.71"/>
    <col collapsed="false" customWidth="true" hidden="false" outlineLevel="0" max="6" min="6" style="117" width="4.86"/>
    <col collapsed="false" customWidth="true" hidden="false" outlineLevel="0" max="8" min="7" style="117" width="12.86"/>
    <col collapsed="false" customWidth="true" hidden="false" outlineLevel="0" max="10" min="9" style="117" width="8.71"/>
    <col collapsed="false" customWidth="true" hidden="false" outlineLevel="0" max="11" min="11" style="117" width="4.86"/>
    <col collapsed="false" customWidth="true" hidden="false" outlineLevel="0" max="12" min="12" style="117" width="12.57"/>
    <col collapsed="false" customWidth="true" hidden="false" outlineLevel="0" max="15" min="13" style="117" width="8.71"/>
    <col collapsed="false" customWidth="true" hidden="false" outlineLevel="0" max="16" min="16" style="117" width="4.86"/>
    <col collapsed="false" customWidth="true" hidden="false" outlineLevel="0" max="18" min="17" style="117" width="2.57"/>
    <col collapsed="false" customWidth="true" hidden="false" outlineLevel="0" max="19" min="19" style="117" width="4.71"/>
    <col collapsed="false" customWidth="true" hidden="false" outlineLevel="0" max="21" min="20" style="117" width="12.86"/>
    <col collapsed="false" customWidth="true" hidden="false" outlineLevel="0" max="23" min="22" style="117" width="8.71"/>
    <col collapsed="false" customWidth="true" hidden="false" outlineLevel="0" max="24" min="24" style="117" width="4.71"/>
    <col collapsed="false" customWidth="true" hidden="false" outlineLevel="0" max="26" min="25" style="117" width="12.86"/>
    <col collapsed="false" customWidth="true" hidden="false" outlineLevel="0" max="28" min="27" style="117" width="8.71"/>
    <col collapsed="false" customWidth="true" hidden="false" outlineLevel="0" max="29" min="29" style="117" width="4.71"/>
    <col collapsed="false" customWidth="true" hidden="false" outlineLevel="0" max="33" min="30" style="117" width="8.71"/>
    <col collapsed="false" customWidth="true" hidden="false" outlineLevel="0" max="34" min="34" style="117" width="4.71"/>
    <col collapsed="false" customWidth="true" hidden="false" outlineLevel="0" max="36" min="35" style="117" width="2.57"/>
    <col collapsed="false" customWidth="true" hidden="false" outlineLevel="0" max="37" min="37" style="117" width="4.71"/>
    <col collapsed="false" customWidth="true" hidden="false" outlineLevel="0" max="39" min="38" style="117" width="12.86"/>
    <col collapsed="false" customWidth="true" hidden="false" outlineLevel="0" max="41" min="40" style="117" width="8.71"/>
    <col collapsed="false" customWidth="true" hidden="false" outlineLevel="0" max="42" min="42" style="117" width="4.71"/>
    <col collapsed="false" customWidth="true" hidden="false" outlineLevel="0" max="44" min="43" style="117" width="12.86"/>
    <col collapsed="false" customWidth="true" hidden="false" outlineLevel="0" max="46" min="45" style="117" width="8.71"/>
    <col collapsed="false" customWidth="true" hidden="false" outlineLevel="0" max="47" min="47" style="117" width="4.71"/>
    <col collapsed="false" customWidth="true" hidden="false" outlineLevel="0" max="51" min="48" style="117" width="8.71"/>
    <col collapsed="false" customWidth="true" hidden="false" outlineLevel="0" max="53" min="52" style="117" width="4.71"/>
    <col collapsed="false" customWidth="false" hidden="false" outlineLevel="0" max="1025" min="54" style="117" width="11.42"/>
  </cols>
  <sheetData>
    <row r="1" customFormat="false" ht="18.75" hidden="false" customHeight="false" outlineLevel="0" collapsed="false">
      <c r="A1" s="146" t="s">
        <v>2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S1" s="147" t="s">
        <v>69</v>
      </c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K1" s="148" t="s">
        <v>1394</v>
      </c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</row>
    <row r="2" customFormat="false" ht="15.75" hidden="false" customHeight="false" outlineLevel="0" collapsed="false"/>
    <row r="3" customFormat="false" ht="15" hidden="false" customHeight="true" outlineLevel="0" collapsed="false">
      <c r="A3" s="119"/>
      <c r="B3" s="120" t="s">
        <v>61</v>
      </c>
      <c r="C3" s="120"/>
      <c r="D3" s="121" t="n">
        <f aca="false">C25/M25</f>
        <v>0.164705882352941</v>
      </c>
      <c r="E3" s="121"/>
      <c r="F3" s="122"/>
      <c r="G3" s="120" t="s">
        <v>36</v>
      </c>
      <c r="H3" s="120"/>
      <c r="I3" s="121" t="n">
        <f aca="false">H25/M25</f>
        <v>0.835294117647059</v>
      </c>
      <c r="J3" s="121"/>
      <c r="K3" s="122"/>
      <c r="L3" s="120" t="s">
        <v>1394</v>
      </c>
      <c r="M3" s="120"/>
      <c r="N3" s="123" t="n">
        <f aca="false">I3+D3</f>
        <v>1</v>
      </c>
      <c r="O3" s="123"/>
      <c r="P3" s="124"/>
      <c r="S3" s="119"/>
      <c r="T3" s="120" t="s">
        <v>61</v>
      </c>
      <c r="U3" s="120"/>
      <c r="V3" s="121" t="n">
        <f aca="false">U25/AE25</f>
        <v>0.169491525423729</v>
      </c>
      <c r="W3" s="121"/>
      <c r="X3" s="122"/>
      <c r="Y3" s="120" t="s">
        <v>36</v>
      </c>
      <c r="Z3" s="120"/>
      <c r="AA3" s="121" t="n">
        <f aca="false">Z25/AE25</f>
        <v>0.830508474576271</v>
      </c>
      <c r="AB3" s="121"/>
      <c r="AC3" s="122"/>
      <c r="AD3" s="120" t="s">
        <v>1394</v>
      </c>
      <c r="AE3" s="120"/>
      <c r="AF3" s="123" t="n">
        <f aca="false">AA3+V3</f>
        <v>1</v>
      </c>
      <c r="AG3" s="123"/>
      <c r="AH3" s="124"/>
      <c r="AK3" s="119"/>
      <c r="AL3" s="120" t="s">
        <v>61</v>
      </c>
      <c r="AM3" s="120"/>
      <c r="AN3" s="121" t="n">
        <f aca="false">AM25/AW25</f>
        <v>0.167487684729064</v>
      </c>
      <c r="AO3" s="121"/>
      <c r="AP3" s="122"/>
      <c r="AQ3" s="120" t="s">
        <v>36</v>
      </c>
      <c r="AR3" s="120"/>
      <c r="AS3" s="121" t="n">
        <f aca="false">AR25/AW25</f>
        <v>0.832512315270936</v>
      </c>
      <c r="AT3" s="121"/>
      <c r="AU3" s="122"/>
      <c r="AV3" s="120" t="s">
        <v>1394</v>
      </c>
      <c r="AW3" s="120"/>
      <c r="AX3" s="123" t="n">
        <f aca="false">AS3+AN3</f>
        <v>1</v>
      </c>
      <c r="AY3" s="123"/>
      <c r="AZ3" s="124"/>
    </row>
    <row r="4" customFormat="false" ht="15" hidden="false" customHeight="true" outlineLevel="0" collapsed="false">
      <c r="A4" s="125"/>
      <c r="B4" s="120"/>
      <c r="C4" s="120"/>
      <c r="D4" s="121"/>
      <c r="E4" s="121"/>
      <c r="F4" s="126"/>
      <c r="G4" s="120"/>
      <c r="H4" s="120"/>
      <c r="I4" s="121"/>
      <c r="J4" s="121"/>
      <c r="K4" s="126"/>
      <c r="L4" s="120"/>
      <c r="M4" s="120"/>
      <c r="N4" s="123"/>
      <c r="O4" s="123"/>
      <c r="P4" s="127"/>
      <c r="S4" s="125"/>
      <c r="T4" s="120"/>
      <c r="U4" s="120"/>
      <c r="V4" s="121"/>
      <c r="W4" s="121"/>
      <c r="X4" s="126"/>
      <c r="Y4" s="120"/>
      <c r="Z4" s="120"/>
      <c r="AA4" s="121"/>
      <c r="AB4" s="121"/>
      <c r="AC4" s="126"/>
      <c r="AD4" s="120"/>
      <c r="AE4" s="120"/>
      <c r="AF4" s="123"/>
      <c r="AG4" s="123"/>
      <c r="AH4" s="127"/>
      <c r="AK4" s="125"/>
      <c r="AL4" s="120"/>
      <c r="AM4" s="120"/>
      <c r="AN4" s="121"/>
      <c r="AO4" s="121"/>
      <c r="AP4" s="126"/>
      <c r="AQ4" s="120"/>
      <c r="AR4" s="120"/>
      <c r="AS4" s="121"/>
      <c r="AT4" s="121"/>
      <c r="AU4" s="126"/>
      <c r="AV4" s="120"/>
      <c r="AW4" s="120"/>
      <c r="AX4" s="123"/>
      <c r="AY4" s="123"/>
      <c r="AZ4" s="127"/>
    </row>
    <row r="5" customFormat="false" ht="15.75" hidden="false" customHeight="true" outlineLevel="0" collapsed="false">
      <c r="A5" s="131"/>
      <c r="B5" s="132" t="s">
        <v>1403</v>
      </c>
      <c r="C5" s="132" t="n">
        <f aca="false">COUNTIFS(LIBRO_SOCIOS!$V:$V,"&gt;85",LIBRO_SOCIOS!$M:$M,"ZITRON-ASCAZ ambulatoria")</f>
        <v>0</v>
      </c>
      <c r="D5" s="133" t="n">
        <f aca="false">(C5/$C$25)</f>
        <v>0</v>
      </c>
      <c r="E5" s="133" t="n">
        <f aca="false">E6+D5</f>
        <v>1</v>
      </c>
      <c r="F5" s="126"/>
      <c r="G5" s="132" t="s">
        <v>1403</v>
      </c>
      <c r="H5" s="132" t="n">
        <f aca="false">COUNTIFS(LIBRO_SOCIOS!$V:$V,"&gt;85",LIBRO_SOCIOS!$M:$M,"ZITRON-ASCAZ HOSPITALARIA")</f>
        <v>0</v>
      </c>
      <c r="I5" s="133" t="n">
        <f aca="false">(H5/$H$25)</f>
        <v>0</v>
      </c>
      <c r="J5" s="133" t="n">
        <f aca="false">J6+I5</f>
        <v>1</v>
      </c>
      <c r="K5" s="126"/>
      <c r="L5" s="132" t="s">
        <v>1403</v>
      </c>
      <c r="M5" s="132" t="n">
        <f aca="false">C5+H5</f>
        <v>0</v>
      </c>
      <c r="N5" s="133" t="n">
        <f aca="false">(M5/$M$25)</f>
        <v>0</v>
      </c>
      <c r="O5" s="133" t="n">
        <f aca="false">O6+N5</f>
        <v>1</v>
      </c>
      <c r="P5" s="127"/>
      <c r="S5" s="131"/>
      <c r="T5" s="132" t="s">
        <v>1403</v>
      </c>
      <c r="U5" s="132" t="n">
        <f aca="false">COUNTIFS(LIBRO_SOCIOS!$V:$V,"&gt;85",LIBRO_SOCIOS!$M:$M,"ASCAZ ambulatoria")</f>
        <v>0</v>
      </c>
      <c r="V5" s="133" t="n">
        <f aca="false">(U5/$U$25)</f>
        <v>0</v>
      </c>
      <c r="W5" s="133" t="n">
        <f aca="false">W6+V5</f>
        <v>1</v>
      </c>
      <c r="X5" s="126"/>
      <c r="Y5" s="132" t="s">
        <v>1403</v>
      </c>
      <c r="Z5" s="132" t="n">
        <f aca="false">COUNTIFS(LIBRO_SOCIOS!$V:$V,"&gt;85",LIBRO_SOCIOS!$M:$M,"ASCAZ HOSPITALARIA")</f>
        <v>0</v>
      </c>
      <c r="AA5" s="133" t="n">
        <f aca="false">(Z5/$Z$25)</f>
        <v>0</v>
      </c>
      <c r="AB5" s="133" t="n">
        <f aca="false">AB6+AA5</f>
        <v>1</v>
      </c>
      <c r="AC5" s="126"/>
      <c r="AD5" s="132" t="s">
        <v>1403</v>
      </c>
      <c r="AE5" s="132" t="n">
        <f aca="false">U5+Z5</f>
        <v>0</v>
      </c>
      <c r="AF5" s="133" t="n">
        <f aca="false">(AE5/$AE$25)</f>
        <v>0</v>
      </c>
      <c r="AG5" s="133" t="n">
        <f aca="false">AG6+AF5</f>
        <v>1</v>
      </c>
      <c r="AH5" s="127"/>
      <c r="AK5" s="131"/>
      <c r="AL5" s="132" t="s">
        <v>1403</v>
      </c>
      <c r="AM5" s="132" t="n">
        <f aca="false">C5+U5</f>
        <v>0</v>
      </c>
      <c r="AN5" s="133" t="n">
        <f aca="false">(AM5/$AM$25)</f>
        <v>0</v>
      </c>
      <c r="AO5" s="133" t="n">
        <f aca="false">AO6+AN5</f>
        <v>1</v>
      </c>
      <c r="AP5" s="126"/>
      <c r="AQ5" s="132" t="s">
        <v>1403</v>
      </c>
      <c r="AR5" s="132" t="n">
        <f aca="false">Z5+H5</f>
        <v>0</v>
      </c>
      <c r="AS5" s="133" t="n">
        <f aca="false">(AR5/$AR$25)</f>
        <v>0</v>
      </c>
      <c r="AT5" s="133" t="n">
        <f aca="false">AT6+AS5</f>
        <v>1</v>
      </c>
      <c r="AU5" s="126"/>
      <c r="AV5" s="132" t="s">
        <v>1403</v>
      </c>
      <c r="AW5" s="132" t="n">
        <f aca="false">AM5+AR5</f>
        <v>0</v>
      </c>
      <c r="AX5" s="133" t="n">
        <f aca="false">(AW5/$AW$25)</f>
        <v>0</v>
      </c>
      <c r="AY5" s="133" t="n">
        <f aca="false">AY6+AX5</f>
        <v>1</v>
      </c>
      <c r="AZ5" s="127"/>
    </row>
    <row r="6" customFormat="false" ht="15.75" hidden="false" customHeight="true" outlineLevel="0" collapsed="false">
      <c r="A6" s="131"/>
      <c r="B6" s="132" t="s">
        <v>1404</v>
      </c>
      <c r="C6" s="132" t="n">
        <f aca="false">COUNTIFS(LIBRO_SOCIOS!$V:$V,"&gt;80",LIBRO_SOCIOS!$V:$V,"&lt;86",LIBRO_SOCIOS!$M:$M,"ZITRON-ASCAZ ambulatoria")</f>
        <v>0</v>
      </c>
      <c r="D6" s="133" t="n">
        <f aca="false">(C6/$C$25)</f>
        <v>0</v>
      </c>
      <c r="E6" s="133" t="n">
        <f aca="false">E7+D6</f>
        <v>1</v>
      </c>
      <c r="F6" s="126"/>
      <c r="G6" s="132" t="s">
        <v>1404</v>
      </c>
      <c r="H6" s="132" t="n">
        <f aca="false">COUNTIFS(LIBRO_SOCIOS!$V:$V,"&gt;80",LIBRO_SOCIOS!$V:$V,"&lt;86",LIBRO_SOCIOS!$M:$M,"ZITRON-ASCAZ HOSPITALARIA")</f>
        <v>0</v>
      </c>
      <c r="I6" s="133" t="n">
        <f aca="false">(H6/$H$25)</f>
        <v>0</v>
      </c>
      <c r="J6" s="133" t="n">
        <f aca="false">J7+I6</f>
        <v>1</v>
      </c>
      <c r="K6" s="126"/>
      <c r="L6" s="132" t="s">
        <v>1404</v>
      </c>
      <c r="M6" s="132" t="n">
        <f aca="false">C6+H6</f>
        <v>0</v>
      </c>
      <c r="N6" s="133" t="n">
        <f aca="false">(M6/$M$25)</f>
        <v>0</v>
      </c>
      <c r="O6" s="133" t="n">
        <f aca="false">O7+N6</f>
        <v>1</v>
      </c>
      <c r="P6" s="127"/>
      <c r="S6" s="131"/>
      <c r="T6" s="132" t="s">
        <v>1404</v>
      </c>
      <c r="U6" s="132" t="n">
        <f aca="false">COUNTIFS(LIBRO_SOCIOS!$V:$V,"&gt;80",LIBRO_SOCIOS!$V:$V,"&lt;86",LIBRO_SOCIOS!$M:$M,"ASCAZ ambulatoria")</f>
        <v>0</v>
      </c>
      <c r="V6" s="133" t="n">
        <f aca="false">(U6/$U$25)</f>
        <v>0</v>
      </c>
      <c r="W6" s="133" t="n">
        <f aca="false">W7+V6</f>
        <v>1</v>
      </c>
      <c r="X6" s="126"/>
      <c r="Y6" s="132" t="s">
        <v>1404</v>
      </c>
      <c r="Z6" s="132" t="n">
        <f aca="false">COUNTIFS(LIBRO_SOCIOS!$V:$V,"&gt;80",LIBRO_SOCIOS!$V:$V,"&lt;86",LIBRO_SOCIOS!$M:$M,"ASCAZ HOSPITALARIA")</f>
        <v>1</v>
      </c>
      <c r="AA6" s="133" t="n">
        <f aca="false">(Z6/$Z$25)</f>
        <v>0.0102040816326531</v>
      </c>
      <c r="AB6" s="133" t="n">
        <f aca="false">AB7+AA6</f>
        <v>1</v>
      </c>
      <c r="AC6" s="126"/>
      <c r="AD6" s="132" t="s">
        <v>1404</v>
      </c>
      <c r="AE6" s="132" t="n">
        <f aca="false">U6+Z6</f>
        <v>1</v>
      </c>
      <c r="AF6" s="133" t="n">
        <f aca="false">(AE6/$AE$25)</f>
        <v>0.00847457627118644</v>
      </c>
      <c r="AG6" s="133" t="n">
        <f aca="false">AG7+AF6</f>
        <v>1</v>
      </c>
      <c r="AH6" s="127"/>
      <c r="AK6" s="131"/>
      <c r="AL6" s="132" t="s">
        <v>1404</v>
      </c>
      <c r="AM6" s="132" t="n">
        <f aca="false">C6+U6</f>
        <v>0</v>
      </c>
      <c r="AN6" s="133" t="n">
        <f aca="false">(AM6/$AM$25)</f>
        <v>0</v>
      </c>
      <c r="AO6" s="133" t="n">
        <f aca="false">AO7+AN6</f>
        <v>1</v>
      </c>
      <c r="AP6" s="126"/>
      <c r="AQ6" s="132" t="s">
        <v>1404</v>
      </c>
      <c r="AR6" s="132" t="n">
        <f aca="false">Z6+H6</f>
        <v>1</v>
      </c>
      <c r="AS6" s="133" t="n">
        <f aca="false">(AR6/$AR$25)</f>
        <v>0.00591715976331361</v>
      </c>
      <c r="AT6" s="133" t="n">
        <f aca="false">AT7+AS6</f>
        <v>1</v>
      </c>
      <c r="AU6" s="126"/>
      <c r="AV6" s="132" t="s">
        <v>1404</v>
      </c>
      <c r="AW6" s="132" t="n">
        <f aca="false">AM6+AR6</f>
        <v>1</v>
      </c>
      <c r="AX6" s="133" t="n">
        <f aca="false">(AW6/$AW$25)</f>
        <v>0.00492610837438424</v>
      </c>
      <c r="AY6" s="133" t="n">
        <f aca="false">AY7+AX6</f>
        <v>1</v>
      </c>
      <c r="AZ6" s="127"/>
    </row>
    <row r="7" customFormat="false" ht="15.75" hidden="false" customHeight="true" outlineLevel="0" collapsed="false">
      <c r="A7" s="131"/>
      <c r="B7" s="132" t="s">
        <v>1405</v>
      </c>
      <c r="C7" s="132" t="n">
        <f aca="false">COUNTIFS(LIBRO_SOCIOS!$V:$V,"&gt;75",LIBRO_SOCIOS!$V:$V,"&lt;81",LIBRO_SOCIOS!$M:$M,"ZITRON-ASCAZ ambulatoria")</f>
        <v>0</v>
      </c>
      <c r="D7" s="133" t="n">
        <f aca="false">(C7/$C$25)</f>
        <v>0</v>
      </c>
      <c r="E7" s="133" t="n">
        <f aca="false">E8+D7</f>
        <v>1</v>
      </c>
      <c r="F7" s="126"/>
      <c r="G7" s="132" t="s">
        <v>1405</v>
      </c>
      <c r="H7" s="132" t="n">
        <f aca="false">COUNTIFS(LIBRO_SOCIOS!$V:$V,"&gt;75",LIBRO_SOCIOS!$V:$V,"&lt;81",LIBRO_SOCIOS!$M:$M,"ZITRON-ASCAZ HOSPITALARIA")</f>
        <v>0</v>
      </c>
      <c r="I7" s="133" t="n">
        <f aca="false">(H7/$H$25)</f>
        <v>0</v>
      </c>
      <c r="J7" s="133" t="n">
        <f aca="false">J8+I7</f>
        <v>1</v>
      </c>
      <c r="K7" s="126"/>
      <c r="L7" s="132" t="s">
        <v>1405</v>
      </c>
      <c r="M7" s="132" t="n">
        <f aca="false">C7+H7</f>
        <v>0</v>
      </c>
      <c r="N7" s="133" t="n">
        <f aca="false">(M7/$M$25)</f>
        <v>0</v>
      </c>
      <c r="O7" s="133" t="n">
        <f aca="false">O8+N7</f>
        <v>1</v>
      </c>
      <c r="P7" s="127"/>
      <c r="S7" s="131"/>
      <c r="T7" s="132" t="s">
        <v>1405</v>
      </c>
      <c r="U7" s="132" t="n">
        <f aca="false">COUNTIFS(LIBRO_SOCIOS!$V:$V,"&gt;75",LIBRO_SOCIOS!$V:$V,"&lt;81",LIBRO_SOCIOS!$M:$M,"ASCAZ ambulatoria")</f>
        <v>1</v>
      </c>
      <c r="V7" s="133" t="n">
        <f aca="false">(U7/$U$25)</f>
        <v>0.05</v>
      </c>
      <c r="W7" s="133" t="n">
        <f aca="false">W8+V7</f>
        <v>1</v>
      </c>
      <c r="X7" s="126"/>
      <c r="Y7" s="132" t="s">
        <v>1405</v>
      </c>
      <c r="Z7" s="132" t="n">
        <f aca="false">COUNTIFS(LIBRO_SOCIOS!$V:$V,"&gt;75",LIBRO_SOCIOS!$V:$V,"&lt;81",LIBRO_SOCIOS!$M:$M,"ASCAZ HOSPITALARIA")</f>
        <v>2</v>
      </c>
      <c r="AA7" s="133" t="n">
        <f aca="false">(Z7/$Z$25)</f>
        <v>0.0204081632653061</v>
      </c>
      <c r="AB7" s="133" t="n">
        <f aca="false">AB8+AA7</f>
        <v>0.989795918367347</v>
      </c>
      <c r="AC7" s="126"/>
      <c r="AD7" s="132" t="s">
        <v>1405</v>
      </c>
      <c r="AE7" s="132" t="n">
        <f aca="false">U7+Z7</f>
        <v>3</v>
      </c>
      <c r="AF7" s="133" t="n">
        <f aca="false">(AE7/$AE$25)</f>
        <v>0.0254237288135593</v>
      </c>
      <c r="AG7" s="133" t="n">
        <f aca="false">AG8+AF7</f>
        <v>0.991525423728814</v>
      </c>
      <c r="AH7" s="127"/>
      <c r="AK7" s="131"/>
      <c r="AL7" s="132" t="s">
        <v>1405</v>
      </c>
      <c r="AM7" s="132" t="n">
        <f aca="false">C7+U7</f>
        <v>1</v>
      </c>
      <c r="AN7" s="133" t="n">
        <f aca="false">(AM7/$AM$25)</f>
        <v>0.0294117647058823</v>
      </c>
      <c r="AO7" s="133" t="n">
        <f aca="false">AO8+AN7</f>
        <v>1</v>
      </c>
      <c r="AP7" s="126"/>
      <c r="AQ7" s="132" t="s">
        <v>1405</v>
      </c>
      <c r="AR7" s="132" t="n">
        <f aca="false">Z7+H7</f>
        <v>2</v>
      </c>
      <c r="AS7" s="133" t="n">
        <f aca="false">(AR7/$AR$25)</f>
        <v>0.0118343195266272</v>
      </c>
      <c r="AT7" s="133" t="n">
        <f aca="false">AT8+AS7</f>
        <v>0.994082840236686</v>
      </c>
      <c r="AU7" s="126"/>
      <c r="AV7" s="132" t="s">
        <v>1405</v>
      </c>
      <c r="AW7" s="132" t="n">
        <f aca="false">AM7+AR7</f>
        <v>3</v>
      </c>
      <c r="AX7" s="133" t="n">
        <f aca="false">(AW7/$AW$25)</f>
        <v>0.0147783251231527</v>
      </c>
      <c r="AY7" s="133" t="n">
        <f aca="false">AY8+AX7</f>
        <v>0.995073891625616</v>
      </c>
      <c r="AZ7" s="127"/>
    </row>
    <row r="8" customFormat="false" ht="15.75" hidden="false" customHeight="true" outlineLevel="0" collapsed="false">
      <c r="A8" s="131"/>
      <c r="B8" s="132" t="s">
        <v>1406</v>
      </c>
      <c r="C8" s="132" t="n">
        <f aca="false">COUNTIFS(LIBRO_SOCIOS!$V:$V,"&gt;70",LIBRO_SOCIOS!$V:$V,"&lt;76",LIBRO_SOCIOS!$M:$M,"ZITRON-ASCAZ ambulatoria")</f>
        <v>0</v>
      </c>
      <c r="D8" s="133" t="n">
        <f aca="false">(C8/$C$25)</f>
        <v>0</v>
      </c>
      <c r="E8" s="133" t="n">
        <f aca="false">E9+D8</f>
        <v>1</v>
      </c>
      <c r="F8" s="126"/>
      <c r="G8" s="132" t="s">
        <v>1406</v>
      </c>
      <c r="H8" s="132" t="n">
        <f aca="false">COUNTIFS(LIBRO_SOCIOS!$V:$V,"&gt;70",LIBRO_SOCIOS!$V:$V,"&lt;76",LIBRO_SOCIOS!$M:$M,"ZITRON-ASCAZ HOSPITALARIA")</f>
        <v>0</v>
      </c>
      <c r="I8" s="133" t="n">
        <f aca="false">(H8/$H$25)</f>
        <v>0</v>
      </c>
      <c r="J8" s="133" t="n">
        <f aca="false">J9+I8</f>
        <v>1</v>
      </c>
      <c r="K8" s="126"/>
      <c r="L8" s="132" t="s">
        <v>1406</v>
      </c>
      <c r="M8" s="132" t="n">
        <f aca="false">C8+H8</f>
        <v>0</v>
      </c>
      <c r="N8" s="133" t="n">
        <f aca="false">(M8/$M$25)</f>
        <v>0</v>
      </c>
      <c r="O8" s="133" t="n">
        <f aca="false">O9+N8</f>
        <v>1</v>
      </c>
      <c r="P8" s="127"/>
      <c r="S8" s="131"/>
      <c r="T8" s="132" t="s">
        <v>1406</v>
      </c>
      <c r="U8" s="132" t="n">
        <f aca="false">COUNTIFS(LIBRO_SOCIOS!$V:$V,"&gt;70",LIBRO_SOCIOS!$V:$V,"&lt;76",LIBRO_SOCIOS!$M:$M,"ASCAZ ambulatoria")</f>
        <v>0</v>
      </c>
      <c r="V8" s="133" t="n">
        <f aca="false">(U8/$U$25)</f>
        <v>0</v>
      </c>
      <c r="W8" s="133" t="n">
        <f aca="false">W9+V8</f>
        <v>0.95</v>
      </c>
      <c r="X8" s="126"/>
      <c r="Y8" s="132" t="s">
        <v>1406</v>
      </c>
      <c r="Z8" s="132" t="n">
        <f aca="false">COUNTIFS(LIBRO_SOCIOS!$V:$V,"&gt;70",LIBRO_SOCIOS!$V:$V,"&lt;76",LIBRO_SOCIOS!$M:$M,"ASCAZ HOSPITALARIA")</f>
        <v>3</v>
      </c>
      <c r="AA8" s="133" t="n">
        <f aca="false">(Z8/$Z$25)</f>
        <v>0.0306122448979592</v>
      </c>
      <c r="AB8" s="133" t="n">
        <f aca="false">AB9+AA8</f>
        <v>0.969387755102041</v>
      </c>
      <c r="AC8" s="126"/>
      <c r="AD8" s="132" t="s">
        <v>1406</v>
      </c>
      <c r="AE8" s="132" t="n">
        <f aca="false">U8+Z8</f>
        <v>3</v>
      </c>
      <c r="AF8" s="133" t="n">
        <f aca="false">(AE8/$AE$25)</f>
        <v>0.0254237288135593</v>
      </c>
      <c r="AG8" s="133" t="n">
        <f aca="false">AG9+AF8</f>
        <v>0.966101694915254</v>
      </c>
      <c r="AH8" s="127"/>
      <c r="AK8" s="131"/>
      <c r="AL8" s="132" t="s">
        <v>1406</v>
      </c>
      <c r="AM8" s="132" t="n">
        <f aca="false">C8+U8</f>
        <v>0</v>
      </c>
      <c r="AN8" s="133" t="n">
        <f aca="false">(AM8/$AM$25)</f>
        <v>0</v>
      </c>
      <c r="AO8" s="133" t="n">
        <f aca="false">AO9+AN8</f>
        <v>0.970588235294118</v>
      </c>
      <c r="AP8" s="126"/>
      <c r="AQ8" s="132" t="s">
        <v>1406</v>
      </c>
      <c r="AR8" s="132" t="n">
        <f aca="false">Z8+H8</f>
        <v>3</v>
      </c>
      <c r="AS8" s="133" t="n">
        <f aca="false">(AR8/$AR$25)</f>
        <v>0.0177514792899408</v>
      </c>
      <c r="AT8" s="133" t="n">
        <f aca="false">AT9+AS8</f>
        <v>0.982248520710059</v>
      </c>
      <c r="AU8" s="126"/>
      <c r="AV8" s="132" t="s">
        <v>1406</v>
      </c>
      <c r="AW8" s="132" t="n">
        <f aca="false">AM8+AR8</f>
        <v>3</v>
      </c>
      <c r="AX8" s="133" t="n">
        <f aca="false">(AW8/$AW$25)</f>
        <v>0.0147783251231527</v>
      </c>
      <c r="AY8" s="133" t="n">
        <f aca="false">AY9+AX8</f>
        <v>0.980295566502463</v>
      </c>
      <c r="AZ8" s="127"/>
    </row>
    <row r="9" customFormat="false" ht="15.75" hidden="false" customHeight="true" outlineLevel="0" collapsed="false">
      <c r="A9" s="131"/>
      <c r="B9" s="132" t="s">
        <v>1407</v>
      </c>
      <c r="C9" s="132" t="n">
        <f aca="false">COUNTIFS(LIBRO_SOCIOS!$V:$V,"&gt;65",LIBRO_SOCIOS!$V:$V,"&lt;71",LIBRO_SOCIOS!$M:$M,"ZITRON-ASCAZ ambulatoria")</f>
        <v>0</v>
      </c>
      <c r="D9" s="133" t="n">
        <f aca="false">(C9/$C$25)</f>
        <v>0</v>
      </c>
      <c r="E9" s="133" t="n">
        <f aca="false">E10+D9</f>
        <v>1</v>
      </c>
      <c r="F9" s="126"/>
      <c r="G9" s="132" t="s">
        <v>1407</v>
      </c>
      <c r="H9" s="132" t="n">
        <f aca="false">COUNTIFS(LIBRO_SOCIOS!$V:$V,"&gt;65",LIBRO_SOCIOS!$V:$V,"&lt;71",LIBRO_SOCIOS!$M:$M,"ZITRON-ASCAZ HOSPITALARIA")</f>
        <v>0</v>
      </c>
      <c r="I9" s="133" t="n">
        <f aca="false">(H9/$H$25)</f>
        <v>0</v>
      </c>
      <c r="J9" s="133" t="n">
        <f aca="false">J10+I9</f>
        <v>1</v>
      </c>
      <c r="K9" s="126"/>
      <c r="L9" s="132" t="s">
        <v>1407</v>
      </c>
      <c r="M9" s="132" t="n">
        <f aca="false">C9+H9</f>
        <v>0</v>
      </c>
      <c r="N9" s="133" t="n">
        <f aca="false">(M9/$M$25)</f>
        <v>0</v>
      </c>
      <c r="O9" s="133" t="n">
        <f aca="false">O10+N9</f>
        <v>1</v>
      </c>
      <c r="P9" s="127"/>
      <c r="S9" s="131"/>
      <c r="T9" s="132" t="s">
        <v>1407</v>
      </c>
      <c r="U9" s="132" t="n">
        <f aca="false">COUNTIFS(LIBRO_SOCIOS!$V:$V,"&gt;65",LIBRO_SOCIOS!$V:$V,"&lt;71",LIBRO_SOCIOS!$M:$M,"ASCAZ ambulatoria")</f>
        <v>2</v>
      </c>
      <c r="V9" s="133" t="n">
        <f aca="false">(U9/$U$25)</f>
        <v>0.1</v>
      </c>
      <c r="W9" s="133" t="n">
        <f aca="false">W10+V9</f>
        <v>0.95</v>
      </c>
      <c r="X9" s="126"/>
      <c r="Y9" s="132" t="s">
        <v>1407</v>
      </c>
      <c r="Z9" s="132" t="n">
        <f aca="false">COUNTIFS(LIBRO_SOCIOS!$V:$V,"&gt;65",LIBRO_SOCIOS!$V:$V,"&lt;71",LIBRO_SOCIOS!$M:$M,"ASCAZ HOSPITALARIA")</f>
        <v>3</v>
      </c>
      <c r="AA9" s="133" t="n">
        <f aca="false">(Z9/$Z$25)</f>
        <v>0.0306122448979592</v>
      </c>
      <c r="AB9" s="133" t="n">
        <f aca="false">AB10+AA9</f>
        <v>0.938775510204082</v>
      </c>
      <c r="AC9" s="126"/>
      <c r="AD9" s="132" t="s">
        <v>1407</v>
      </c>
      <c r="AE9" s="132" t="n">
        <f aca="false">U9+Z9</f>
        <v>5</v>
      </c>
      <c r="AF9" s="133" t="n">
        <f aca="false">(AE9/$AE$25)</f>
        <v>0.0423728813559322</v>
      </c>
      <c r="AG9" s="133" t="n">
        <f aca="false">AG10+AF9</f>
        <v>0.940677966101695</v>
      </c>
      <c r="AH9" s="127"/>
      <c r="AK9" s="131"/>
      <c r="AL9" s="132" t="s">
        <v>1407</v>
      </c>
      <c r="AM9" s="132" t="n">
        <f aca="false">C9+U9</f>
        <v>2</v>
      </c>
      <c r="AN9" s="133" t="n">
        <f aca="false">(AM9/$AM$25)</f>
        <v>0.0588235294117647</v>
      </c>
      <c r="AO9" s="133" t="n">
        <f aca="false">AO10+AN9</f>
        <v>0.970588235294118</v>
      </c>
      <c r="AP9" s="126"/>
      <c r="AQ9" s="132" t="s">
        <v>1407</v>
      </c>
      <c r="AR9" s="132" t="n">
        <f aca="false">Z9+H9</f>
        <v>3</v>
      </c>
      <c r="AS9" s="133" t="n">
        <f aca="false">(AR9/$AR$25)</f>
        <v>0.0177514792899408</v>
      </c>
      <c r="AT9" s="133" t="n">
        <f aca="false">AT10+AS9</f>
        <v>0.964497041420118</v>
      </c>
      <c r="AU9" s="126"/>
      <c r="AV9" s="132" t="s">
        <v>1407</v>
      </c>
      <c r="AW9" s="132" t="n">
        <f aca="false">AM9+AR9</f>
        <v>5</v>
      </c>
      <c r="AX9" s="133" t="n">
        <f aca="false">(AW9/$AW$25)</f>
        <v>0.0246305418719212</v>
      </c>
      <c r="AY9" s="133" t="n">
        <f aca="false">AY10+AX9</f>
        <v>0.96551724137931</v>
      </c>
      <c r="AZ9" s="127"/>
    </row>
    <row r="10" customFormat="false" ht="15.75" hidden="false" customHeight="true" outlineLevel="0" collapsed="false">
      <c r="A10" s="131"/>
      <c r="B10" s="132" t="s">
        <v>1408</v>
      </c>
      <c r="C10" s="132" t="n">
        <f aca="false">COUNTIFS(LIBRO_SOCIOS!$V:$V,"&gt;60",LIBRO_SOCIOS!$V:$V,"&lt;66",LIBRO_SOCIOS!$M:$M,"ZITRON-ASCAZ ambulatoria")</f>
        <v>0</v>
      </c>
      <c r="D10" s="133" t="n">
        <f aca="false">(C10/$C$25)</f>
        <v>0</v>
      </c>
      <c r="E10" s="133" t="n">
        <f aca="false">E11+D10</f>
        <v>1</v>
      </c>
      <c r="F10" s="126"/>
      <c r="G10" s="132" t="s">
        <v>1408</v>
      </c>
      <c r="H10" s="132" t="n">
        <f aca="false">COUNTIFS(LIBRO_SOCIOS!$V:$V,"&gt;60",LIBRO_SOCIOS!$V:$V,"&lt;66",LIBRO_SOCIOS!$M:$M,"ZITRON-ASCAZ HOSPITALARIA")</f>
        <v>6</v>
      </c>
      <c r="I10" s="133" t="n">
        <f aca="false">(H10/$H$25)</f>
        <v>0.0845070422535211</v>
      </c>
      <c r="J10" s="133" t="n">
        <f aca="false">J11+I10</f>
        <v>1</v>
      </c>
      <c r="K10" s="126"/>
      <c r="L10" s="132" t="s">
        <v>1408</v>
      </c>
      <c r="M10" s="132" t="n">
        <f aca="false">C10+H10</f>
        <v>6</v>
      </c>
      <c r="N10" s="133" t="n">
        <f aca="false">(M10/$M$25)</f>
        <v>0.0705882352941176</v>
      </c>
      <c r="O10" s="133" t="n">
        <f aca="false">O11+N10</f>
        <v>1</v>
      </c>
      <c r="P10" s="127"/>
      <c r="S10" s="131"/>
      <c r="T10" s="132" t="s">
        <v>1408</v>
      </c>
      <c r="U10" s="132" t="n">
        <f aca="false">COUNTIFS(LIBRO_SOCIOS!$V:$V,"&gt;60",LIBRO_SOCIOS!$V:$V,"&lt;66",LIBRO_SOCIOS!$M:$M,"ASCAZ ambulatoria")</f>
        <v>4</v>
      </c>
      <c r="V10" s="133" t="n">
        <f aca="false">(U10/$U$25)</f>
        <v>0.2</v>
      </c>
      <c r="W10" s="133" t="n">
        <f aca="false">W11+V10</f>
        <v>0.85</v>
      </c>
      <c r="X10" s="126"/>
      <c r="Y10" s="132" t="s">
        <v>1408</v>
      </c>
      <c r="Z10" s="132" t="n">
        <f aca="false">COUNTIFS(LIBRO_SOCIOS!$V:$V,"&gt;60",LIBRO_SOCIOS!$V:$V,"&lt;66",LIBRO_SOCIOS!$M:$M,"ASCAZ HOSPITALARIA")</f>
        <v>11</v>
      </c>
      <c r="AA10" s="133" t="n">
        <f aca="false">(Z10/$Z$25)</f>
        <v>0.112244897959184</v>
      </c>
      <c r="AB10" s="133" t="n">
        <f aca="false">AB11+AA10</f>
        <v>0.908163265306122</v>
      </c>
      <c r="AC10" s="126"/>
      <c r="AD10" s="132" t="s">
        <v>1408</v>
      </c>
      <c r="AE10" s="132" t="n">
        <f aca="false">U10+Z10</f>
        <v>15</v>
      </c>
      <c r="AF10" s="133" t="n">
        <f aca="false">(AE10/$AE$25)</f>
        <v>0.127118644067797</v>
      </c>
      <c r="AG10" s="133" t="n">
        <f aca="false">AG11+AF10</f>
        <v>0.898305084745763</v>
      </c>
      <c r="AH10" s="127"/>
      <c r="AK10" s="131"/>
      <c r="AL10" s="132" t="s">
        <v>1408</v>
      </c>
      <c r="AM10" s="132" t="n">
        <f aca="false">C10+U10</f>
        <v>4</v>
      </c>
      <c r="AN10" s="133" t="n">
        <f aca="false">(AM10/$AM$25)</f>
        <v>0.117647058823529</v>
      </c>
      <c r="AO10" s="133" t="n">
        <f aca="false">AO11+AN10</f>
        <v>0.911764705882353</v>
      </c>
      <c r="AP10" s="126"/>
      <c r="AQ10" s="132" t="s">
        <v>1408</v>
      </c>
      <c r="AR10" s="132" t="n">
        <f aca="false">Z10+H10</f>
        <v>17</v>
      </c>
      <c r="AS10" s="133" t="n">
        <f aca="false">(AR10/$AR$25)</f>
        <v>0.100591715976331</v>
      </c>
      <c r="AT10" s="133" t="n">
        <f aca="false">AT11+AS10</f>
        <v>0.946745562130177</v>
      </c>
      <c r="AU10" s="126"/>
      <c r="AV10" s="132" t="s">
        <v>1408</v>
      </c>
      <c r="AW10" s="132" t="n">
        <f aca="false">AM10+AR10</f>
        <v>21</v>
      </c>
      <c r="AX10" s="133" t="n">
        <f aca="false">(AW10/$AW$25)</f>
        <v>0.103448275862069</v>
      </c>
      <c r="AY10" s="133" t="n">
        <f aca="false">AY11+AX10</f>
        <v>0.940886699507389</v>
      </c>
      <c r="AZ10" s="127"/>
    </row>
    <row r="11" customFormat="false" ht="15.75" hidden="false" customHeight="true" outlineLevel="0" collapsed="false">
      <c r="A11" s="131"/>
      <c r="B11" s="132" t="s">
        <v>1409</v>
      </c>
      <c r="C11" s="132" t="n">
        <f aca="false">COUNTIFS(LIBRO_SOCIOS!$V:$V,"&gt;55",LIBRO_SOCIOS!$V:$V,"&lt;61",LIBRO_SOCIOS!$M:$M,"ZITRON-ASCAZ ambulatoria")</f>
        <v>0</v>
      </c>
      <c r="D11" s="133" t="n">
        <f aca="false">(C11/$C$25)</f>
        <v>0</v>
      </c>
      <c r="E11" s="133" t="n">
        <f aca="false">E12+D11</f>
        <v>1</v>
      </c>
      <c r="F11" s="126"/>
      <c r="G11" s="132" t="s">
        <v>1409</v>
      </c>
      <c r="H11" s="132" t="n">
        <f aca="false">COUNTIFS(LIBRO_SOCIOS!$V:$V,"&gt;55",LIBRO_SOCIOS!$V:$V,"&lt;61",LIBRO_SOCIOS!$M:$M,"ZITRON-ASCAZ HOSPITALARIA")</f>
        <v>1</v>
      </c>
      <c r="I11" s="133" t="n">
        <f aca="false">(H11/$H$25)</f>
        <v>0.0140845070422535</v>
      </c>
      <c r="J11" s="133" t="n">
        <f aca="false">J12+I11</f>
        <v>0.915492957746479</v>
      </c>
      <c r="K11" s="126"/>
      <c r="L11" s="132" t="s">
        <v>1409</v>
      </c>
      <c r="M11" s="132" t="n">
        <f aca="false">C11+H11</f>
        <v>1</v>
      </c>
      <c r="N11" s="133" t="n">
        <f aca="false">(M11/$M$25)</f>
        <v>0.0117647058823529</v>
      </c>
      <c r="O11" s="133" t="n">
        <f aca="false">O12+N11</f>
        <v>0.929411764705882</v>
      </c>
      <c r="P11" s="127"/>
      <c r="S11" s="131"/>
      <c r="T11" s="132" t="s">
        <v>1409</v>
      </c>
      <c r="U11" s="132" t="n">
        <f aca="false">COUNTIFS(LIBRO_SOCIOS!$V:$V,"&gt;55",LIBRO_SOCIOS!$V:$V,"&lt;61",LIBRO_SOCIOS!$M:$M,"ASCAZ ambulatoria")</f>
        <v>0</v>
      </c>
      <c r="V11" s="133" t="n">
        <f aca="false">(U11/$U$25)</f>
        <v>0</v>
      </c>
      <c r="W11" s="133" t="n">
        <f aca="false">W12+V11</f>
        <v>0.65</v>
      </c>
      <c r="X11" s="126"/>
      <c r="Y11" s="132" t="s">
        <v>1409</v>
      </c>
      <c r="Z11" s="132" t="n">
        <f aca="false">COUNTIFS(LIBRO_SOCIOS!$V:$V,"&gt;55",LIBRO_SOCIOS!$V:$V,"&lt;61",LIBRO_SOCIOS!$M:$M,"ASCAZ HOSPITALARIA")</f>
        <v>6</v>
      </c>
      <c r="AA11" s="133" t="n">
        <f aca="false">(Z11/$Z$25)</f>
        <v>0.0612244897959184</v>
      </c>
      <c r="AB11" s="133" t="n">
        <f aca="false">AB12+AA11</f>
        <v>0.795918367346939</v>
      </c>
      <c r="AC11" s="126"/>
      <c r="AD11" s="132" t="s">
        <v>1409</v>
      </c>
      <c r="AE11" s="132" t="n">
        <f aca="false">U11+Z11</f>
        <v>6</v>
      </c>
      <c r="AF11" s="133" t="n">
        <f aca="false">(AE11/$AE$25)</f>
        <v>0.0508474576271187</v>
      </c>
      <c r="AG11" s="133" t="n">
        <f aca="false">AG12+AF11</f>
        <v>0.771186440677966</v>
      </c>
      <c r="AH11" s="127"/>
      <c r="AK11" s="131"/>
      <c r="AL11" s="132" t="s">
        <v>1409</v>
      </c>
      <c r="AM11" s="132" t="n">
        <f aca="false">C11+U11</f>
        <v>0</v>
      </c>
      <c r="AN11" s="133" t="n">
        <f aca="false">(AM11/$AM$25)</f>
        <v>0</v>
      </c>
      <c r="AO11" s="133" t="n">
        <f aca="false">AO12+AN11</f>
        <v>0.794117647058824</v>
      </c>
      <c r="AP11" s="126"/>
      <c r="AQ11" s="132" t="s">
        <v>1409</v>
      </c>
      <c r="AR11" s="132" t="n">
        <f aca="false">Z11+H11</f>
        <v>7</v>
      </c>
      <c r="AS11" s="133" t="n">
        <f aca="false">(AR11/$AR$25)</f>
        <v>0.0414201183431953</v>
      </c>
      <c r="AT11" s="133" t="n">
        <f aca="false">AT12+AS11</f>
        <v>0.846153846153846</v>
      </c>
      <c r="AU11" s="126"/>
      <c r="AV11" s="132" t="s">
        <v>1409</v>
      </c>
      <c r="AW11" s="132" t="n">
        <f aca="false">AM11+AR11</f>
        <v>7</v>
      </c>
      <c r="AX11" s="133" t="n">
        <f aca="false">(AW11/$AW$25)</f>
        <v>0.0344827586206897</v>
      </c>
      <c r="AY11" s="133" t="n">
        <f aca="false">AY12+AX11</f>
        <v>0.83743842364532</v>
      </c>
      <c r="AZ11" s="127"/>
    </row>
    <row r="12" customFormat="false" ht="15.75" hidden="false" customHeight="true" outlineLevel="0" collapsed="false">
      <c r="A12" s="131"/>
      <c r="B12" s="132" t="s">
        <v>1410</v>
      </c>
      <c r="C12" s="132" t="n">
        <f aca="false">COUNTIFS(LIBRO_SOCIOS!$V:$V,"&gt;50",LIBRO_SOCIOS!$V:$V,"&lt;56",LIBRO_SOCIOS!$M:$M,"ZITRON-ASCAZ ambulatoria")</f>
        <v>0</v>
      </c>
      <c r="D12" s="133" t="n">
        <f aca="false">(C12/$C$25)</f>
        <v>0</v>
      </c>
      <c r="E12" s="133" t="n">
        <f aca="false">E13+D12</f>
        <v>1</v>
      </c>
      <c r="F12" s="126"/>
      <c r="G12" s="132" t="s">
        <v>1410</v>
      </c>
      <c r="H12" s="132" t="n">
        <f aca="false">COUNTIFS(LIBRO_SOCIOS!$V:$V,"&gt;50",LIBRO_SOCIOS!$V:$V,"&lt;56",LIBRO_SOCIOS!$M:$M,"ZITRON-ASCAZ HOSPITALARIA")</f>
        <v>4</v>
      </c>
      <c r="I12" s="133" t="n">
        <f aca="false">(H12/$H$25)</f>
        <v>0.0563380281690141</v>
      </c>
      <c r="J12" s="133" t="n">
        <f aca="false">J13+I12</f>
        <v>0.901408450704225</v>
      </c>
      <c r="K12" s="126"/>
      <c r="L12" s="132" t="s">
        <v>1410</v>
      </c>
      <c r="M12" s="132" t="n">
        <f aca="false">C12+H12</f>
        <v>4</v>
      </c>
      <c r="N12" s="133" t="n">
        <f aca="false">(M12/$M$25)</f>
        <v>0.0470588235294118</v>
      </c>
      <c r="O12" s="133" t="n">
        <f aca="false">O13+N12</f>
        <v>0.917647058823529</v>
      </c>
      <c r="P12" s="127"/>
      <c r="S12" s="131"/>
      <c r="T12" s="132" t="s">
        <v>1410</v>
      </c>
      <c r="U12" s="132" t="n">
        <f aca="false">COUNTIFS(LIBRO_SOCIOS!$V:$V,"&gt;50",LIBRO_SOCIOS!$V:$V,"&lt;56",LIBRO_SOCIOS!$M:$M,"ASCAZ ambulatoria")</f>
        <v>2</v>
      </c>
      <c r="V12" s="133" t="n">
        <f aca="false">(U12/$U$25)</f>
        <v>0.1</v>
      </c>
      <c r="W12" s="133" t="n">
        <f aca="false">W13+V12</f>
        <v>0.65</v>
      </c>
      <c r="X12" s="126"/>
      <c r="Y12" s="132" t="s">
        <v>1410</v>
      </c>
      <c r="Z12" s="132" t="n">
        <f aca="false">COUNTIFS(LIBRO_SOCIOS!$V:$V,"&gt;50",LIBRO_SOCIOS!$V:$V,"&lt;56",LIBRO_SOCIOS!$M:$M,"ASCAZ HOSPITALARIA")</f>
        <v>8</v>
      </c>
      <c r="AA12" s="133" t="n">
        <f aca="false">(Z12/$Z$25)</f>
        <v>0.0816326530612245</v>
      </c>
      <c r="AB12" s="133" t="n">
        <f aca="false">AB13+AA12</f>
        <v>0.73469387755102</v>
      </c>
      <c r="AC12" s="126"/>
      <c r="AD12" s="132" t="s">
        <v>1410</v>
      </c>
      <c r="AE12" s="132" t="n">
        <f aca="false">U12+Z12</f>
        <v>10</v>
      </c>
      <c r="AF12" s="133" t="n">
        <f aca="false">(AE12/$AE$25)</f>
        <v>0.0847457627118644</v>
      </c>
      <c r="AG12" s="133" t="n">
        <f aca="false">AG13+AF12</f>
        <v>0.720338983050848</v>
      </c>
      <c r="AH12" s="127"/>
      <c r="AK12" s="131"/>
      <c r="AL12" s="132" t="s">
        <v>1410</v>
      </c>
      <c r="AM12" s="132" t="n">
        <f aca="false">C12+U12</f>
        <v>2</v>
      </c>
      <c r="AN12" s="133" t="n">
        <f aca="false">(AM12/$AM$25)</f>
        <v>0.0588235294117647</v>
      </c>
      <c r="AO12" s="133" t="n">
        <f aca="false">AO13+AN12</f>
        <v>0.794117647058824</v>
      </c>
      <c r="AP12" s="126"/>
      <c r="AQ12" s="132" t="s">
        <v>1410</v>
      </c>
      <c r="AR12" s="132" t="n">
        <f aca="false">Z12+H12</f>
        <v>12</v>
      </c>
      <c r="AS12" s="133" t="n">
        <f aca="false">(AR12/$AR$25)</f>
        <v>0.0710059171597633</v>
      </c>
      <c r="AT12" s="133" t="n">
        <f aca="false">AT13+AS12</f>
        <v>0.804733727810651</v>
      </c>
      <c r="AU12" s="126"/>
      <c r="AV12" s="132" t="s">
        <v>1410</v>
      </c>
      <c r="AW12" s="132" t="n">
        <f aca="false">AM12+AR12</f>
        <v>14</v>
      </c>
      <c r="AX12" s="133" t="n">
        <f aca="false">(AW12/$AW$25)</f>
        <v>0.0689655172413793</v>
      </c>
      <c r="AY12" s="133" t="n">
        <f aca="false">AY13+AX12</f>
        <v>0.80295566502463</v>
      </c>
      <c r="AZ12" s="127"/>
    </row>
    <row r="13" customFormat="false" ht="15.75" hidden="false" customHeight="true" outlineLevel="0" collapsed="false">
      <c r="A13" s="131"/>
      <c r="B13" s="132" t="s">
        <v>1411</v>
      </c>
      <c r="C13" s="132" t="n">
        <f aca="false">COUNTIFS(LIBRO_SOCIOS!$V:$V,"&gt;45",LIBRO_SOCIOS!$V:$V,"&lt;51",LIBRO_SOCIOS!$M:$M,"ZITRON-ASCAZ ambulatoria")</f>
        <v>0</v>
      </c>
      <c r="D13" s="133" t="n">
        <f aca="false">(C13/$C$25)</f>
        <v>0</v>
      </c>
      <c r="E13" s="133" t="n">
        <f aca="false">E14+D13</f>
        <v>1</v>
      </c>
      <c r="F13" s="126"/>
      <c r="G13" s="132" t="s">
        <v>1411</v>
      </c>
      <c r="H13" s="132" t="n">
        <f aca="false">COUNTIFS(LIBRO_SOCIOS!$V:$V,"&gt;45",LIBRO_SOCIOS!$V:$V,"&lt;51",LIBRO_SOCIOS!$M:$M,"ZITRON-ASCAZ HOSPITALARIA")</f>
        <v>5</v>
      </c>
      <c r="I13" s="133" t="n">
        <f aca="false">(H13/$H$25)</f>
        <v>0.0704225352112676</v>
      </c>
      <c r="J13" s="133" t="n">
        <f aca="false">J14+I13</f>
        <v>0.845070422535211</v>
      </c>
      <c r="K13" s="126"/>
      <c r="L13" s="132" t="s">
        <v>1411</v>
      </c>
      <c r="M13" s="132" t="n">
        <f aca="false">C13+H13</f>
        <v>5</v>
      </c>
      <c r="N13" s="133" t="n">
        <f aca="false">(M13/$M$25)</f>
        <v>0.0588235294117647</v>
      </c>
      <c r="O13" s="133" t="n">
        <f aca="false">O14+N13</f>
        <v>0.870588235294118</v>
      </c>
      <c r="P13" s="127"/>
      <c r="S13" s="131"/>
      <c r="T13" s="132" t="s">
        <v>1411</v>
      </c>
      <c r="U13" s="132" t="n">
        <f aca="false">COUNTIFS(LIBRO_SOCIOS!$V:$V,"&gt;45",LIBRO_SOCIOS!$V:$V,"&lt;51",LIBRO_SOCIOS!$M:$M,"ASCAZ ambulatoria")</f>
        <v>0</v>
      </c>
      <c r="V13" s="133" t="n">
        <f aca="false">(U13/$U$25)</f>
        <v>0</v>
      </c>
      <c r="W13" s="133" t="n">
        <f aca="false">W14+V13</f>
        <v>0.55</v>
      </c>
      <c r="X13" s="126"/>
      <c r="Y13" s="132" t="s">
        <v>1411</v>
      </c>
      <c r="Z13" s="132" t="n">
        <f aca="false">COUNTIFS(LIBRO_SOCIOS!$V:$V,"&gt;45",LIBRO_SOCIOS!$V:$V,"&lt;51",LIBRO_SOCIOS!$M:$M,"ASCAZ HOSPITALARIA")</f>
        <v>13</v>
      </c>
      <c r="AA13" s="133" t="n">
        <f aca="false">(Z13/$Z$25)</f>
        <v>0.13265306122449</v>
      </c>
      <c r="AB13" s="133" t="n">
        <f aca="false">AB14+AA13</f>
        <v>0.653061224489796</v>
      </c>
      <c r="AC13" s="126"/>
      <c r="AD13" s="132" t="s">
        <v>1411</v>
      </c>
      <c r="AE13" s="132" t="n">
        <f aca="false">U13+Z13</f>
        <v>13</v>
      </c>
      <c r="AF13" s="133" t="n">
        <f aca="false">(AE13/$AE$25)</f>
        <v>0.110169491525424</v>
      </c>
      <c r="AG13" s="133" t="n">
        <f aca="false">AG14+AF13</f>
        <v>0.635593220338983</v>
      </c>
      <c r="AH13" s="127"/>
      <c r="AK13" s="131"/>
      <c r="AL13" s="132" t="s">
        <v>1411</v>
      </c>
      <c r="AM13" s="132" t="n">
        <f aca="false">C13+U13</f>
        <v>0</v>
      </c>
      <c r="AN13" s="133" t="n">
        <f aca="false">(AM13/$AM$25)</f>
        <v>0</v>
      </c>
      <c r="AO13" s="133" t="n">
        <f aca="false">AO14+AN13</f>
        <v>0.735294117647059</v>
      </c>
      <c r="AP13" s="126"/>
      <c r="AQ13" s="132" t="s">
        <v>1411</v>
      </c>
      <c r="AR13" s="132" t="n">
        <f aca="false">Z13+H13</f>
        <v>18</v>
      </c>
      <c r="AS13" s="133" t="n">
        <f aca="false">(AR13/$AR$25)</f>
        <v>0.106508875739645</v>
      </c>
      <c r="AT13" s="133" t="n">
        <f aca="false">AT14+AS13</f>
        <v>0.733727810650888</v>
      </c>
      <c r="AU13" s="126"/>
      <c r="AV13" s="132" t="s">
        <v>1411</v>
      </c>
      <c r="AW13" s="132" t="n">
        <f aca="false">AM13+AR13</f>
        <v>18</v>
      </c>
      <c r="AX13" s="133" t="n">
        <f aca="false">(AW13/$AW$25)</f>
        <v>0.0886699507389163</v>
      </c>
      <c r="AY13" s="133" t="n">
        <f aca="false">AY14+AX13</f>
        <v>0.733990147783251</v>
      </c>
      <c r="AZ13" s="127"/>
    </row>
    <row r="14" customFormat="false" ht="15.75" hidden="false" customHeight="true" outlineLevel="0" collapsed="false">
      <c r="A14" s="131"/>
      <c r="B14" s="132" t="s">
        <v>1412</v>
      </c>
      <c r="C14" s="132" t="n">
        <f aca="false">COUNTIFS(LIBRO_SOCIOS!$V:$V,"&gt;40",LIBRO_SOCIOS!$V:$V,"&lt;46",LIBRO_SOCIOS!$M:$M,"ZITRON-ASCAZ ambulatoria")</f>
        <v>2</v>
      </c>
      <c r="D14" s="133" t="n">
        <f aca="false">(C14/$C$25)</f>
        <v>0.142857142857143</v>
      </c>
      <c r="E14" s="133" t="n">
        <f aca="false">E15+D14</f>
        <v>1</v>
      </c>
      <c r="F14" s="126"/>
      <c r="G14" s="132" t="s">
        <v>1412</v>
      </c>
      <c r="H14" s="132" t="n">
        <f aca="false">COUNTIFS(LIBRO_SOCIOS!$V:$V,"&gt;40",LIBRO_SOCIOS!$V:$V,"&lt;46",LIBRO_SOCIOS!$M:$M,"ZITRON-ASCAZ HOSPITALARIA")</f>
        <v>14</v>
      </c>
      <c r="I14" s="133" t="n">
        <f aca="false">(H14/$H$25)</f>
        <v>0.197183098591549</v>
      </c>
      <c r="J14" s="133" t="n">
        <f aca="false">J15+I14</f>
        <v>0.774647887323944</v>
      </c>
      <c r="K14" s="126"/>
      <c r="L14" s="132" t="s">
        <v>1412</v>
      </c>
      <c r="M14" s="132" t="n">
        <f aca="false">C14+H14</f>
        <v>16</v>
      </c>
      <c r="N14" s="133" t="n">
        <f aca="false">(M14/$M$25)</f>
        <v>0.188235294117647</v>
      </c>
      <c r="O14" s="133" t="n">
        <f aca="false">O15+N14</f>
        <v>0.811764705882353</v>
      </c>
      <c r="P14" s="127"/>
      <c r="S14" s="131"/>
      <c r="T14" s="132" t="s">
        <v>1412</v>
      </c>
      <c r="U14" s="132" t="n">
        <f aca="false">COUNTIFS(LIBRO_SOCIOS!$V:$V,"&gt;40",LIBRO_SOCIOS!$V:$V,"&lt;46",LIBRO_SOCIOS!$M:$M,"ASCAZ ambulatoria")</f>
        <v>2</v>
      </c>
      <c r="V14" s="133" t="n">
        <f aca="false">(U14/$U$25)</f>
        <v>0.1</v>
      </c>
      <c r="W14" s="133" t="n">
        <f aca="false">W15+V14</f>
        <v>0.55</v>
      </c>
      <c r="X14" s="126"/>
      <c r="Y14" s="132" t="s">
        <v>1412</v>
      </c>
      <c r="Z14" s="132" t="n">
        <f aca="false">COUNTIFS(LIBRO_SOCIOS!$V:$V,"&gt;40",LIBRO_SOCIOS!$V:$V,"&lt;46",LIBRO_SOCIOS!$M:$M,"ASCAZ HOSPITALARIA")</f>
        <v>18</v>
      </c>
      <c r="AA14" s="133" t="n">
        <f aca="false">(Z14/$Z$25)</f>
        <v>0.183673469387755</v>
      </c>
      <c r="AB14" s="133" t="n">
        <f aca="false">AB15+AA14</f>
        <v>0.520408163265306</v>
      </c>
      <c r="AC14" s="126"/>
      <c r="AD14" s="132" t="s">
        <v>1412</v>
      </c>
      <c r="AE14" s="132" t="n">
        <f aca="false">U14+Z14</f>
        <v>20</v>
      </c>
      <c r="AF14" s="133" t="n">
        <f aca="false">(AE14/$AE$25)</f>
        <v>0.169491525423729</v>
      </c>
      <c r="AG14" s="133" t="n">
        <f aca="false">AG15+AF14</f>
        <v>0.525423728813559</v>
      </c>
      <c r="AH14" s="127"/>
      <c r="AK14" s="131"/>
      <c r="AL14" s="132" t="s">
        <v>1412</v>
      </c>
      <c r="AM14" s="132" t="n">
        <f aca="false">C14+U14</f>
        <v>4</v>
      </c>
      <c r="AN14" s="133" t="n">
        <f aca="false">(AM14/$AM$25)</f>
        <v>0.117647058823529</v>
      </c>
      <c r="AO14" s="133" t="n">
        <f aca="false">AO15+AN14</f>
        <v>0.735294117647059</v>
      </c>
      <c r="AP14" s="126"/>
      <c r="AQ14" s="132" t="s">
        <v>1412</v>
      </c>
      <c r="AR14" s="132" t="n">
        <f aca="false">Z14+H14</f>
        <v>32</v>
      </c>
      <c r="AS14" s="133" t="n">
        <f aca="false">(AR14/$AR$25)</f>
        <v>0.189349112426036</v>
      </c>
      <c r="AT14" s="133" t="n">
        <f aca="false">AT15+AS14</f>
        <v>0.627218934911243</v>
      </c>
      <c r="AU14" s="126"/>
      <c r="AV14" s="132" t="s">
        <v>1412</v>
      </c>
      <c r="AW14" s="132" t="n">
        <f aca="false">AM14+AR14</f>
        <v>36</v>
      </c>
      <c r="AX14" s="133" t="n">
        <f aca="false">(AW14/$AW$25)</f>
        <v>0.177339901477833</v>
      </c>
      <c r="AY14" s="133" t="n">
        <f aca="false">AY15+AX14</f>
        <v>0.645320197044335</v>
      </c>
      <c r="AZ14" s="127"/>
    </row>
    <row r="15" customFormat="false" ht="15.75" hidden="false" customHeight="true" outlineLevel="0" collapsed="false">
      <c r="A15" s="131"/>
      <c r="B15" s="132" t="s">
        <v>1413</v>
      </c>
      <c r="C15" s="132" t="n">
        <f aca="false">COUNTIFS(LIBRO_SOCIOS!$V:$V,"&gt;35",LIBRO_SOCIOS!$V:$V,"&lt;41",LIBRO_SOCIOS!$M:$M,"ZITRON-ASCAZ ambulatoria")</f>
        <v>1</v>
      </c>
      <c r="D15" s="133" t="n">
        <f aca="false">(C15/$C$25)</f>
        <v>0.0714285714285714</v>
      </c>
      <c r="E15" s="133" t="n">
        <f aca="false">E16+D15</f>
        <v>0.857142857142857</v>
      </c>
      <c r="F15" s="126"/>
      <c r="G15" s="132" t="s">
        <v>1413</v>
      </c>
      <c r="H15" s="132" t="n">
        <f aca="false">COUNTIFS(LIBRO_SOCIOS!$V:$V,"&gt;35",LIBRO_SOCIOS!$V:$V,"&lt;41",LIBRO_SOCIOS!$M:$M,"ZITRON-ASCAZ HOSPITALARIA")</f>
        <v>18</v>
      </c>
      <c r="I15" s="133" t="n">
        <f aca="false">(H15/$H$25)</f>
        <v>0.253521126760563</v>
      </c>
      <c r="J15" s="133" t="n">
        <f aca="false">J16+I15</f>
        <v>0.577464788732394</v>
      </c>
      <c r="K15" s="126"/>
      <c r="L15" s="132" t="s">
        <v>1413</v>
      </c>
      <c r="M15" s="132" t="n">
        <f aca="false">C15+H15</f>
        <v>19</v>
      </c>
      <c r="N15" s="133" t="n">
        <f aca="false">(M15/$M$25)</f>
        <v>0.223529411764706</v>
      </c>
      <c r="O15" s="133" t="n">
        <f aca="false">O16+N15</f>
        <v>0.623529411764706</v>
      </c>
      <c r="P15" s="127"/>
      <c r="S15" s="131"/>
      <c r="T15" s="132" t="s">
        <v>1413</v>
      </c>
      <c r="U15" s="132" t="n">
        <f aca="false">COUNTIFS(LIBRO_SOCIOS!$V:$V,"&gt;35",LIBRO_SOCIOS!$V:$V,"&lt;41",LIBRO_SOCIOS!$M:$M,"ASCAZ ambulatoria")</f>
        <v>3</v>
      </c>
      <c r="V15" s="133" t="n">
        <f aca="false">(U15/$U$25)</f>
        <v>0.15</v>
      </c>
      <c r="W15" s="133" t="n">
        <f aca="false">W16+V15</f>
        <v>0.45</v>
      </c>
      <c r="X15" s="126"/>
      <c r="Y15" s="132" t="s">
        <v>1413</v>
      </c>
      <c r="Z15" s="132" t="n">
        <f aca="false">COUNTIFS(LIBRO_SOCIOS!$V:$V,"&gt;35",LIBRO_SOCIOS!$V:$V,"&lt;41",LIBRO_SOCIOS!$M:$M,"ASCAZ HOSPITALARIA")</f>
        <v>15</v>
      </c>
      <c r="AA15" s="133" t="n">
        <f aca="false">(Z15/$Z$25)</f>
        <v>0.153061224489796</v>
      </c>
      <c r="AB15" s="133" t="n">
        <f aca="false">AB16+AA15</f>
        <v>0.336734693877551</v>
      </c>
      <c r="AC15" s="126"/>
      <c r="AD15" s="132" t="s">
        <v>1413</v>
      </c>
      <c r="AE15" s="132" t="n">
        <f aca="false">U15+Z15</f>
        <v>18</v>
      </c>
      <c r="AF15" s="133" t="n">
        <f aca="false">(AE15/$AE$25)</f>
        <v>0.152542372881356</v>
      </c>
      <c r="AG15" s="133" t="n">
        <f aca="false">AG16+AF15</f>
        <v>0.355932203389831</v>
      </c>
      <c r="AH15" s="127"/>
      <c r="AK15" s="131"/>
      <c r="AL15" s="132" t="s">
        <v>1413</v>
      </c>
      <c r="AM15" s="132" t="n">
        <f aca="false">C15+U15</f>
        <v>4</v>
      </c>
      <c r="AN15" s="133" t="n">
        <f aca="false">(AM15/$AM$25)</f>
        <v>0.117647058823529</v>
      </c>
      <c r="AO15" s="133" t="n">
        <f aca="false">AO16+AN15</f>
        <v>0.617647058823529</v>
      </c>
      <c r="AP15" s="126"/>
      <c r="AQ15" s="132" t="s">
        <v>1413</v>
      </c>
      <c r="AR15" s="132" t="n">
        <f aca="false">Z15+H15</f>
        <v>33</v>
      </c>
      <c r="AS15" s="133" t="n">
        <f aca="false">(AR15/$AR$25)</f>
        <v>0.195266272189349</v>
      </c>
      <c r="AT15" s="133" t="n">
        <f aca="false">AT16+AS15</f>
        <v>0.437869822485207</v>
      </c>
      <c r="AU15" s="126"/>
      <c r="AV15" s="132" t="s">
        <v>1413</v>
      </c>
      <c r="AW15" s="132" t="n">
        <f aca="false">AM15+AR15</f>
        <v>37</v>
      </c>
      <c r="AX15" s="133" t="n">
        <f aca="false">(AW15/$AW$25)</f>
        <v>0.182266009852217</v>
      </c>
      <c r="AY15" s="133" t="n">
        <f aca="false">AY16+AX15</f>
        <v>0.467980295566502</v>
      </c>
      <c r="AZ15" s="127"/>
    </row>
    <row r="16" customFormat="false" ht="15" hidden="false" customHeight="true" outlineLevel="0" collapsed="false">
      <c r="A16" s="131"/>
      <c r="B16" s="132" t="s">
        <v>1414</v>
      </c>
      <c r="C16" s="132" t="n">
        <f aca="false">COUNTIFS(LIBRO_SOCIOS!$V:$V,"&gt;30",LIBRO_SOCIOS!$V:$V,"&lt;36",LIBRO_SOCIOS!$M:$M,"ZITRON-ASCAZ ambulatoria")</f>
        <v>0</v>
      </c>
      <c r="D16" s="133" t="n">
        <f aca="false">(C16/$C$25)</f>
        <v>0</v>
      </c>
      <c r="E16" s="133" t="n">
        <f aca="false">E17+D16</f>
        <v>0.785714285714286</v>
      </c>
      <c r="F16" s="126"/>
      <c r="G16" s="132" t="s">
        <v>1414</v>
      </c>
      <c r="H16" s="132" t="n">
        <f aca="false">COUNTIFS(LIBRO_SOCIOS!$V:$V,"&gt;30",LIBRO_SOCIOS!$V:$V,"&lt;36",LIBRO_SOCIOS!$M:$M,"ZITRON-ASCAZ HOSPITALARIA")</f>
        <v>12</v>
      </c>
      <c r="I16" s="133" t="n">
        <f aca="false">(H16/$H$25)</f>
        <v>0.169014084507042</v>
      </c>
      <c r="J16" s="133" t="n">
        <f aca="false">J17+I16</f>
        <v>0.323943661971831</v>
      </c>
      <c r="K16" s="126"/>
      <c r="L16" s="132" t="s">
        <v>1414</v>
      </c>
      <c r="M16" s="132" t="n">
        <f aca="false">C16+H16</f>
        <v>12</v>
      </c>
      <c r="N16" s="133" t="n">
        <f aca="false">(M16/$M$25)</f>
        <v>0.141176470588235</v>
      </c>
      <c r="O16" s="133" t="n">
        <f aca="false">O17+N16</f>
        <v>0.4</v>
      </c>
      <c r="P16" s="127"/>
      <c r="S16" s="131"/>
      <c r="T16" s="132" t="s">
        <v>1414</v>
      </c>
      <c r="U16" s="132" t="n">
        <f aca="false">COUNTIFS(LIBRO_SOCIOS!$V:$V,"&gt;30",LIBRO_SOCIOS!$V:$V,"&lt;36",LIBRO_SOCIOS!$M:$M,"ASCAZ ambulatoria")</f>
        <v>1</v>
      </c>
      <c r="V16" s="133" t="n">
        <f aca="false">(U16/$U$25)</f>
        <v>0.05</v>
      </c>
      <c r="W16" s="133" t="n">
        <f aca="false">W17+V16</f>
        <v>0.3</v>
      </c>
      <c r="X16" s="126"/>
      <c r="Y16" s="132" t="s">
        <v>1414</v>
      </c>
      <c r="Z16" s="132" t="n">
        <f aca="false">COUNTIFS(LIBRO_SOCIOS!$V:$V,"&gt;30",LIBRO_SOCIOS!$V:$V,"&lt;36",LIBRO_SOCIOS!$M:$M,"ASCAZ HOSPITALARIA")</f>
        <v>10</v>
      </c>
      <c r="AA16" s="133" t="n">
        <f aca="false">(Z16/$Z$25)</f>
        <v>0.102040816326531</v>
      </c>
      <c r="AB16" s="133" t="n">
        <f aca="false">AB17+AA16</f>
        <v>0.183673469387755</v>
      </c>
      <c r="AC16" s="126"/>
      <c r="AD16" s="132" t="s">
        <v>1414</v>
      </c>
      <c r="AE16" s="132" t="n">
        <f aca="false">U16+Z16</f>
        <v>11</v>
      </c>
      <c r="AF16" s="133" t="n">
        <f aca="false">(AE16/$AE$25)</f>
        <v>0.0932203389830509</v>
      </c>
      <c r="AG16" s="133" t="n">
        <f aca="false">AG17+AF16</f>
        <v>0.203389830508475</v>
      </c>
      <c r="AH16" s="127"/>
      <c r="AK16" s="131"/>
      <c r="AL16" s="132" t="s">
        <v>1414</v>
      </c>
      <c r="AM16" s="132" t="n">
        <f aca="false">C16+U16</f>
        <v>1</v>
      </c>
      <c r="AN16" s="133" t="n">
        <f aca="false">(AM16/$AM$25)</f>
        <v>0.0294117647058823</v>
      </c>
      <c r="AO16" s="133" t="n">
        <f aca="false">AO17+AN16</f>
        <v>0.5</v>
      </c>
      <c r="AP16" s="126"/>
      <c r="AQ16" s="132" t="s">
        <v>1414</v>
      </c>
      <c r="AR16" s="132" t="n">
        <f aca="false">Z16+H16</f>
        <v>22</v>
      </c>
      <c r="AS16" s="133" t="n">
        <f aca="false">(AR16/$AR$25)</f>
        <v>0.130177514792899</v>
      </c>
      <c r="AT16" s="133" t="n">
        <f aca="false">AT17+AS16</f>
        <v>0.242603550295858</v>
      </c>
      <c r="AU16" s="126"/>
      <c r="AV16" s="132" t="s">
        <v>1414</v>
      </c>
      <c r="AW16" s="132" t="n">
        <f aca="false">AM16+AR16</f>
        <v>23</v>
      </c>
      <c r="AX16" s="133" t="n">
        <f aca="false">(AW16/$AW$25)</f>
        <v>0.113300492610837</v>
      </c>
      <c r="AY16" s="133" t="n">
        <f aca="false">AY17+AX16</f>
        <v>0.285714285714286</v>
      </c>
      <c r="AZ16" s="127"/>
    </row>
    <row r="17" customFormat="false" ht="15" hidden="false" customHeight="true" outlineLevel="0" collapsed="false">
      <c r="A17" s="131"/>
      <c r="B17" s="132" t="s">
        <v>1415</v>
      </c>
      <c r="C17" s="132" t="n">
        <f aca="false">COUNTIFS(LIBRO_SOCIOS!$V:$V,"&gt;25",LIBRO_SOCIOS!$V:$V,"&lt;31",LIBRO_SOCIOS!$M:$M,"ZITRON-ASCAZ ambulatoria")</f>
        <v>0</v>
      </c>
      <c r="D17" s="133" t="n">
        <f aca="false">(C17/$C$25)</f>
        <v>0</v>
      </c>
      <c r="E17" s="133" t="n">
        <f aca="false">E18+D17</f>
        <v>0.785714285714286</v>
      </c>
      <c r="F17" s="126"/>
      <c r="G17" s="132" t="s">
        <v>1415</v>
      </c>
      <c r="H17" s="132" t="n">
        <f aca="false">COUNTIFS(LIBRO_SOCIOS!$V:$V,"&gt;25",LIBRO_SOCIOS!$V:$V,"&lt;31",LIBRO_SOCIOS!$M:$M,"ZITRON-ASCAZ HOSPITALARIA")</f>
        <v>3</v>
      </c>
      <c r="I17" s="133" t="n">
        <f aca="false">(H17/$H$25)</f>
        <v>0.0422535211267606</v>
      </c>
      <c r="J17" s="133" t="n">
        <f aca="false">J18+I17</f>
        <v>0.154929577464789</v>
      </c>
      <c r="K17" s="126"/>
      <c r="L17" s="132" t="s">
        <v>1415</v>
      </c>
      <c r="M17" s="132" t="n">
        <f aca="false">C17+H17</f>
        <v>3</v>
      </c>
      <c r="N17" s="133" t="n">
        <f aca="false">(M17/$M$25)</f>
        <v>0.0352941176470588</v>
      </c>
      <c r="O17" s="133" t="n">
        <f aca="false">O18+N17</f>
        <v>0.258823529411765</v>
      </c>
      <c r="P17" s="127"/>
      <c r="S17" s="131"/>
      <c r="T17" s="132" t="s">
        <v>1415</v>
      </c>
      <c r="U17" s="132" t="n">
        <f aca="false">COUNTIFS(LIBRO_SOCIOS!$V:$V,"&gt;25",LIBRO_SOCIOS!$V:$V,"&lt;31",LIBRO_SOCIOS!$M:$M,"ASCAZ ambulatoria")</f>
        <v>1</v>
      </c>
      <c r="V17" s="133" t="n">
        <f aca="false">(U17/$U$25)</f>
        <v>0.05</v>
      </c>
      <c r="W17" s="133" t="n">
        <f aca="false">W18+V17</f>
        <v>0.25</v>
      </c>
      <c r="X17" s="126"/>
      <c r="Y17" s="132" t="s">
        <v>1415</v>
      </c>
      <c r="Z17" s="132" t="n">
        <f aca="false">COUNTIFS(LIBRO_SOCIOS!$V:$V,"&gt;25",LIBRO_SOCIOS!$V:$V,"&lt;31",LIBRO_SOCIOS!$M:$M,"ASCAZ HOSPITALARIA")</f>
        <v>2</v>
      </c>
      <c r="AA17" s="133" t="n">
        <f aca="false">(Z17/$Z$25)</f>
        <v>0.0204081632653061</v>
      </c>
      <c r="AB17" s="133" t="n">
        <f aca="false">AB18+AA17</f>
        <v>0.0816326530612245</v>
      </c>
      <c r="AC17" s="126"/>
      <c r="AD17" s="132" t="s">
        <v>1415</v>
      </c>
      <c r="AE17" s="132" t="n">
        <f aca="false">U17+Z17</f>
        <v>3</v>
      </c>
      <c r="AF17" s="133" t="n">
        <f aca="false">(AE17/$AE$25)</f>
        <v>0.0254237288135593</v>
      </c>
      <c r="AG17" s="133" t="n">
        <f aca="false">AG18+AF17</f>
        <v>0.110169491525424</v>
      </c>
      <c r="AH17" s="127"/>
      <c r="AK17" s="131"/>
      <c r="AL17" s="132" t="s">
        <v>1415</v>
      </c>
      <c r="AM17" s="132" t="n">
        <f aca="false">C17+U17</f>
        <v>1</v>
      </c>
      <c r="AN17" s="133" t="n">
        <f aca="false">(AM17/$AM$25)</f>
        <v>0.0294117647058823</v>
      </c>
      <c r="AO17" s="133" t="n">
        <f aca="false">AO18+AN17</f>
        <v>0.470588235294118</v>
      </c>
      <c r="AP17" s="126"/>
      <c r="AQ17" s="132" t="s">
        <v>1415</v>
      </c>
      <c r="AR17" s="132" t="n">
        <f aca="false">Z17+H17</f>
        <v>5</v>
      </c>
      <c r="AS17" s="133" t="n">
        <f aca="false">(AR17/$AR$25)</f>
        <v>0.029585798816568</v>
      </c>
      <c r="AT17" s="133" t="n">
        <f aca="false">AT18+AS17</f>
        <v>0.112426035502959</v>
      </c>
      <c r="AU17" s="126"/>
      <c r="AV17" s="132" t="s">
        <v>1415</v>
      </c>
      <c r="AW17" s="132" t="n">
        <f aca="false">AM17+AR17</f>
        <v>6</v>
      </c>
      <c r="AX17" s="133" t="n">
        <f aca="false">(AW17/$AW$25)</f>
        <v>0.0295566502463054</v>
      </c>
      <c r="AY17" s="133" t="n">
        <f aca="false">AY18+AX17</f>
        <v>0.172413793103448</v>
      </c>
      <c r="AZ17" s="127"/>
    </row>
    <row r="18" customFormat="false" ht="15.75" hidden="false" customHeight="true" outlineLevel="0" collapsed="false">
      <c r="A18" s="131"/>
      <c r="B18" s="132" t="s">
        <v>1416</v>
      </c>
      <c r="C18" s="132" t="n">
        <f aca="false">COUNTIFS(LIBRO_SOCIOS!$V:$V,"&gt;20",LIBRO_SOCIOS!$V:$V,"&lt;26",LIBRO_SOCIOS!$M:$M,"ZITRON-ASCAZ ambulatoria")</f>
        <v>0</v>
      </c>
      <c r="D18" s="133" t="n">
        <f aca="false">(C18/$C$25)</f>
        <v>0</v>
      </c>
      <c r="E18" s="133" t="n">
        <f aca="false">E19+D18</f>
        <v>0.785714285714286</v>
      </c>
      <c r="F18" s="126"/>
      <c r="G18" s="132" t="s">
        <v>1416</v>
      </c>
      <c r="H18" s="132" t="n">
        <f aca="false">COUNTIFS(LIBRO_SOCIOS!$V:$V,"&gt;20",LIBRO_SOCIOS!$V:$V,"&lt;26",LIBRO_SOCIOS!$M:$M,"ZITRON-ASCAZ HOSPITALARIA")</f>
        <v>1</v>
      </c>
      <c r="I18" s="133" t="n">
        <f aca="false">(H18/$H$25)</f>
        <v>0.0140845070422535</v>
      </c>
      <c r="J18" s="133" t="n">
        <f aca="false">J19+I18</f>
        <v>0.112676056338028</v>
      </c>
      <c r="K18" s="126"/>
      <c r="L18" s="132" t="s">
        <v>1416</v>
      </c>
      <c r="M18" s="132" t="n">
        <f aca="false">C18+H18</f>
        <v>1</v>
      </c>
      <c r="N18" s="133" t="n">
        <f aca="false">(M18/$M$25)</f>
        <v>0.0117647058823529</v>
      </c>
      <c r="O18" s="133" t="n">
        <f aca="false">O19+N18</f>
        <v>0.223529411764706</v>
      </c>
      <c r="P18" s="127"/>
      <c r="S18" s="131"/>
      <c r="T18" s="132" t="s">
        <v>1416</v>
      </c>
      <c r="U18" s="132" t="n">
        <f aca="false">COUNTIFS(LIBRO_SOCIOS!$V:$V,"&gt;20",LIBRO_SOCIOS!$V:$V,"&lt;26",LIBRO_SOCIOS!$M:$M,"ASCAZ ambulatoria")</f>
        <v>1</v>
      </c>
      <c r="V18" s="133" t="n">
        <f aca="false">(U18/$U$25)</f>
        <v>0.05</v>
      </c>
      <c r="W18" s="133" t="n">
        <f aca="false">W19+V18</f>
        <v>0.2</v>
      </c>
      <c r="X18" s="126"/>
      <c r="Y18" s="132" t="s">
        <v>1416</v>
      </c>
      <c r="Z18" s="132" t="n">
        <f aca="false">COUNTIFS(LIBRO_SOCIOS!$V:$V,"&gt;20",LIBRO_SOCIOS!$V:$V,"&lt;26",LIBRO_SOCIOS!$M:$M,"ASCAZ HOSPITALARIA")</f>
        <v>0</v>
      </c>
      <c r="AA18" s="133" t="n">
        <f aca="false">(Z18/$Z$25)</f>
        <v>0</v>
      </c>
      <c r="AB18" s="133" t="n">
        <f aca="false">AB19+AA18</f>
        <v>0.0612244897959184</v>
      </c>
      <c r="AC18" s="126"/>
      <c r="AD18" s="132" t="s">
        <v>1416</v>
      </c>
      <c r="AE18" s="132" t="n">
        <f aca="false">U18+Z18</f>
        <v>1</v>
      </c>
      <c r="AF18" s="133" t="n">
        <f aca="false">(AE18/$AE$25)</f>
        <v>0.00847457627118644</v>
      </c>
      <c r="AG18" s="133" t="n">
        <f aca="false">AG19+AF18</f>
        <v>0.0847457627118644</v>
      </c>
      <c r="AH18" s="127"/>
      <c r="AK18" s="131"/>
      <c r="AL18" s="132" t="s">
        <v>1416</v>
      </c>
      <c r="AM18" s="132" t="n">
        <f aca="false">C18+U18</f>
        <v>1</v>
      </c>
      <c r="AN18" s="133" t="n">
        <f aca="false">(AM18/$AM$25)</f>
        <v>0.0294117647058823</v>
      </c>
      <c r="AO18" s="133" t="n">
        <f aca="false">AO19+AN18</f>
        <v>0.441176470588235</v>
      </c>
      <c r="AP18" s="126"/>
      <c r="AQ18" s="132" t="s">
        <v>1416</v>
      </c>
      <c r="AR18" s="132" t="n">
        <f aca="false">Z18+H18</f>
        <v>1</v>
      </c>
      <c r="AS18" s="133" t="n">
        <f aca="false">(AR18/$AR$25)</f>
        <v>0.00591715976331361</v>
      </c>
      <c r="AT18" s="133" t="n">
        <f aca="false">AT19+AS18</f>
        <v>0.0828402366863905</v>
      </c>
      <c r="AU18" s="126"/>
      <c r="AV18" s="132" t="s">
        <v>1416</v>
      </c>
      <c r="AW18" s="132" t="n">
        <f aca="false">AM18+AR18</f>
        <v>2</v>
      </c>
      <c r="AX18" s="133" t="n">
        <f aca="false">(AW18/$AW$25)</f>
        <v>0.00985221674876847</v>
      </c>
      <c r="AY18" s="133" t="n">
        <f aca="false">AY19+AX18</f>
        <v>0.142857142857143</v>
      </c>
      <c r="AZ18" s="127"/>
    </row>
    <row r="19" customFormat="false" ht="15.75" hidden="false" customHeight="true" outlineLevel="0" collapsed="false">
      <c r="A19" s="131"/>
      <c r="B19" s="134" t="s">
        <v>1417</v>
      </c>
      <c r="C19" s="132" t="n">
        <f aca="false">COUNTIFS(LIBRO_SOCIOS!$V:$V,"&gt;10",LIBRO_SOCIOS!$V:$V,"&lt;16",LIBRO_SOCIOS!$M:$M,"ZITRON-ASCAZ ambulatoria")</f>
        <v>2</v>
      </c>
      <c r="D19" s="133" t="n">
        <f aca="false">(C19/$C$25)</f>
        <v>0.142857142857143</v>
      </c>
      <c r="E19" s="133" t="n">
        <f aca="false">E20+D19</f>
        <v>0.785714285714286</v>
      </c>
      <c r="F19" s="126"/>
      <c r="G19" s="134" t="s">
        <v>1417</v>
      </c>
      <c r="H19" s="132" t="n">
        <f aca="false">COUNTIFS(LIBRO_SOCIOS!$V:$V,"&gt;10",LIBRO_SOCIOS!$V:$V,"&lt;16",LIBRO_SOCIOS!$M:$M,"ZITRON-ASCAZ HOSPITALARIA")</f>
        <v>1</v>
      </c>
      <c r="I19" s="133" t="n">
        <f aca="false">(H19/$H$25)</f>
        <v>0.0140845070422535</v>
      </c>
      <c r="J19" s="133" t="n">
        <f aca="false">J20+I19</f>
        <v>0.0985915492957746</v>
      </c>
      <c r="K19" s="126"/>
      <c r="L19" s="134" t="s">
        <v>1417</v>
      </c>
      <c r="M19" s="132" t="n">
        <f aca="false">C19+H19</f>
        <v>3</v>
      </c>
      <c r="N19" s="133" t="n">
        <f aca="false">(M19/$M$25)</f>
        <v>0.0352941176470588</v>
      </c>
      <c r="O19" s="133" t="n">
        <f aca="false">O20+N19</f>
        <v>0.211764705882353</v>
      </c>
      <c r="P19" s="127"/>
      <c r="S19" s="131"/>
      <c r="T19" s="134" t="s">
        <v>1417</v>
      </c>
      <c r="U19" s="132" t="n">
        <f aca="false">COUNTIFS(LIBRO_SOCIOS!$V:$V,"&gt;10",LIBRO_SOCIOS!$V:$V,"&lt;16",LIBRO_SOCIOS!$M:$M,"ASCAZ ambulatoria")</f>
        <v>0</v>
      </c>
      <c r="V19" s="133" t="n">
        <f aca="false">(U19/$U$25)</f>
        <v>0</v>
      </c>
      <c r="W19" s="133" t="n">
        <f aca="false">W20+V19</f>
        <v>0.15</v>
      </c>
      <c r="X19" s="126"/>
      <c r="Y19" s="134" t="s">
        <v>1417</v>
      </c>
      <c r="Z19" s="132" t="n">
        <f aca="false">COUNTIFS(LIBRO_SOCIOS!$V:$V,"&gt;10",LIBRO_SOCIOS!$V:$V,"&lt;16",LIBRO_SOCIOS!$M:$M,"ASCAZ HOSPITALARIA")</f>
        <v>0</v>
      </c>
      <c r="AA19" s="133" t="n">
        <f aca="false">(Z19/$Z$25)</f>
        <v>0</v>
      </c>
      <c r="AB19" s="133" t="n">
        <f aca="false">AB20+AA19</f>
        <v>0.0612244897959184</v>
      </c>
      <c r="AC19" s="126"/>
      <c r="AD19" s="134" t="s">
        <v>1417</v>
      </c>
      <c r="AE19" s="132" t="n">
        <f aca="false">U19+Z19</f>
        <v>0</v>
      </c>
      <c r="AF19" s="133" t="n">
        <f aca="false">(AE19/$AE$25)</f>
        <v>0</v>
      </c>
      <c r="AG19" s="133" t="n">
        <f aca="false">AG20+AF19</f>
        <v>0.076271186440678</v>
      </c>
      <c r="AH19" s="127"/>
      <c r="AK19" s="131"/>
      <c r="AL19" s="134" t="s">
        <v>1417</v>
      </c>
      <c r="AM19" s="132" t="n">
        <f aca="false">C19+U19</f>
        <v>2</v>
      </c>
      <c r="AN19" s="133" t="n">
        <f aca="false">(AM19/$AM$25)</f>
        <v>0.0588235294117647</v>
      </c>
      <c r="AO19" s="133" t="n">
        <f aca="false">AO20+AN19</f>
        <v>0.411764705882353</v>
      </c>
      <c r="AP19" s="126"/>
      <c r="AQ19" s="134" t="s">
        <v>1417</v>
      </c>
      <c r="AR19" s="132" t="n">
        <f aca="false">Z19+H19</f>
        <v>1</v>
      </c>
      <c r="AS19" s="133" t="n">
        <f aca="false">(AR19/$AR$25)</f>
        <v>0.00591715976331361</v>
      </c>
      <c r="AT19" s="133" t="n">
        <f aca="false">AT20+AS19</f>
        <v>0.0769230769230769</v>
      </c>
      <c r="AU19" s="126"/>
      <c r="AV19" s="134" t="s">
        <v>1417</v>
      </c>
      <c r="AW19" s="132" t="n">
        <f aca="false">AM19+AR19</f>
        <v>3</v>
      </c>
      <c r="AX19" s="133" t="n">
        <f aca="false">(AW19/$AW$25)</f>
        <v>0.0147783251231527</v>
      </c>
      <c r="AY19" s="133" t="n">
        <f aca="false">AY20+AX19</f>
        <v>0.133004926108374</v>
      </c>
      <c r="AZ19" s="127"/>
    </row>
    <row r="20" customFormat="false" ht="15.75" hidden="false" customHeight="true" outlineLevel="0" collapsed="false">
      <c r="A20" s="131"/>
      <c r="B20" s="134" t="s">
        <v>1418</v>
      </c>
      <c r="C20" s="132" t="n">
        <f aca="false">COUNTIFS(LIBRO_SOCIOS!$V:$V,"&gt;15",LIBRO_SOCIOS!$V:$V,"&lt;21",LIBRO_SOCIOS!$M:$M,"ZITRON-ASCAZ ambulatoria")</f>
        <v>1</v>
      </c>
      <c r="D20" s="133" t="n">
        <f aca="false">(C20/$C$25)</f>
        <v>0.0714285714285714</v>
      </c>
      <c r="E20" s="133" t="n">
        <f aca="false">E21+D20</f>
        <v>0.642857142857143</v>
      </c>
      <c r="F20" s="126"/>
      <c r="G20" s="134" t="s">
        <v>1418</v>
      </c>
      <c r="H20" s="132" t="n">
        <f aca="false">COUNTIFS(LIBRO_SOCIOS!$V:$V,"&gt;15",LIBRO_SOCIOS!$V:$V,"&lt;21",LIBRO_SOCIOS!$M:$M,"ZITRON-ASCAZ HOSPITALARIA")</f>
        <v>1</v>
      </c>
      <c r="I20" s="133" t="n">
        <f aca="false">(H20/$H$25)</f>
        <v>0.0140845070422535</v>
      </c>
      <c r="J20" s="133" t="n">
        <f aca="false">J21+I20</f>
        <v>0.0845070422535211</v>
      </c>
      <c r="K20" s="126"/>
      <c r="L20" s="134" t="s">
        <v>1418</v>
      </c>
      <c r="M20" s="132" t="n">
        <f aca="false">C20+H20</f>
        <v>2</v>
      </c>
      <c r="N20" s="133" t="n">
        <f aca="false">(M20/$M$25)</f>
        <v>0.0235294117647059</v>
      </c>
      <c r="O20" s="133" t="n">
        <f aca="false">O21+N20</f>
        <v>0.176470588235294</v>
      </c>
      <c r="P20" s="127"/>
      <c r="S20" s="131"/>
      <c r="T20" s="134" t="s">
        <v>1418</v>
      </c>
      <c r="U20" s="132" t="n">
        <f aca="false">COUNTIFS(LIBRO_SOCIOS!$V:$V,"&gt;15",LIBRO_SOCIOS!$V:$V,"&lt;21",LIBRO_SOCIOS!$M:$M,"ASCAZ ambulatoria")</f>
        <v>0</v>
      </c>
      <c r="V20" s="133" t="n">
        <f aca="false">(U20/$U$25)</f>
        <v>0</v>
      </c>
      <c r="W20" s="133" t="n">
        <f aca="false">W21+V20</f>
        <v>0.15</v>
      </c>
      <c r="X20" s="126"/>
      <c r="Y20" s="134" t="s">
        <v>1418</v>
      </c>
      <c r="Z20" s="132" t="n">
        <f aca="false">COUNTIFS(LIBRO_SOCIOS!$V:$V,"&gt;15",LIBRO_SOCIOS!$V:$V,"&lt;21",LIBRO_SOCIOS!$M:$M,"ASCAZ HOSPITALARIA")</f>
        <v>2</v>
      </c>
      <c r="AA20" s="133" t="n">
        <f aca="false">(Z20/$Z$25)</f>
        <v>0.0204081632653061</v>
      </c>
      <c r="AB20" s="133" t="n">
        <f aca="false">AB21+AA20</f>
        <v>0.0612244897959184</v>
      </c>
      <c r="AC20" s="126"/>
      <c r="AD20" s="134" t="s">
        <v>1418</v>
      </c>
      <c r="AE20" s="132" t="n">
        <f aca="false">U20+Z20</f>
        <v>2</v>
      </c>
      <c r="AF20" s="133" t="n">
        <f aca="false">(AE20/$AE$25)</f>
        <v>0.0169491525423729</v>
      </c>
      <c r="AG20" s="133" t="n">
        <f aca="false">AG21+AF20</f>
        <v>0.076271186440678</v>
      </c>
      <c r="AH20" s="127"/>
      <c r="AK20" s="131"/>
      <c r="AL20" s="134" t="s">
        <v>1418</v>
      </c>
      <c r="AM20" s="132" t="n">
        <f aca="false">C20+U20</f>
        <v>1</v>
      </c>
      <c r="AN20" s="133" t="n">
        <f aca="false">(AM20/$AM$25)</f>
        <v>0.0294117647058823</v>
      </c>
      <c r="AO20" s="133" t="n">
        <f aca="false">AO21+AN20</f>
        <v>0.352941176470588</v>
      </c>
      <c r="AP20" s="126"/>
      <c r="AQ20" s="134" t="s">
        <v>1418</v>
      </c>
      <c r="AR20" s="132" t="n">
        <f aca="false">Z20+H20</f>
        <v>3</v>
      </c>
      <c r="AS20" s="133" t="n">
        <f aca="false">(AR20/$AR$25)</f>
        <v>0.0177514792899408</v>
      </c>
      <c r="AT20" s="133" t="n">
        <f aca="false">AT21+AS20</f>
        <v>0.0710059171597633</v>
      </c>
      <c r="AU20" s="126"/>
      <c r="AV20" s="134" t="s">
        <v>1418</v>
      </c>
      <c r="AW20" s="132" t="n">
        <f aca="false">AM20+AR20</f>
        <v>4</v>
      </c>
      <c r="AX20" s="133" t="n">
        <f aca="false">(AW20/$AW$25)</f>
        <v>0.0197044334975369</v>
      </c>
      <c r="AY20" s="133" t="n">
        <f aca="false">AY21+AX20</f>
        <v>0.118226600985222</v>
      </c>
      <c r="AZ20" s="127"/>
    </row>
    <row r="21" customFormat="false" ht="15.75" hidden="false" customHeight="true" outlineLevel="0" collapsed="false">
      <c r="A21" s="131"/>
      <c r="B21" s="134" t="s">
        <v>1419</v>
      </c>
      <c r="C21" s="132" t="n">
        <f aca="false">COUNTIFS(LIBRO_SOCIOS!$V:$V,"&gt;5",LIBRO_SOCIOS!$V:$V,"&lt;11",LIBRO_SOCIOS!$M:$M,"ZITRON-ASCAZ ambulatoria")</f>
        <v>4</v>
      </c>
      <c r="D21" s="133" t="n">
        <f aca="false">(C21/$C$25)</f>
        <v>0.285714285714286</v>
      </c>
      <c r="E21" s="133" t="n">
        <f aca="false">D22+D21</f>
        <v>0.571428571428571</v>
      </c>
      <c r="F21" s="126"/>
      <c r="G21" s="134" t="s">
        <v>1419</v>
      </c>
      <c r="H21" s="132" t="n">
        <f aca="false">COUNTIFS(LIBRO_SOCIOS!$V:$V,"&gt;5",LIBRO_SOCIOS!$V:$V,"&lt;11",LIBRO_SOCIOS!$M:$M,"ZITRON-ASCAZ HOSPITALARIA")</f>
        <v>4</v>
      </c>
      <c r="I21" s="133" t="n">
        <f aca="false">(H21/$H$25)</f>
        <v>0.0563380281690141</v>
      </c>
      <c r="J21" s="133" t="n">
        <f aca="false">I22+I21</f>
        <v>0.0704225352112676</v>
      </c>
      <c r="K21" s="126"/>
      <c r="L21" s="134" t="s">
        <v>1419</v>
      </c>
      <c r="M21" s="132" t="n">
        <f aca="false">C21+H21</f>
        <v>8</v>
      </c>
      <c r="N21" s="133" t="n">
        <f aca="false">(M21/$M$25)</f>
        <v>0.0941176470588235</v>
      </c>
      <c r="O21" s="133" t="n">
        <f aca="false">N22+N21</f>
        <v>0.152941176470588</v>
      </c>
      <c r="P21" s="127"/>
      <c r="S21" s="131"/>
      <c r="T21" s="134" t="s">
        <v>1419</v>
      </c>
      <c r="U21" s="132" t="n">
        <f aca="false">COUNTIFS(LIBRO_SOCIOS!$V:$V,"&gt;5",LIBRO_SOCIOS!$V:$V,"&lt;11",LIBRO_SOCIOS!$M:$M,"ASCAZ ambulatoria")</f>
        <v>2</v>
      </c>
      <c r="V21" s="133" t="n">
        <f aca="false">(U21/$U$25)</f>
        <v>0.1</v>
      </c>
      <c r="W21" s="133" t="n">
        <f aca="false">V22+V21</f>
        <v>0.15</v>
      </c>
      <c r="X21" s="126"/>
      <c r="Y21" s="134" t="s">
        <v>1419</v>
      </c>
      <c r="Z21" s="132" t="n">
        <f aca="false">COUNTIFS(LIBRO_SOCIOS!$V:$V,"&gt;5",LIBRO_SOCIOS!$V:$V,"&lt;11",LIBRO_SOCIOS!$M:$M,"ASCAZ HOSPITALARIA")</f>
        <v>2</v>
      </c>
      <c r="AA21" s="133" t="n">
        <f aca="false">(Z21/$Z$25)</f>
        <v>0.0204081632653061</v>
      </c>
      <c r="AB21" s="133" t="n">
        <f aca="false">AA22+AA21</f>
        <v>0.0408163265306122</v>
      </c>
      <c r="AC21" s="126"/>
      <c r="AD21" s="134" t="s">
        <v>1419</v>
      </c>
      <c r="AE21" s="132" t="n">
        <f aca="false">U21+Z21</f>
        <v>4</v>
      </c>
      <c r="AF21" s="133" t="n">
        <f aca="false">(AE21/$AE$25)</f>
        <v>0.0338983050847458</v>
      </c>
      <c r="AG21" s="133" t="n">
        <f aca="false">AF22+AF21</f>
        <v>0.0593220338983051</v>
      </c>
      <c r="AH21" s="127"/>
      <c r="AK21" s="131"/>
      <c r="AL21" s="134" t="s">
        <v>1419</v>
      </c>
      <c r="AM21" s="132" t="n">
        <f aca="false">C21+U21</f>
        <v>6</v>
      </c>
      <c r="AN21" s="133" t="n">
        <f aca="false">(AM21/$AM$25)</f>
        <v>0.176470588235294</v>
      </c>
      <c r="AO21" s="133" t="n">
        <f aca="false">AN22+AN21</f>
        <v>0.323529411764706</v>
      </c>
      <c r="AP21" s="126"/>
      <c r="AQ21" s="134" t="s">
        <v>1419</v>
      </c>
      <c r="AR21" s="132" t="n">
        <f aca="false">Z21+H21</f>
        <v>6</v>
      </c>
      <c r="AS21" s="133" t="n">
        <f aca="false">(AR21/$AR$25)</f>
        <v>0.0355029585798817</v>
      </c>
      <c r="AT21" s="133" t="n">
        <f aca="false">AS22+AS21</f>
        <v>0.0532544378698225</v>
      </c>
      <c r="AU21" s="126"/>
      <c r="AV21" s="134" t="s">
        <v>1419</v>
      </c>
      <c r="AW21" s="132" t="n">
        <f aca="false">AM21+AR21</f>
        <v>12</v>
      </c>
      <c r="AX21" s="133" t="n">
        <f aca="false">(AW21/$AW$25)</f>
        <v>0.0591133004926108</v>
      </c>
      <c r="AY21" s="133" t="n">
        <f aca="false">AX22+AX21</f>
        <v>0.0985221674876847</v>
      </c>
      <c r="AZ21" s="127"/>
    </row>
    <row r="22" customFormat="false" ht="15.75" hidden="false" customHeight="true" outlineLevel="0" collapsed="false">
      <c r="A22" s="131"/>
      <c r="B22" s="135" t="s">
        <v>1420</v>
      </c>
      <c r="C22" s="132" t="n">
        <f aca="false">COUNTIFS(LIBRO_SOCIOS!$V:$V,"&gt;0",LIBRO_SOCIOS!$V:$V,"&lt;6",LIBRO_SOCIOS!$M:$M,"ZITRON-ASCAZ ambulatoria")</f>
        <v>4</v>
      </c>
      <c r="D22" s="133" t="n">
        <f aca="false">(C22/$C$25)</f>
        <v>0.285714285714286</v>
      </c>
      <c r="F22" s="126"/>
      <c r="G22" s="135" t="s">
        <v>1420</v>
      </c>
      <c r="H22" s="132" t="n">
        <f aca="false">COUNTIFS(LIBRO_SOCIOS!$V:$V,"&gt;0",LIBRO_SOCIOS!$V:$V,"&lt;6",LIBRO_SOCIOS!$M:$M,"ZITRON-ASCAZ HOSPITALARIA")</f>
        <v>1</v>
      </c>
      <c r="I22" s="133" t="n">
        <f aca="false">(H22/$H$25)</f>
        <v>0.0140845070422535</v>
      </c>
      <c r="K22" s="126"/>
      <c r="L22" s="135" t="s">
        <v>1420</v>
      </c>
      <c r="M22" s="132" t="n">
        <f aca="false">C22+H22</f>
        <v>5</v>
      </c>
      <c r="N22" s="133" t="n">
        <f aca="false">(M22/$M$25)</f>
        <v>0.0588235294117647</v>
      </c>
      <c r="P22" s="127"/>
      <c r="S22" s="131"/>
      <c r="T22" s="135" t="s">
        <v>1420</v>
      </c>
      <c r="U22" s="132" t="n">
        <f aca="false">COUNTIFS(LIBRO_SOCIOS!$V:$V,"&gt;0",LIBRO_SOCIOS!$V:$V,"&lt;6",LIBRO_SOCIOS!$M:$M,"ASCAZ ambulatoria")</f>
        <v>1</v>
      </c>
      <c r="V22" s="133" t="n">
        <f aca="false">(U22/$U$25)</f>
        <v>0.05</v>
      </c>
      <c r="X22" s="126"/>
      <c r="Y22" s="135" t="s">
        <v>1420</v>
      </c>
      <c r="Z22" s="132" t="n">
        <f aca="false">COUNTIFS(LIBRO_SOCIOS!$V:$V,"&gt;0",LIBRO_SOCIOS!$V:$V,"&lt;6",LIBRO_SOCIOS!$M:$M,"ASCAZ HOSPITALARIA")</f>
        <v>2</v>
      </c>
      <c r="AA22" s="133" t="n">
        <f aca="false">(Z22/$Z$25)</f>
        <v>0.0204081632653061</v>
      </c>
      <c r="AC22" s="126"/>
      <c r="AD22" s="135" t="s">
        <v>1420</v>
      </c>
      <c r="AE22" s="132" t="n">
        <f aca="false">U22+Z22</f>
        <v>3</v>
      </c>
      <c r="AF22" s="133" t="n">
        <f aca="false">(AE22/$AE$25)</f>
        <v>0.0254237288135593</v>
      </c>
      <c r="AH22" s="127"/>
      <c r="AK22" s="131"/>
      <c r="AL22" s="135" t="s">
        <v>1420</v>
      </c>
      <c r="AM22" s="132" t="n">
        <f aca="false">C22+U22</f>
        <v>5</v>
      </c>
      <c r="AN22" s="133" t="n">
        <f aca="false">(AM22/$AM$25)</f>
        <v>0.147058823529412</v>
      </c>
      <c r="AP22" s="126"/>
      <c r="AQ22" s="135" t="s">
        <v>1420</v>
      </c>
      <c r="AR22" s="132" t="n">
        <f aca="false">Z22+H22</f>
        <v>3</v>
      </c>
      <c r="AS22" s="133" t="n">
        <f aca="false">(AR22/$AR$25)</f>
        <v>0.0177514792899408</v>
      </c>
      <c r="AU22" s="126"/>
      <c r="AV22" s="135" t="s">
        <v>1420</v>
      </c>
      <c r="AW22" s="132" t="n">
        <f aca="false">AM22+AR22</f>
        <v>8</v>
      </c>
      <c r="AX22" s="133" t="n">
        <f aca="false">(AW22/$AW$25)</f>
        <v>0.0394088669950739</v>
      </c>
      <c r="AZ22" s="127"/>
    </row>
    <row r="23" customFormat="false" ht="15.75" hidden="false" customHeight="true" outlineLevel="0" collapsed="false">
      <c r="A23" s="131"/>
      <c r="F23" s="126"/>
      <c r="I23" s="149"/>
      <c r="J23" s="149"/>
      <c r="K23" s="126"/>
      <c r="P23" s="127"/>
      <c r="S23" s="131"/>
      <c r="X23" s="126"/>
      <c r="AA23" s="149"/>
      <c r="AB23" s="149"/>
      <c r="AC23" s="126"/>
      <c r="AH23" s="127"/>
      <c r="AK23" s="131"/>
      <c r="AP23" s="126"/>
      <c r="AU23" s="126"/>
      <c r="AZ23" s="127"/>
    </row>
    <row r="24" customFormat="false" ht="15" hidden="false" customHeight="false" outlineLevel="0" collapsed="false">
      <c r="A24" s="131"/>
      <c r="B24" s="132"/>
      <c r="C24" s="132"/>
      <c r="D24" s="133"/>
      <c r="E24" s="133"/>
      <c r="F24" s="126"/>
      <c r="G24" s="132"/>
      <c r="H24" s="132"/>
      <c r="I24" s="136"/>
      <c r="J24" s="133"/>
      <c r="K24" s="126"/>
      <c r="L24" s="132"/>
      <c r="M24" s="132"/>
      <c r="N24" s="133"/>
      <c r="O24" s="133"/>
      <c r="P24" s="127"/>
      <c r="S24" s="131"/>
      <c r="T24" s="132"/>
      <c r="U24" s="132"/>
      <c r="V24" s="133"/>
      <c r="W24" s="133"/>
      <c r="X24" s="126"/>
      <c r="Y24" s="132"/>
      <c r="Z24" s="132"/>
      <c r="AA24" s="136"/>
      <c r="AB24" s="133"/>
      <c r="AC24" s="126"/>
      <c r="AD24" s="132"/>
      <c r="AE24" s="132"/>
      <c r="AF24" s="133"/>
      <c r="AG24" s="133"/>
      <c r="AH24" s="127"/>
      <c r="AK24" s="131"/>
      <c r="AL24" s="132"/>
      <c r="AM24" s="132"/>
      <c r="AN24" s="136"/>
      <c r="AO24" s="133"/>
      <c r="AP24" s="126"/>
      <c r="AQ24" s="132"/>
      <c r="AR24" s="132"/>
      <c r="AS24" s="136"/>
      <c r="AT24" s="133"/>
      <c r="AU24" s="126"/>
      <c r="AV24" s="132"/>
      <c r="AW24" s="132"/>
      <c r="AX24" s="136"/>
      <c r="AY24" s="133"/>
      <c r="AZ24" s="127"/>
    </row>
    <row r="25" customFormat="false" ht="15.75" hidden="false" customHeight="true" outlineLevel="0" collapsed="false">
      <c r="A25" s="131"/>
      <c r="B25" s="132" t="s">
        <v>1394</v>
      </c>
      <c r="C25" s="132" t="n">
        <f aca="false">SUM(C5:C22)</f>
        <v>14</v>
      </c>
      <c r="D25" s="133"/>
      <c r="E25" s="136"/>
      <c r="F25" s="126"/>
      <c r="G25" s="132" t="s">
        <v>1394</v>
      </c>
      <c r="H25" s="132" t="n">
        <f aca="false">SUM(H5:H22)</f>
        <v>71</v>
      </c>
      <c r="I25" s="136"/>
      <c r="J25" s="136"/>
      <c r="K25" s="126"/>
      <c r="L25" s="132" t="s">
        <v>1394</v>
      </c>
      <c r="M25" s="132" t="n">
        <f aca="false">SUM(M5:M22)</f>
        <v>85</v>
      </c>
      <c r="N25" s="136"/>
      <c r="O25" s="136"/>
      <c r="P25" s="127"/>
      <c r="S25" s="131"/>
      <c r="T25" s="132" t="s">
        <v>1394</v>
      </c>
      <c r="U25" s="132" t="n">
        <f aca="false">SUM(U5:U22)</f>
        <v>20</v>
      </c>
      <c r="V25" s="133"/>
      <c r="W25" s="136"/>
      <c r="X25" s="126"/>
      <c r="Y25" s="132" t="s">
        <v>1394</v>
      </c>
      <c r="Z25" s="132" t="n">
        <f aca="false">SUM(Z5:Z22)</f>
        <v>98</v>
      </c>
      <c r="AA25" s="136"/>
      <c r="AB25" s="136"/>
      <c r="AC25" s="126"/>
      <c r="AD25" s="132" t="s">
        <v>1394</v>
      </c>
      <c r="AE25" s="132" t="n">
        <f aca="false">SUM(AE5:AE22)</f>
        <v>118</v>
      </c>
      <c r="AF25" s="136"/>
      <c r="AG25" s="136"/>
      <c r="AH25" s="127"/>
      <c r="AK25" s="131"/>
      <c r="AL25" s="132" t="s">
        <v>1394</v>
      </c>
      <c r="AM25" s="132" t="n">
        <f aca="false">SUM(AM5:AM22)</f>
        <v>34</v>
      </c>
      <c r="AN25" s="133"/>
      <c r="AO25" s="136"/>
      <c r="AP25" s="126"/>
      <c r="AQ25" s="132" t="s">
        <v>1394</v>
      </c>
      <c r="AR25" s="132" t="n">
        <f aca="false">SUM(AR5:AR22)</f>
        <v>169</v>
      </c>
      <c r="AS25" s="136"/>
      <c r="AT25" s="136"/>
      <c r="AU25" s="126"/>
      <c r="AV25" s="132" t="s">
        <v>1394</v>
      </c>
      <c r="AW25" s="132" t="n">
        <f aca="false">AM25+AR25</f>
        <v>203</v>
      </c>
      <c r="AX25" s="136"/>
      <c r="AY25" s="136"/>
      <c r="AZ25" s="127"/>
    </row>
    <row r="26" customFormat="false" ht="15.75" hidden="false" customHeight="true" outlineLevel="0" collapsed="false">
      <c r="A26" s="131"/>
      <c r="B26" s="132"/>
      <c r="C26" s="141"/>
      <c r="D26" s="136"/>
      <c r="E26" s="136"/>
      <c r="F26" s="126"/>
      <c r="G26" s="132"/>
      <c r="H26" s="132"/>
      <c r="I26" s="136"/>
      <c r="J26" s="136"/>
      <c r="K26" s="126"/>
      <c r="L26" s="132"/>
      <c r="M26" s="141"/>
      <c r="N26" s="136"/>
      <c r="O26" s="136"/>
      <c r="P26" s="127"/>
      <c r="S26" s="131"/>
      <c r="T26" s="132"/>
      <c r="U26" s="141"/>
      <c r="V26" s="136"/>
      <c r="W26" s="136"/>
      <c r="X26" s="126"/>
      <c r="Y26" s="132"/>
      <c r="Z26" s="132"/>
      <c r="AA26" s="136"/>
      <c r="AB26" s="136"/>
      <c r="AC26" s="126"/>
      <c r="AD26" s="132"/>
      <c r="AE26" s="141"/>
      <c r="AF26" s="136"/>
      <c r="AG26" s="136"/>
      <c r="AH26" s="127"/>
      <c r="AK26" s="131"/>
      <c r="AL26" s="132"/>
      <c r="AM26" s="132"/>
      <c r="AN26" s="136"/>
      <c r="AO26" s="136"/>
      <c r="AP26" s="126"/>
      <c r="AQ26" s="132"/>
      <c r="AR26" s="132"/>
      <c r="AS26" s="136"/>
      <c r="AT26" s="136"/>
      <c r="AU26" s="126"/>
      <c r="AV26" s="132"/>
      <c r="AW26" s="132"/>
      <c r="AX26" s="136"/>
      <c r="AY26" s="136"/>
      <c r="AZ26" s="127"/>
    </row>
    <row r="27" customFormat="false" ht="15.75" hidden="false" customHeight="true" outlineLevel="0" collapsed="false">
      <c r="A27" s="131"/>
      <c r="B27" s="132"/>
      <c r="C27" s="132" t="s">
        <v>1421</v>
      </c>
      <c r="D27" s="136"/>
      <c r="E27" s="136"/>
      <c r="F27" s="126"/>
      <c r="G27" s="132"/>
      <c r="H27" s="132" t="s">
        <v>1421</v>
      </c>
      <c r="I27" s="136"/>
      <c r="J27" s="136"/>
      <c r="K27" s="126"/>
      <c r="L27" s="132"/>
      <c r="M27" s="132" t="s">
        <v>1421</v>
      </c>
      <c r="N27" s="136"/>
      <c r="O27" s="136"/>
      <c r="P27" s="127"/>
      <c r="S27" s="131"/>
      <c r="T27" s="132"/>
      <c r="U27" s="132" t="s">
        <v>1421</v>
      </c>
      <c r="V27" s="136"/>
      <c r="W27" s="136"/>
      <c r="X27" s="126"/>
      <c r="Y27" s="132"/>
      <c r="Z27" s="132" t="s">
        <v>1421</v>
      </c>
      <c r="AA27" s="136"/>
      <c r="AB27" s="136"/>
      <c r="AC27" s="126"/>
      <c r="AD27" s="132"/>
      <c r="AE27" s="132" t="s">
        <v>1421</v>
      </c>
      <c r="AF27" s="136"/>
      <c r="AG27" s="136"/>
      <c r="AH27" s="127"/>
      <c r="AK27" s="131"/>
      <c r="AL27" s="132"/>
      <c r="AM27" s="132" t="s">
        <v>1421</v>
      </c>
      <c r="AN27" s="136"/>
      <c r="AO27" s="136"/>
      <c r="AP27" s="126"/>
      <c r="AQ27" s="132"/>
      <c r="AR27" s="132" t="s">
        <v>1421</v>
      </c>
      <c r="AS27" s="136"/>
      <c r="AT27" s="136"/>
      <c r="AU27" s="126"/>
      <c r="AV27" s="132"/>
      <c r="AW27" s="132" t="s">
        <v>1421</v>
      </c>
      <c r="AX27" s="136"/>
      <c r="AY27" s="136"/>
      <c r="AZ27" s="127"/>
    </row>
    <row r="28" customFormat="false" ht="15.75" hidden="false" customHeight="true" outlineLevel="0" collapsed="false">
      <c r="A28" s="131"/>
      <c r="B28" s="132"/>
      <c r="C28" s="150" t="n">
        <f aca="false">((2.5*C22)+(7.5*C21)+(12.5*C20)+(17.5*C19)+(22.5*C18)+(27.5*C17)+(32.5*C16)+(37.5*C15)+(42.5*C14)+(47.5*C13)+(52.5*C12)+(57.5*C11)+(62.5*C10)+(67.5*C9)+(72.5*C8)+(77.5*C7)+(82.5*C6)+(87.5*C5))/C25</f>
        <v>15</v>
      </c>
      <c r="D28" s="136"/>
      <c r="E28" s="136"/>
      <c r="F28" s="126"/>
      <c r="G28" s="132"/>
      <c r="H28" s="150" t="n">
        <f aca="false">((2.5*H22)+(7.5*H21)+(12.5*H20)+(17.5*H19)+(22.5*H18)+(27.5*H17)+(32.5*H16)+(37.5*H15)+(42.5*H14)+(47.5*H13)+(52.5*H12)+(57.5*H11)+(62.5*H10)+(67.5*H9)+(72.5*H8)+(77.5*H7)+(82.5*H6)+(87.5*H5))/H25</f>
        <v>38.1338028169014</v>
      </c>
      <c r="I28" s="136"/>
      <c r="J28" s="136"/>
      <c r="K28" s="126"/>
      <c r="L28" s="132"/>
      <c r="M28" s="150" t="n">
        <f aca="false">((2.5*M22)+(7.5*M21)+(12.5*M20)+(17.5*M19)+(22.5*M18)+(27.5*M17)+(32.5*M16)+(37.5*M15)+(42.5*M14)+(47.5*M13)+(52.5*M12)+(57.5*M11)+(62.5*M10)+(67.5*M9)+(72.5*M8)+(77.5*M7)+(82.5*M6)+(87.5*M5))/M25</f>
        <v>34.3235294117647</v>
      </c>
      <c r="N28" s="136"/>
      <c r="O28" s="136"/>
      <c r="P28" s="127"/>
      <c r="S28" s="131"/>
      <c r="T28" s="132"/>
      <c r="U28" s="150" t="n">
        <f aca="false">((2.5*U22)+(7.5*U21)+(12.5*U20)+(17.5*U19)+(22.5*U18)+(27.5*U17)+(32.5*U16)+(37.5*U15)+(42.5*U14)+(47.5*U13)+(52.5*U12)+(57.5*U11)+(62.5*U10)+(67.5*U9)+(72.5*U8)+(77.5*U7)+(82.5*U6)+(87.5*U5))/U25</f>
        <v>43.25</v>
      </c>
      <c r="V28" s="136"/>
      <c r="W28" s="136"/>
      <c r="X28" s="126"/>
      <c r="Y28" s="132"/>
      <c r="Z28" s="150" t="n">
        <f aca="false">((2.5*Z22)+(7.5*Z21)+(12.5*Z20)+(17.5*Z19)+(22.5*Z18)+(27.5*Z17)+(32.5*Z16)+(37.5*Z15)+(42.5*Z14)+(47.5*Z13)+(52.5*Z12)+(57.5*Z11)+(62.5*Z10)+(67.5*Z9)+(72.5*Z8)+(77.5*Z7)+(82.5*Z6)+(87.5*Z5))/Z25</f>
        <v>45.7142857142857</v>
      </c>
      <c r="AA28" s="136"/>
      <c r="AB28" s="136"/>
      <c r="AC28" s="126"/>
      <c r="AD28" s="132"/>
      <c r="AE28" s="150" t="n">
        <f aca="false">((2.5*AE22)+(7.5*AE21)+(12.5*AE20)+(17.5*AE19)+(22.5*AE18)+(27.5*AE17)+(32.5*AE16)+(37.5*AE15)+(42.5*AE14)+(47.5*AE13)+(52.5*AE12)+(57.5*AE11)+(62.5*AE10)+(67.5*AE9)+(72.5*AE8)+(77.5*AE7)+(82.5*AE6)+(87.5*AE5))/AE25</f>
        <v>45.2966101694915</v>
      </c>
      <c r="AF28" s="136"/>
      <c r="AG28" s="136"/>
      <c r="AH28" s="127"/>
      <c r="AK28" s="131"/>
      <c r="AL28" s="132"/>
      <c r="AM28" s="150" t="n">
        <f aca="false">((2.5*AM22)+(7.5*AM21)+(12.5*AM20)+(17.5*AM19)+(22.5*AM18)+(27.5*AM17)+(32.5*AM16)+(37.5*AM15)+(42.5*AM14)+(47.5*AM13)+(52.5*AM12)+(57.5*AM11)+(62.5*AM10)+(67.5*AM9)+(72.5*AM8)+(77.5*AM7)+(82.5*AM6)+(87.5*AM5))/AM25</f>
        <v>31.6176470588235</v>
      </c>
      <c r="AN28" s="136"/>
      <c r="AO28" s="136"/>
      <c r="AP28" s="126"/>
      <c r="AQ28" s="132"/>
      <c r="AR28" s="150" t="n">
        <f aca="false">((2.5*AR22)+(7.5*AR21)+(12.5*AR20)+(17.5*AR19)+(22.5*AR18)+(27.5*AR17)+(32.5*AR16)+(37.5*AR15)+(42.5*AR14)+(47.5*AR13)+(52.5*AR12)+(57.5*AR11)+(62.5*AR10)+(67.5*AR9)+(72.5*AR8)+(77.5*AR7)+(82.5*AR6)+(87.5*AR5))/AR25</f>
        <v>42.5295857988166</v>
      </c>
      <c r="AS28" s="136"/>
      <c r="AT28" s="136"/>
      <c r="AU28" s="126"/>
      <c r="AV28" s="132"/>
      <c r="AW28" s="150" t="n">
        <f aca="false">((2.5*AW22)+(7.5*AW21)+(12.5*AW20)+(17.5*AW19)+(22.5*AW18)+(27.5*AW17)+(32.5*AW16)+(37.5*AW15)+(42.5*AW14)+(47.5*AW13)+(52.5*AW12)+(57.5*AW11)+(62.5*AW10)+(67.5*AW9)+(72.5*AW8)+(77.5*AW7)+(82.5*AW6)+(87.5*AW5))/AW25</f>
        <v>40.7019704433498</v>
      </c>
      <c r="AX28" s="136"/>
      <c r="AY28" s="136"/>
      <c r="AZ28" s="127"/>
    </row>
    <row r="29" customFormat="false" ht="15.75" hidden="false" customHeight="false" outlineLevel="0" collapsed="false">
      <c r="A29" s="142"/>
      <c r="B29" s="143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5"/>
      <c r="S29" s="142"/>
      <c r="T29" s="143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5"/>
      <c r="AK29" s="142"/>
      <c r="AL29" s="143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  <c r="AZ29" s="145"/>
    </row>
    <row r="30" customFormat="false" ht="15" hidden="false" customHeight="false" outlineLevel="0" collapsed="false">
      <c r="A30" s="151"/>
      <c r="S30" s="151"/>
      <c r="AK30" s="151"/>
    </row>
    <row r="32" customFormat="false" ht="15.75" hidden="false" customHeight="false" outlineLevel="0" collapsed="false"/>
    <row r="33" customFormat="false" ht="15" hidden="false" customHeight="true" outlineLevel="0" collapsed="false">
      <c r="A33" s="152"/>
      <c r="B33" s="153" t="s">
        <v>61</v>
      </c>
      <c r="C33" s="153"/>
      <c r="D33" s="154" t="n">
        <f aca="false">C46/M46</f>
        <v>0.177777777777778</v>
      </c>
      <c r="E33" s="154"/>
      <c r="F33" s="155"/>
      <c r="G33" s="153" t="s">
        <v>36</v>
      </c>
      <c r="H33" s="153"/>
      <c r="I33" s="154" t="n">
        <f aca="false">H46/M46</f>
        <v>0.822222222222222</v>
      </c>
      <c r="J33" s="154"/>
      <c r="K33" s="155"/>
      <c r="L33" s="153" t="s">
        <v>1394</v>
      </c>
      <c r="M33" s="153"/>
      <c r="N33" s="156" t="n">
        <f aca="false">I33+D33</f>
        <v>1</v>
      </c>
      <c r="O33" s="156"/>
      <c r="P33" s="157"/>
      <c r="S33" s="152"/>
      <c r="T33" s="153" t="s">
        <v>61</v>
      </c>
      <c r="U33" s="153"/>
      <c r="V33" s="154" t="n">
        <f aca="false">U46/AE46</f>
        <v>0.18</v>
      </c>
      <c r="W33" s="154"/>
      <c r="X33" s="155"/>
      <c r="Y33" s="153" t="s">
        <v>36</v>
      </c>
      <c r="Z33" s="153"/>
      <c r="AA33" s="154" t="n">
        <f aca="false">Z46/AE46</f>
        <v>0.82</v>
      </c>
      <c r="AB33" s="154"/>
      <c r="AC33" s="155"/>
      <c r="AD33" s="153" t="s">
        <v>1394</v>
      </c>
      <c r="AE33" s="153"/>
      <c r="AF33" s="156" t="n">
        <f aca="false">AA33+V33</f>
        <v>1</v>
      </c>
      <c r="AG33" s="156"/>
      <c r="AH33" s="157"/>
      <c r="AK33" s="152"/>
      <c r="AL33" s="153" t="s">
        <v>61</v>
      </c>
      <c r="AM33" s="153"/>
      <c r="AN33" s="154" t="n">
        <f aca="false">AM46/AW46</f>
        <v>0.178947368421053</v>
      </c>
      <c r="AO33" s="154"/>
      <c r="AP33" s="155"/>
      <c r="AQ33" s="153" t="s">
        <v>36</v>
      </c>
      <c r="AR33" s="153"/>
      <c r="AS33" s="154" t="n">
        <f aca="false">AR46/AW46</f>
        <v>0.821052631578947</v>
      </c>
      <c r="AT33" s="154"/>
      <c r="AU33" s="155"/>
      <c r="AV33" s="153" t="s">
        <v>1394</v>
      </c>
      <c r="AW33" s="153"/>
      <c r="AX33" s="156" t="n">
        <f aca="false">AS33+AN33</f>
        <v>1</v>
      </c>
      <c r="AY33" s="156"/>
      <c r="AZ33" s="157"/>
      <c r="BB33" s="158" t="n">
        <f aca="false">AW46/AW25</f>
        <v>0.467980295566502</v>
      </c>
    </row>
    <row r="34" customFormat="false" ht="15" hidden="false" customHeight="true" outlineLevel="0" collapsed="false">
      <c r="A34" s="159"/>
      <c r="B34" s="153"/>
      <c r="C34" s="153"/>
      <c r="D34" s="154"/>
      <c r="E34" s="154"/>
      <c r="F34" s="160"/>
      <c r="G34" s="153"/>
      <c r="H34" s="153"/>
      <c r="I34" s="154"/>
      <c r="J34" s="154"/>
      <c r="K34" s="160"/>
      <c r="L34" s="153"/>
      <c r="M34" s="153"/>
      <c r="N34" s="156"/>
      <c r="O34" s="156"/>
      <c r="P34" s="161"/>
      <c r="S34" s="159"/>
      <c r="T34" s="153"/>
      <c r="U34" s="153"/>
      <c r="V34" s="154"/>
      <c r="W34" s="154"/>
      <c r="X34" s="160"/>
      <c r="Y34" s="153"/>
      <c r="Z34" s="153"/>
      <c r="AA34" s="154"/>
      <c r="AB34" s="154"/>
      <c r="AC34" s="160"/>
      <c r="AD34" s="153"/>
      <c r="AE34" s="153"/>
      <c r="AF34" s="156"/>
      <c r="AG34" s="156"/>
      <c r="AH34" s="161"/>
      <c r="AK34" s="159"/>
      <c r="AL34" s="153"/>
      <c r="AM34" s="153"/>
      <c r="AN34" s="154"/>
      <c r="AO34" s="154"/>
      <c r="AP34" s="160"/>
      <c r="AQ34" s="153"/>
      <c r="AR34" s="153"/>
      <c r="AS34" s="154"/>
      <c r="AT34" s="154"/>
      <c r="AU34" s="160"/>
      <c r="AV34" s="153"/>
      <c r="AW34" s="153"/>
      <c r="AX34" s="156"/>
      <c r="AY34" s="156"/>
      <c r="AZ34" s="161"/>
      <c r="BB34" s="158"/>
    </row>
    <row r="35" customFormat="false" ht="15" hidden="false" customHeight="true" outlineLevel="0" collapsed="false">
      <c r="A35" s="162"/>
      <c r="B35" s="132" t="s">
        <v>1422</v>
      </c>
      <c r="C35" s="132" t="n">
        <f aca="false">COUNTIFS(LIBRO_SOCIOS!V:V,"&gt;80",LIBRO_SOCIOS!M:M,"ZITRON-ASCAZ ambulatoria",LIBRO_SOCIOS!T:T,"h")</f>
        <v>0</v>
      </c>
      <c r="D35" s="133" t="n">
        <f aca="false">(C35/$C$46)</f>
        <v>0</v>
      </c>
      <c r="E35" s="133" t="n">
        <f aca="false">E36+D35</f>
        <v>1</v>
      </c>
      <c r="F35" s="160"/>
      <c r="G35" s="132" t="s">
        <v>1422</v>
      </c>
      <c r="H35" s="132" t="n">
        <f aca="false">COUNTIFS(LIBRO_SOCIOS!V:V,"&gt;80",LIBRO_SOCIOS!M:M,"ZITRON-ASCAZ HOSPITALARIA",LIBRO_SOCIOS!T:T,"h")</f>
        <v>0</v>
      </c>
      <c r="I35" s="133" t="n">
        <f aca="false">(H35/$H$46)</f>
        <v>0</v>
      </c>
      <c r="J35" s="133" t="n">
        <f aca="false">J36+I35</f>
        <v>1</v>
      </c>
      <c r="K35" s="160"/>
      <c r="L35" s="132" t="s">
        <v>1422</v>
      </c>
      <c r="M35" s="132" t="n">
        <f aca="false">C35+H35</f>
        <v>0</v>
      </c>
      <c r="N35" s="133" t="n">
        <f aca="false">(M35/$M$46)</f>
        <v>0</v>
      </c>
      <c r="O35" s="133" t="n">
        <f aca="false">O36+N35</f>
        <v>1</v>
      </c>
      <c r="P35" s="161"/>
      <c r="S35" s="162"/>
      <c r="T35" s="132" t="s">
        <v>1422</v>
      </c>
      <c r="U35" s="132" t="n">
        <f aca="false">COUNTIFS(LIBRO_SOCIOS!V:V,"&gt;80",LIBRO_SOCIOS!M:M,"ASCAZ ambulatoria",LIBRO_SOCIOS!T:T,"h")</f>
        <v>0</v>
      </c>
      <c r="V35" s="133" t="n">
        <f aca="false">(U35/$U$46)</f>
        <v>0</v>
      </c>
      <c r="W35" s="133" t="n">
        <f aca="false">W36+V35</f>
        <v>1</v>
      </c>
      <c r="X35" s="160"/>
      <c r="Y35" s="132" t="s">
        <v>1422</v>
      </c>
      <c r="Z35" s="132" t="n">
        <f aca="false">COUNTIFS(LIBRO_SOCIOS!V:V,"&gt;80",LIBRO_SOCIOS!M:M,"ASCAZ HOSPITALARIA",LIBRO_SOCIOS!T:T,"h")</f>
        <v>0</v>
      </c>
      <c r="AA35" s="133" t="n">
        <f aca="false">(Z35/$Z$46)</f>
        <v>0</v>
      </c>
      <c r="AB35" s="133" t="n">
        <f aca="false">AB36+AA35</f>
        <v>1</v>
      </c>
      <c r="AC35" s="160"/>
      <c r="AD35" s="132" t="s">
        <v>1422</v>
      </c>
      <c r="AE35" s="132" t="n">
        <f aca="false">U35+Z35</f>
        <v>0</v>
      </c>
      <c r="AF35" s="133" t="n">
        <f aca="false">(AE35/$AE$46)</f>
        <v>0</v>
      </c>
      <c r="AG35" s="133" t="n">
        <f aca="false">AG36+AF35</f>
        <v>1</v>
      </c>
      <c r="AH35" s="161"/>
      <c r="AK35" s="162"/>
      <c r="AL35" s="132" t="s">
        <v>1422</v>
      </c>
      <c r="AM35" s="132" t="n">
        <f aca="false">C35+U35</f>
        <v>0</v>
      </c>
      <c r="AN35" s="133" t="n">
        <f aca="false">(AM35/$AM$46)</f>
        <v>0</v>
      </c>
      <c r="AO35" s="133" t="n">
        <f aca="false">AO36+AN35</f>
        <v>1</v>
      </c>
      <c r="AP35" s="160"/>
      <c r="AQ35" s="132" t="s">
        <v>1422</v>
      </c>
      <c r="AR35" s="132" t="n">
        <f aca="false">Z35+H35</f>
        <v>0</v>
      </c>
      <c r="AS35" s="133" t="n">
        <f aca="false">(AR35/$AR$46)</f>
        <v>0</v>
      </c>
      <c r="AT35" s="133" t="n">
        <f aca="false">AT36+AS35</f>
        <v>1</v>
      </c>
      <c r="AU35" s="160"/>
      <c r="AV35" s="132" t="s">
        <v>1422</v>
      </c>
      <c r="AW35" s="132" t="n">
        <f aca="false">AM35+AR35</f>
        <v>0</v>
      </c>
      <c r="AX35" s="133" t="n">
        <f aca="false">(AW35/$AW$46)</f>
        <v>0</v>
      </c>
      <c r="AY35" s="133" t="n">
        <f aca="false">AY36+AX35</f>
        <v>1</v>
      </c>
      <c r="AZ35" s="161"/>
      <c r="BB35" s="158"/>
    </row>
    <row r="36" customFormat="false" ht="15" hidden="false" customHeight="true" outlineLevel="0" collapsed="false">
      <c r="A36" s="162"/>
      <c r="B36" s="132" t="s">
        <v>1423</v>
      </c>
      <c r="C36" s="132" t="n">
        <f aca="false">COUNTIFS(LIBRO_SOCIOS!V:V,"&gt;70",LIBRO_SOCIOS!V:V,"&lt;81",LIBRO_SOCIOS!M:M,"ZITRON-ASCAZ ambulatoria",LIBRO_SOCIOS!T:T,"h")</f>
        <v>0</v>
      </c>
      <c r="D36" s="133" t="n">
        <f aca="false">(C36/$C$46)</f>
        <v>0</v>
      </c>
      <c r="E36" s="133" t="n">
        <f aca="false">E37+D36</f>
        <v>1</v>
      </c>
      <c r="F36" s="160"/>
      <c r="G36" s="132" t="s">
        <v>1423</v>
      </c>
      <c r="H36" s="132" t="n">
        <f aca="false">COUNTIFS(LIBRO_SOCIOS!V:V,"&gt;70",LIBRO_SOCIOS!V:V,"&lt;81",LIBRO_SOCIOS!M:M,"ZITRON-ASCAZ HOSPITALARIA",LIBRO_SOCIOS!T:T,"h")</f>
        <v>0</v>
      </c>
      <c r="I36" s="133" t="n">
        <f aca="false">(H36/$H$46)</f>
        <v>0</v>
      </c>
      <c r="J36" s="133" t="n">
        <f aca="false">J37+I36</f>
        <v>1</v>
      </c>
      <c r="K36" s="160"/>
      <c r="L36" s="132" t="s">
        <v>1423</v>
      </c>
      <c r="M36" s="132" t="n">
        <f aca="false">C36+H36</f>
        <v>0</v>
      </c>
      <c r="N36" s="133" t="n">
        <f aca="false">(M36/$M$46)</f>
        <v>0</v>
      </c>
      <c r="O36" s="133" t="n">
        <f aca="false">O37+N36</f>
        <v>1</v>
      </c>
      <c r="P36" s="161"/>
      <c r="S36" s="162"/>
      <c r="T36" s="132" t="s">
        <v>1423</v>
      </c>
      <c r="U36" s="132" t="n">
        <f aca="false">COUNTIFS(LIBRO_SOCIOS!V:V,"&gt;70",LIBRO_SOCIOS!V:V,"&lt;81",LIBRO_SOCIOS!M:M,"ASCAZ ambulatoria",LIBRO_SOCIOS!T:T,"h")</f>
        <v>1</v>
      </c>
      <c r="V36" s="133" t="n">
        <f aca="false">(U36/$U$46)</f>
        <v>0.111111111111111</v>
      </c>
      <c r="W36" s="133" t="n">
        <f aca="false">W37+V36</f>
        <v>1</v>
      </c>
      <c r="X36" s="160"/>
      <c r="Y36" s="132" t="s">
        <v>1423</v>
      </c>
      <c r="Z36" s="132" t="n">
        <f aca="false">COUNTIFS(LIBRO_SOCIOS!V:V,"&gt;70",LIBRO_SOCIOS!V:V,"&lt;81",LIBRO_SOCIOS!M:M,"ASCAZ HOSPITALARIA",LIBRO_SOCIOS!T:T,"h")</f>
        <v>3</v>
      </c>
      <c r="AA36" s="133" t="n">
        <f aca="false">(Z36/$Z$46)</f>
        <v>0.0731707317073171</v>
      </c>
      <c r="AB36" s="133" t="n">
        <f aca="false">AB37+AA36</f>
        <v>1</v>
      </c>
      <c r="AC36" s="160"/>
      <c r="AD36" s="132" t="s">
        <v>1423</v>
      </c>
      <c r="AE36" s="132" t="n">
        <f aca="false">U36+Z36</f>
        <v>4</v>
      </c>
      <c r="AF36" s="133" t="n">
        <f aca="false">(AE36/$AE$46)</f>
        <v>0.08</v>
      </c>
      <c r="AG36" s="133" t="n">
        <f aca="false">AG37+AF36</f>
        <v>1</v>
      </c>
      <c r="AH36" s="161"/>
      <c r="AK36" s="162"/>
      <c r="AL36" s="132" t="s">
        <v>1423</v>
      </c>
      <c r="AM36" s="132" t="n">
        <f aca="false">C36+U36</f>
        <v>1</v>
      </c>
      <c r="AN36" s="133" t="n">
        <f aca="false">(AM36/$AM$46)</f>
        <v>0.0588235294117647</v>
      </c>
      <c r="AO36" s="133" t="n">
        <f aca="false">AO37+AN36</f>
        <v>1</v>
      </c>
      <c r="AP36" s="160"/>
      <c r="AQ36" s="132" t="s">
        <v>1423</v>
      </c>
      <c r="AR36" s="132" t="n">
        <f aca="false">Z36+H36</f>
        <v>3</v>
      </c>
      <c r="AS36" s="133" t="n">
        <f aca="false">(AR36/$AR$46)</f>
        <v>0.0384615384615385</v>
      </c>
      <c r="AT36" s="133" t="n">
        <f aca="false">AT37+AS36</f>
        <v>1</v>
      </c>
      <c r="AU36" s="160"/>
      <c r="AV36" s="132" t="s">
        <v>1423</v>
      </c>
      <c r="AW36" s="132" t="n">
        <f aca="false">AM36+AR36</f>
        <v>4</v>
      </c>
      <c r="AX36" s="133" t="n">
        <f aca="false">(AW36/$AW$46)</f>
        <v>0.0421052631578947</v>
      </c>
      <c r="AY36" s="133" t="n">
        <f aca="false">AY37+AX36</f>
        <v>1</v>
      </c>
      <c r="AZ36" s="161"/>
      <c r="BB36" s="158"/>
    </row>
    <row r="37" customFormat="false" ht="15" hidden="false" customHeight="true" outlineLevel="0" collapsed="false">
      <c r="A37" s="162"/>
      <c r="B37" s="132" t="s">
        <v>1424</v>
      </c>
      <c r="C37" s="132" t="n">
        <f aca="false">COUNTIFS(LIBRO_SOCIOS!V:V,"&gt;60",LIBRO_SOCIOS!V:V,"&lt;71",LIBRO_SOCIOS!M:M,"ZITRON-ASCAZ ambulatoria",LIBRO_SOCIOS!T:T,"h")</f>
        <v>0</v>
      </c>
      <c r="D37" s="133" t="n">
        <f aca="false">(C37/$C$46)</f>
        <v>0</v>
      </c>
      <c r="E37" s="133" t="n">
        <f aca="false">E38+D37</f>
        <v>1</v>
      </c>
      <c r="F37" s="160"/>
      <c r="G37" s="132" t="s">
        <v>1424</v>
      </c>
      <c r="H37" s="132" t="n">
        <f aca="false">COUNTIFS(LIBRO_SOCIOS!V:V,"&gt;60",LIBRO_SOCIOS!V:V,"&lt;71",LIBRO_SOCIOS!M:M,"ZITRON-ASCAZ HOSPITALARIA",LIBRO_SOCIOS!T:T,"h")</f>
        <v>3</v>
      </c>
      <c r="I37" s="133" t="n">
        <f aca="false">(H37/$H$46)</f>
        <v>0.0810810810810811</v>
      </c>
      <c r="J37" s="133" t="n">
        <f aca="false">J38+I37</f>
        <v>1</v>
      </c>
      <c r="K37" s="160"/>
      <c r="L37" s="132" t="s">
        <v>1424</v>
      </c>
      <c r="M37" s="132" t="n">
        <f aca="false">C37+H37</f>
        <v>3</v>
      </c>
      <c r="N37" s="133" t="n">
        <f aca="false">(M37/$M$46)</f>
        <v>0.0666666666666667</v>
      </c>
      <c r="O37" s="133" t="n">
        <f aca="false">O38+N37</f>
        <v>1</v>
      </c>
      <c r="P37" s="161"/>
      <c r="S37" s="162"/>
      <c r="T37" s="132" t="s">
        <v>1424</v>
      </c>
      <c r="U37" s="132" t="n">
        <f aca="false">COUNTIFS(LIBRO_SOCIOS!V:V,"&gt;60",LIBRO_SOCIOS!V:V,"&lt;71",LIBRO_SOCIOS!M:M,"ASCAZ ambulatoria",LIBRO_SOCIOS!T:T,"h")</f>
        <v>1</v>
      </c>
      <c r="V37" s="133" t="n">
        <f aca="false">(U37/$U$46)</f>
        <v>0.111111111111111</v>
      </c>
      <c r="W37" s="133" t="n">
        <f aca="false">W38+V37</f>
        <v>0.888888888888889</v>
      </c>
      <c r="X37" s="160"/>
      <c r="Y37" s="132" t="s">
        <v>1424</v>
      </c>
      <c r="Z37" s="132" t="n">
        <f aca="false">COUNTIFS(LIBRO_SOCIOS!V:V,"&gt;60",LIBRO_SOCIOS!V:V,"&lt;71",LIBRO_SOCIOS!M:M,"ASCAZ HOSPITALARIA",LIBRO_SOCIOS!T:T,"h")</f>
        <v>5</v>
      </c>
      <c r="AA37" s="133" t="n">
        <f aca="false">(Z37/$Z$46)</f>
        <v>0.121951219512195</v>
      </c>
      <c r="AB37" s="133" t="n">
        <f aca="false">AB38+AA37</f>
        <v>0.926829268292683</v>
      </c>
      <c r="AC37" s="160"/>
      <c r="AD37" s="132" t="s">
        <v>1424</v>
      </c>
      <c r="AE37" s="132" t="n">
        <f aca="false">U37+Z37</f>
        <v>6</v>
      </c>
      <c r="AF37" s="133" t="n">
        <f aca="false">(AE37/$AE$46)</f>
        <v>0.12</v>
      </c>
      <c r="AG37" s="133" t="n">
        <f aca="false">AG38+AF37</f>
        <v>0.92</v>
      </c>
      <c r="AH37" s="161"/>
      <c r="AK37" s="162"/>
      <c r="AL37" s="132" t="s">
        <v>1424</v>
      </c>
      <c r="AM37" s="132" t="n">
        <f aca="false">C37+U37</f>
        <v>1</v>
      </c>
      <c r="AN37" s="133" t="n">
        <f aca="false">(AM37/$AM$46)</f>
        <v>0.0588235294117647</v>
      </c>
      <c r="AO37" s="133" t="n">
        <f aca="false">AO38+AN37</f>
        <v>0.941176470588235</v>
      </c>
      <c r="AP37" s="160"/>
      <c r="AQ37" s="132" t="s">
        <v>1424</v>
      </c>
      <c r="AR37" s="132" t="n">
        <f aca="false">Z37+H37</f>
        <v>8</v>
      </c>
      <c r="AS37" s="133" t="n">
        <f aca="false">(AR37/$AR$46)</f>
        <v>0.102564102564103</v>
      </c>
      <c r="AT37" s="133" t="n">
        <f aca="false">AT38+AS37</f>
        <v>0.961538461538462</v>
      </c>
      <c r="AU37" s="160"/>
      <c r="AV37" s="132" t="s">
        <v>1424</v>
      </c>
      <c r="AW37" s="132" t="n">
        <f aca="false">AM37+AR37</f>
        <v>9</v>
      </c>
      <c r="AX37" s="133" t="n">
        <f aca="false">(AW37/$AW$46)</f>
        <v>0.0947368421052632</v>
      </c>
      <c r="AY37" s="133" t="n">
        <f aca="false">AY38+AX37</f>
        <v>0.957894736842105</v>
      </c>
      <c r="AZ37" s="161"/>
      <c r="BB37" s="158"/>
    </row>
    <row r="38" customFormat="false" ht="15" hidden="false" customHeight="true" outlineLevel="0" collapsed="false">
      <c r="A38" s="162"/>
      <c r="B38" s="132" t="s">
        <v>1425</v>
      </c>
      <c r="C38" s="132" t="n">
        <f aca="false">COUNTIFS(LIBRO_SOCIOS!V:V,"&gt;50",LIBRO_SOCIOS!V:V,"&lt;61",LIBRO_SOCIOS!M:M,"ZITRON-ASCAZ ambulatoria",LIBRO_SOCIOS!T:T,"h")</f>
        <v>0</v>
      </c>
      <c r="D38" s="133" t="n">
        <f aca="false">(C38/$C$46)</f>
        <v>0</v>
      </c>
      <c r="E38" s="133" t="n">
        <f aca="false">E39+D38</f>
        <v>1</v>
      </c>
      <c r="F38" s="160"/>
      <c r="G38" s="132" t="s">
        <v>1425</v>
      </c>
      <c r="H38" s="132" t="n">
        <f aca="false">COUNTIFS(LIBRO_SOCIOS!V:V,"&gt;50",LIBRO_SOCIOS!V:V,"&lt;61",LIBRO_SOCIOS!M:M,"ZITRON-ASCAZ HOSPITALARIA",LIBRO_SOCIOS!T:T,"h")</f>
        <v>2</v>
      </c>
      <c r="I38" s="133" t="n">
        <f aca="false">(H38/$H$46)</f>
        <v>0.0540540540540541</v>
      </c>
      <c r="J38" s="133" t="n">
        <f aca="false">J39+I38</f>
        <v>0.918918918918919</v>
      </c>
      <c r="K38" s="160"/>
      <c r="L38" s="132" t="s">
        <v>1425</v>
      </c>
      <c r="M38" s="132" t="n">
        <f aca="false">C38+H38</f>
        <v>2</v>
      </c>
      <c r="N38" s="133" t="n">
        <f aca="false">(M38/$M$46)</f>
        <v>0.0444444444444444</v>
      </c>
      <c r="O38" s="133" t="n">
        <f aca="false">O39+N38</f>
        <v>0.933333333333333</v>
      </c>
      <c r="P38" s="161"/>
      <c r="S38" s="162"/>
      <c r="T38" s="132" t="s">
        <v>1425</v>
      </c>
      <c r="U38" s="132" t="n">
        <f aca="false">COUNTIFS(LIBRO_SOCIOS!V:V,"&gt;50",LIBRO_SOCIOS!V:V,"&lt;61",LIBRO_SOCIOS!M:M,"ASCAZ ambulatoria",LIBRO_SOCIOS!T:T,"h")</f>
        <v>1</v>
      </c>
      <c r="V38" s="133" t="n">
        <f aca="false">(U38/$U$46)</f>
        <v>0.111111111111111</v>
      </c>
      <c r="W38" s="133" t="n">
        <f aca="false">W39+V38</f>
        <v>0.777777777777778</v>
      </c>
      <c r="X38" s="160"/>
      <c r="Y38" s="132" t="s">
        <v>1425</v>
      </c>
      <c r="Z38" s="132" t="n">
        <f aca="false">COUNTIFS(LIBRO_SOCIOS!V:V,"&gt;50",LIBRO_SOCIOS!V:V,"&lt;61",LIBRO_SOCIOS!M:M,"ASCAZ HOSPITALARIA",LIBRO_SOCIOS!T:T,"h")</f>
        <v>3</v>
      </c>
      <c r="AA38" s="133" t="n">
        <f aca="false">(Z38/$Z$46)</f>
        <v>0.0731707317073171</v>
      </c>
      <c r="AB38" s="133" t="n">
        <f aca="false">AB39+AA38</f>
        <v>0.804878048780488</v>
      </c>
      <c r="AC38" s="160"/>
      <c r="AD38" s="132" t="s">
        <v>1425</v>
      </c>
      <c r="AE38" s="132" t="n">
        <f aca="false">U38+Z38</f>
        <v>4</v>
      </c>
      <c r="AF38" s="133" t="n">
        <f aca="false">(AE38/$AE$46)</f>
        <v>0.08</v>
      </c>
      <c r="AG38" s="133" t="n">
        <f aca="false">AG39+AF38</f>
        <v>0.8</v>
      </c>
      <c r="AH38" s="161"/>
      <c r="AK38" s="162"/>
      <c r="AL38" s="132" t="s">
        <v>1425</v>
      </c>
      <c r="AM38" s="132" t="n">
        <f aca="false">C38+U38</f>
        <v>1</v>
      </c>
      <c r="AN38" s="133" t="n">
        <f aca="false">(AM38/$AM$46)</f>
        <v>0.0588235294117647</v>
      </c>
      <c r="AO38" s="133" t="n">
        <f aca="false">AO39+AN38</f>
        <v>0.882352941176471</v>
      </c>
      <c r="AP38" s="160"/>
      <c r="AQ38" s="132" t="s">
        <v>1425</v>
      </c>
      <c r="AR38" s="132" t="n">
        <f aca="false">Z38+H38</f>
        <v>5</v>
      </c>
      <c r="AS38" s="133" t="n">
        <f aca="false">(AR38/$AR$46)</f>
        <v>0.0641025641025641</v>
      </c>
      <c r="AT38" s="133" t="n">
        <f aca="false">AT39+AS38</f>
        <v>0.858974358974359</v>
      </c>
      <c r="AU38" s="160"/>
      <c r="AV38" s="132" t="s">
        <v>1425</v>
      </c>
      <c r="AW38" s="132" t="n">
        <f aca="false">AM38+AR38</f>
        <v>6</v>
      </c>
      <c r="AX38" s="133" t="n">
        <f aca="false">(AW38/$AW$46)</f>
        <v>0.0631578947368421</v>
      </c>
      <c r="AY38" s="133" t="n">
        <f aca="false">AY39+AX38</f>
        <v>0.863157894736842</v>
      </c>
      <c r="AZ38" s="161"/>
      <c r="BB38" s="158"/>
    </row>
    <row r="39" customFormat="false" ht="15" hidden="false" customHeight="true" outlineLevel="0" collapsed="false">
      <c r="A39" s="162"/>
      <c r="B39" s="132" t="s">
        <v>1397</v>
      </c>
      <c r="C39" s="132" t="n">
        <f aca="false">COUNTIFS(LIBRO_SOCIOS!V:V,"&gt;40",LIBRO_SOCIOS!V:V,"&lt;51",LIBRO_SOCIOS!M:M,"ZITRON-ASCAZ ambulatoria",LIBRO_SOCIOS!T:T,"h")</f>
        <v>1</v>
      </c>
      <c r="D39" s="133" t="n">
        <f aca="false">(C39/$C$46)</f>
        <v>0.125</v>
      </c>
      <c r="E39" s="133" t="n">
        <f aca="false">E40+D39</f>
        <v>1</v>
      </c>
      <c r="F39" s="160"/>
      <c r="G39" s="132" t="s">
        <v>1397</v>
      </c>
      <c r="H39" s="132" t="n">
        <f aca="false">COUNTIFS(LIBRO_SOCIOS!V:V,"&gt;40",LIBRO_SOCIOS!V:V,"&lt;51",LIBRO_SOCIOS!M:M,"ZITRON-ASCAZ HOSPITALARIA",LIBRO_SOCIOS!T:T,"h")</f>
        <v>11</v>
      </c>
      <c r="I39" s="133" t="n">
        <f aca="false">(H39/$H$46)</f>
        <v>0.297297297297297</v>
      </c>
      <c r="J39" s="133" t="n">
        <f aca="false">J40+I39</f>
        <v>0.864864864864865</v>
      </c>
      <c r="K39" s="160"/>
      <c r="L39" s="132" t="s">
        <v>1397</v>
      </c>
      <c r="M39" s="132" t="n">
        <f aca="false">C39+H39</f>
        <v>12</v>
      </c>
      <c r="N39" s="133" t="n">
        <f aca="false">(M39/$M$46)</f>
        <v>0.266666666666667</v>
      </c>
      <c r="O39" s="133" t="n">
        <f aca="false">O40+N39</f>
        <v>0.888888888888889</v>
      </c>
      <c r="P39" s="161"/>
      <c r="S39" s="162"/>
      <c r="T39" s="132" t="s">
        <v>1397</v>
      </c>
      <c r="U39" s="132" t="n">
        <f aca="false">COUNTIFS(LIBRO_SOCIOS!V:V,"&gt;40",LIBRO_SOCIOS!V:V,"&lt;51",LIBRO_SOCIOS!M:M,"ASCAZ ambulatoria",LIBRO_SOCIOS!T:T,"h")</f>
        <v>2</v>
      </c>
      <c r="V39" s="133" t="n">
        <f aca="false">(U39/$U$46)</f>
        <v>0.222222222222222</v>
      </c>
      <c r="W39" s="133" t="n">
        <f aca="false">W40+V39</f>
        <v>0.666666666666667</v>
      </c>
      <c r="X39" s="160"/>
      <c r="Y39" s="132" t="s">
        <v>1397</v>
      </c>
      <c r="Z39" s="132" t="n">
        <f aca="false">COUNTIFS(LIBRO_SOCIOS!V:V,"&gt;40",LIBRO_SOCIOS!V:V,"&lt;51",LIBRO_SOCIOS!M:M,"ASCAZ HOSPITALARIA",LIBRO_SOCIOS!T:T,"h")</f>
        <v>12</v>
      </c>
      <c r="AA39" s="133" t="n">
        <f aca="false">(Z39/$Z$46)</f>
        <v>0.292682926829268</v>
      </c>
      <c r="AB39" s="133" t="n">
        <f aca="false">AB40+AA39</f>
        <v>0.731707317073171</v>
      </c>
      <c r="AC39" s="160"/>
      <c r="AD39" s="132" t="s">
        <v>1397</v>
      </c>
      <c r="AE39" s="132" t="n">
        <f aca="false">U39+Z39</f>
        <v>14</v>
      </c>
      <c r="AF39" s="133" t="n">
        <f aca="false">(AE39/$AE$46)</f>
        <v>0.28</v>
      </c>
      <c r="AG39" s="133" t="n">
        <f aca="false">AG40+AF39</f>
        <v>0.72</v>
      </c>
      <c r="AH39" s="161"/>
      <c r="AK39" s="162"/>
      <c r="AL39" s="132" t="s">
        <v>1397</v>
      </c>
      <c r="AM39" s="132" t="n">
        <f aca="false">C39+U39</f>
        <v>3</v>
      </c>
      <c r="AN39" s="133" t="n">
        <f aca="false">(AM39/$AM$46)</f>
        <v>0.176470588235294</v>
      </c>
      <c r="AO39" s="133" t="n">
        <f aca="false">AO40+AN39</f>
        <v>0.823529411764706</v>
      </c>
      <c r="AP39" s="160"/>
      <c r="AQ39" s="132" t="s">
        <v>1397</v>
      </c>
      <c r="AR39" s="132" t="n">
        <f aca="false">Z39+H39</f>
        <v>23</v>
      </c>
      <c r="AS39" s="133" t="n">
        <f aca="false">(AR39/$AR$46)</f>
        <v>0.294871794871795</v>
      </c>
      <c r="AT39" s="133" t="n">
        <f aca="false">AT40+AS39</f>
        <v>0.794871794871795</v>
      </c>
      <c r="AU39" s="160"/>
      <c r="AV39" s="132" t="s">
        <v>1397</v>
      </c>
      <c r="AW39" s="132" t="n">
        <f aca="false">AM39+AR39</f>
        <v>26</v>
      </c>
      <c r="AX39" s="133" t="n">
        <f aca="false">(AW39/$AW$46)</f>
        <v>0.273684210526316</v>
      </c>
      <c r="AY39" s="133" t="n">
        <f aca="false">AY40+AX39</f>
        <v>0.8</v>
      </c>
      <c r="AZ39" s="161"/>
      <c r="BB39" s="158"/>
    </row>
    <row r="40" customFormat="false" ht="15" hidden="false" customHeight="true" outlineLevel="0" collapsed="false">
      <c r="A40" s="162"/>
      <c r="B40" s="132" t="s">
        <v>1398</v>
      </c>
      <c r="C40" s="132" t="n">
        <f aca="false">COUNTIFS(LIBRO_SOCIOS!V:V,"&gt;30",LIBRO_SOCIOS!V:V,"&lt;41",LIBRO_SOCIOS!M:M,"ZITRON-ASCAZ ambulatoria",LIBRO_SOCIOS!T:T,"h")</f>
        <v>1</v>
      </c>
      <c r="D40" s="133" t="n">
        <f aca="false">(C40/$C$46)</f>
        <v>0.125</v>
      </c>
      <c r="E40" s="133" t="n">
        <f aca="false">E41+D40</f>
        <v>0.875</v>
      </c>
      <c r="F40" s="160"/>
      <c r="G40" s="132" t="s">
        <v>1398</v>
      </c>
      <c r="H40" s="132" t="n">
        <f aca="false">COUNTIFS(LIBRO_SOCIOS!V:V,"&gt;30",LIBRO_SOCIOS!V:V,"&lt;41",LIBRO_SOCIOS!M:M,"ZITRON-ASCAZ HOSPITALARIA",LIBRO_SOCIOS!T:T,"h")</f>
        <v>17</v>
      </c>
      <c r="I40" s="133" t="n">
        <f aca="false">(H40/$H$46)</f>
        <v>0.45945945945946</v>
      </c>
      <c r="J40" s="133" t="n">
        <f aca="false">J41+I40</f>
        <v>0.567567567567568</v>
      </c>
      <c r="K40" s="160"/>
      <c r="L40" s="132" t="s">
        <v>1398</v>
      </c>
      <c r="M40" s="132" t="n">
        <f aca="false">C40+H40</f>
        <v>18</v>
      </c>
      <c r="N40" s="133" t="n">
        <f aca="false">(M40/$M$46)</f>
        <v>0.4</v>
      </c>
      <c r="O40" s="133" t="n">
        <f aca="false">O41+N40</f>
        <v>0.622222222222222</v>
      </c>
      <c r="P40" s="161"/>
      <c r="S40" s="162"/>
      <c r="T40" s="132" t="s">
        <v>1398</v>
      </c>
      <c r="U40" s="132" t="n">
        <f aca="false">COUNTIFS(LIBRO_SOCIOS!V:V,"&gt;30",LIBRO_SOCIOS!V:V,"&lt;41",LIBRO_SOCIOS!M:M,"ASCAZ ambulatoria",LIBRO_SOCIOS!T:T,"h")</f>
        <v>2</v>
      </c>
      <c r="V40" s="133" t="n">
        <f aca="false">(U40/$U$46)</f>
        <v>0.222222222222222</v>
      </c>
      <c r="W40" s="133" t="n">
        <f aca="false">W41+V40</f>
        <v>0.444444444444444</v>
      </c>
      <c r="X40" s="160"/>
      <c r="Y40" s="132" t="s">
        <v>1398</v>
      </c>
      <c r="Z40" s="132" t="n">
        <f aca="false">COUNTIFS(LIBRO_SOCIOS!V:V,"&gt;30",LIBRO_SOCIOS!V:V,"&lt;41",LIBRO_SOCIOS!M:M,"ASCAZ HOSPITALARIA",LIBRO_SOCIOS!T:T,"h")</f>
        <v>15</v>
      </c>
      <c r="AA40" s="133" t="n">
        <f aca="false">(Z40/$Z$46)</f>
        <v>0.365853658536585</v>
      </c>
      <c r="AB40" s="133" t="n">
        <f aca="false">AB41+AA40</f>
        <v>0.439024390243902</v>
      </c>
      <c r="AC40" s="160"/>
      <c r="AD40" s="132" t="s">
        <v>1398</v>
      </c>
      <c r="AE40" s="132" t="n">
        <f aca="false">U40+Z40</f>
        <v>17</v>
      </c>
      <c r="AF40" s="133" t="n">
        <f aca="false">(AE40/$AE$46)</f>
        <v>0.34</v>
      </c>
      <c r="AG40" s="133" t="n">
        <f aca="false">AG41+AF40</f>
        <v>0.44</v>
      </c>
      <c r="AH40" s="161"/>
      <c r="AK40" s="162"/>
      <c r="AL40" s="132" t="s">
        <v>1398</v>
      </c>
      <c r="AM40" s="132" t="n">
        <f aca="false">C40+U40</f>
        <v>3</v>
      </c>
      <c r="AN40" s="133" t="n">
        <f aca="false">(AM40/$AM$46)</f>
        <v>0.176470588235294</v>
      </c>
      <c r="AO40" s="133" t="n">
        <f aca="false">AO41+AN40</f>
        <v>0.647058823529412</v>
      </c>
      <c r="AP40" s="160"/>
      <c r="AQ40" s="132" t="s">
        <v>1398</v>
      </c>
      <c r="AR40" s="132" t="n">
        <f aca="false">Z40+H40</f>
        <v>32</v>
      </c>
      <c r="AS40" s="133" t="n">
        <f aca="false">(AR40/$AR$46)</f>
        <v>0.41025641025641</v>
      </c>
      <c r="AT40" s="133" t="n">
        <f aca="false">AT41+AS40</f>
        <v>0.5</v>
      </c>
      <c r="AU40" s="160"/>
      <c r="AV40" s="132" t="s">
        <v>1398</v>
      </c>
      <c r="AW40" s="132" t="n">
        <f aca="false">AM40+AR40</f>
        <v>35</v>
      </c>
      <c r="AX40" s="133" t="n">
        <f aca="false">(AW40/$AW$46)</f>
        <v>0.368421052631579</v>
      </c>
      <c r="AY40" s="133" t="n">
        <f aca="false">AY41+AX40</f>
        <v>0.526315789473684</v>
      </c>
      <c r="AZ40" s="161"/>
      <c r="BB40" s="158"/>
    </row>
    <row r="41" customFormat="false" ht="15" hidden="false" customHeight="true" outlineLevel="0" collapsed="false">
      <c r="A41" s="162"/>
      <c r="B41" s="132" t="s">
        <v>1399</v>
      </c>
      <c r="C41" s="132" t="n">
        <f aca="false">COUNTIFS(LIBRO_SOCIOS!V:V,"&gt;20",LIBRO_SOCIOS!V:V,"&lt;31",LIBRO_SOCIOS!M:M,"ZITRON-ASCAZ ambulatoria",LIBRO_SOCIOS!T:T,"h")</f>
        <v>0</v>
      </c>
      <c r="D41" s="133" t="n">
        <f aca="false">(C41/$C$46)</f>
        <v>0</v>
      </c>
      <c r="E41" s="133" t="n">
        <f aca="false">E42+D41</f>
        <v>0.75</v>
      </c>
      <c r="F41" s="160"/>
      <c r="G41" s="132" t="s">
        <v>1399</v>
      </c>
      <c r="H41" s="132" t="n">
        <f aca="false">COUNTIFS(LIBRO_SOCIOS!V:V,"&gt;20",LIBRO_SOCIOS!V:V,"&lt;31",LIBRO_SOCIOS!M:M,"ZITRON-ASCAZ HOSPITALARIA",LIBRO_SOCIOS!T:T,"h")</f>
        <v>3</v>
      </c>
      <c r="I41" s="133" t="n">
        <f aca="false">(H41/$H$46)</f>
        <v>0.0810810810810811</v>
      </c>
      <c r="J41" s="133" t="n">
        <f aca="false">J42+I41</f>
        <v>0.108108108108108</v>
      </c>
      <c r="K41" s="160"/>
      <c r="L41" s="132" t="s">
        <v>1399</v>
      </c>
      <c r="M41" s="132" t="n">
        <f aca="false">C41+H41</f>
        <v>3</v>
      </c>
      <c r="N41" s="133" t="n">
        <f aca="false">(M41/$M$46)</f>
        <v>0.0666666666666667</v>
      </c>
      <c r="O41" s="133" t="n">
        <f aca="false">O42+N41</f>
        <v>0.222222222222222</v>
      </c>
      <c r="P41" s="161"/>
      <c r="S41" s="162"/>
      <c r="T41" s="132" t="s">
        <v>1399</v>
      </c>
      <c r="U41" s="132" t="n">
        <f aca="false">COUNTIFS(LIBRO_SOCIOS!V:V,"&gt;20",LIBRO_SOCIOS!V:V,"&lt;31",LIBRO_SOCIOS!M:M,"ASCAZ ambulatoria",LIBRO_SOCIOS!T:T,"h")</f>
        <v>0</v>
      </c>
      <c r="V41" s="133" t="n">
        <f aca="false">(U41/$U$46)</f>
        <v>0</v>
      </c>
      <c r="W41" s="133" t="n">
        <f aca="false">W42+V41</f>
        <v>0.222222222222222</v>
      </c>
      <c r="X41" s="160"/>
      <c r="Y41" s="132" t="s">
        <v>1399</v>
      </c>
      <c r="Z41" s="132" t="n">
        <f aca="false">COUNTIFS(LIBRO_SOCIOS!V:V,"&gt;20",LIBRO_SOCIOS!V:V,"&lt;31",LIBRO_SOCIOS!M:M,"ASCAZ HOSPITALARIA",LIBRO_SOCIOS!T:T,"h")</f>
        <v>1</v>
      </c>
      <c r="AA41" s="133" t="n">
        <f aca="false">(Z41/$Z$46)</f>
        <v>0.024390243902439</v>
      </c>
      <c r="AB41" s="133" t="n">
        <f aca="false">AB42+AA41</f>
        <v>0.0731707317073171</v>
      </c>
      <c r="AC41" s="160"/>
      <c r="AD41" s="132" t="s">
        <v>1399</v>
      </c>
      <c r="AE41" s="132" t="n">
        <f aca="false">U41+Z41</f>
        <v>1</v>
      </c>
      <c r="AF41" s="133" t="n">
        <f aca="false">(AE41/$AE$46)</f>
        <v>0.02</v>
      </c>
      <c r="AG41" s="133" t="n">
        <f aca="false">AG42+AF41</f>
        <v>0.1</v>
      </c>
      <c r="AH41" s="161"/>
      <c r="AK41" s="162"/>
      <c r="AL41" s="132" t="s">
        <v>1399</v>
      </c>
      <c r="AM41" s="132" t="n">
        <f aca="false">C41+U41</f>
        <v>0</v>
      </c>
      <c r="AN41" s="133" t="n">
        <f aca="false">(AM41/$AM$46)</f>
        <v>0</v>
      </c>
      <c r="AO41" s="133" t="n">
        <f aca="false">AO42+AN41</f>
        <v>0.470588235294118</v>
      </c>
      <c r="AP41" s="160"/>
      <c r="AQ41" s="132" t="s">
        <v>1399</v>
      </c>
      <c r="AR41" s="132" t="n">
        <f aca="false">Z41+H41</f>
        <v>4</v>
      </c>
      <c r="AS41" s="133" t="n">
        <f aca="false">(AR41/$AR$46)</f>
        <v>0.0512820512820513</v>
      </c>
      <c r="AT41" s="133" t="n">
        <f aca="false">AT42+AS41</f>
        <v>0.0897435897435897</v>
      </c>
      <c r="AU41" s="160"/>
      <c r="AV41" s="132" t="s">
        <v>1399</v>
      </c>
      <c r="AW41" s="132" t="n">
        <f aca="false">AM41+AR41</f>
        <v>4</v>
      </c>
      <c r="AX41" s="133" t="n">
        <f aca="false">(AW41/$AW$46)</f>
        <v>0.0421052631578947</v>
      </c>
      <c r="AY41" s="133" t="n">
        <f aca="false">AY42+AX41</f>
        <v>0.157894736842105</v>
      </c>
      <c r="AZ41" s="161"/>
      <c r="BB41" s="158"/>
    </row>
    <row r="42" customFormat="false" ht="15" hidden="false" customHeight="true" outlineLevel="0" collapsed="false">
      <c r="A42" s="162"/>
      <c r="B42" s="134" t="s">
        <v>1400</v>
      </c>
      <c r="C42" s="132" t="n">
        <f aca="false">COUNTIFS(LIBRO_SOCIOS!V:V,"&gt;10",LIBRO_SOCIOS!V:V,"&lt;21",LIBRO_SOCIOS!M:M,"ZITRON-ASCAZ ambulatoria",LIBRO_SOCIOS!T:T,"h")</f>
        <v>2</v>
      </c>
      <c r="D42" s="133" t="n">
        <f aca="false">(C42/$C$46)</f>
        <v>0.25</v>
      </c>
      <c r="E42" s="133" t="n">
        <f aca="false">D43+D42</f>
        <v>0.75</v>
      </c>
      <c r="F42" s="160"/>
      <c r="G42" s="134" t="s">
        <v>1400</v>
      </c>
      <c r="H42" s="132" t="n">
        <f aca="false">COUNTIFS(LIBRO_SOCIOS!V:V,"&gt;10",LIBRO_SOCIOS!V:V,"&lt;21",LIBRO_SOCIOS!M:M,"ZITRON-ASCAZ HOSPITALARIA",LIBRO_SOCIOS!T:T,"h")</f>
        <v>0</v>
      </c>
      <c r="I42" s="133" t="n">
        <f aca="false">(H42/$H$46)</f>
        <v>0</v>
      </c>
      <c r="J42" s="133" t="n">
        <f aca="false">I43+I42</f>
        <v>0.027027027027027</v>
      </c>
      <c r="K42" s="160"/>
      <c r="L42" s="134" t="s">
        <v>1400</v>
      </c>
      <c r="M42" s="132" t="n">
        <f aca="false">C42+H42</f>
        <v>2</v>
      </c>
      <c r="N42" s="133" t="n">
        <f aca="false">(M42/$M$46)</f>
        <v>0.0444444444444444</v>
      </c>
      <c r="O42" s="133" t="n">
        <f aca="false">N43+N42</f>
        <v>0.155555555555556</v>
      </c>
      <c r="P42" s="161"/>
      <c r="S42" s="162"/>
      <c r="T42" s="134" t="s">
        <v>1400</v>
      </c>
      <c r="U42" s="132" t="n">
        <f aca="false">COUNTIFS(LIBRO_SOCIOS!V:V,"&gt;10",LIBRO_SOCIOS!V:V,"&lt;21",LIBRO_SOCIOS!M:M,"ASCAZ ambulatoria",LIBRO_SOCIOS!T:T,"h")</f>
        <v>0</v>
      </c>
      <c r="V42" s="133" t="n">
        <f aca="false">(U42/$U$46)</f>
        <v>0</v>
      </c>
      <c r="W42" s="133" t="n">
        <f aca="false">V43+V42</f>
        <v>0.222222222222222</v>
      </c>
      <c r="X42" s="160"/>
      <c r="Y42" s="134" t="s">
        <v>1400</v>
      </c>
      <c r="Z42" s="132" t="n">
        <f aca="false">COUNTIFS(LIBRO_SOCIOS!V:V,"&gt;10",LIBRO_SOCIOS!V:V,"&lt;21",LIBRO_SOCIOS!M:M,"ASCAZ HOSPITALARIA",LIBRO_SOCIOS!T:T,"h")</f>
        <v>0</v>
      </c>
      <c r="AA42" s="133" t="n">
        <f aca="false">(Z42/$Z$46)</f>
        <v>0</v>
      </c>
      <c r="AB42" s="133" t="n">
        <f aca="false">AA43+AA42</f>
        <v>0.0487804878048781</v>
      </c>
      <c r="AC42" s="160"/>
      <c r="AD42" s="134" t="s">
        <v>1400</v>
      </c>
      <c r="AE42" s="132" t="n">
        <f aca="false">U42+Z42</f>
        <v>0</v>
      </c>
      <c r="AF42" s="133" t="n">
        <f aca="false">(AE42/$AE$46)</f>
        <v>0</v>
      </c>
      <c r="AG42" s="133" t="n">
        <f aca="false">AF43+AF42</f>
        <v>0.08</v>
      </c>
      <c r="AH42" s="161"/>
      <c r="AK42" s="162"/>
      <c r="AL42" s="134" t="s">
        <v>1400</v>
      </c>
      <c r="AM42" s="132" t="n">
        <f aca="false">C42+U42</f>
        <v>2</v>
      </c>
      <c r="AN42" s="133" t="n">
        <f aca="false">(AM42/$AM$46)</f>
        <v>0.117647058823529</v>
      </c>
      <c r="AO42" s="133" t="n">
        <f aca="false">AN43+AN42</f>
        <v>0.470588235294118</v>
      </c>
      <c r="AP42" s="160"/>
      <c r="AQ42" s="134" t="s">
        <v>1400</v>
      </c>
      <c r="AR42" s="132" t="n">
        <f aca="false">Z42+H42</f>
        <v>0</v>
      </c>
      <c r="AS42" s="133" t="n">
        <f aca="false">(AR42/$AR$46)</f>
        <v>0</v>
      </c>
      <c r="AT42" s="133" t="n">
        <f aca="false">AS43+AS42</f>
        <v>0.0384615384615385</v>
      </c>
      <c r="AU42" s="160"/>
      <c r="AV42" s="134" t="s">
        <v>1400</v>
      </c>
      <c r="AW42" s="132" t="n">
        <f aca="false">AM42+AR42</f>
        <v>2</v>
      </c>
      <c r="AX42" s="133" t="n">
        <f aca="false">(AW42/$AW$46)</f>
        <v>0.0210526315789474</v>
      </c>
      <c r="AY42" s="133" t="n">
        <f aca="false">AX43+AX42</f>
        <v>0.115789473684211</v>
      </c>
      <c r="AZ42" s="161"/>
      <c r="BB42" s="158"/>
    </row>
    <row r="43" customFormat="false" ht="15" hidden="false" customHeight="true" outlineLevel="0" collapsed="false">
      <c r="A43" s="162"/>
      <c r="B43" s="135" t="s">
        <v>1401</v>
      </c>
      <c r="C43" s="132" t="n">
        <f aca="false">COUNTIFS(LIBRO_SOCIOS!V:V,"&gt;0",LIBRO_SOCIOS!V:V,"&lt;11",LIBRO_SOCIOS!M:M,"ZITRON-ASCAZ ambulatoria",LIBRO_SOCIOS!T:T,"h")</f>
        <v>4</v>
      </c>
      <c r="D43" s="133" t="n">
        <f aca="false">(C43/$C$46)</f>
        <v>0.5</v>
      </c>
      <c r="F43" s="160"/>
      <c r="G43" s="135" t="s">
        <v>1401</v>
      </c>
      <c r="H43" s="132" t="n">
        <f aca="false">COUNTIFS(LIBRO_SOCIOS!V:V,"&gt;0",LIBRO_SOCIOS!V:V,"&lt;11",LIBRO_SOCIOS!M:M,"ZITRON-ASCAZ HOSPITALARIA",LIBRO_SOCIOS!T:T,"h")</f>
        <v>1</v>
      </c>
      <c r="I43" s="133" t="n">
        <f aca="false">(H43/$H$46)</f>
        <v>0.027027027027027</v>
      </c>
      <c r="K43" s="160"/>
      <c r="L43" s="135" t="s">
        <v>1401</v>
      </c>
      <c r="M43" s="132" t="n">
        <f aca="false">C43+H43</f>
        <v>5</v>
      </c>
      <c r="N43" s="133" t="n">
        <f aca="false">(M43/$M$46)</f>
        <v>0.111111111111111</v>
      </c>
      <c r="P43" s="161"/>
      <c r="S43" s="162"/>
      <c r="T43" s="135" t="s">
        <v>1401</v>
      </c>
      <c r="U43" s="132" t="n">
        <f aca="false">COUNTIFS(LIBRO_SOCIOS!V:V,"&gt;0",LIBRO_SOCIOS!V:V,"&lt;11",LIBRO_SOCIOS!M:M,"ASCAZ ambulatoria",LIBRO_SOCIOS!T:T,"h")</f>
        <v>2</v>
      </c>
      <c r="V43" s="133" t="n">
        <f aca="false">(U43/$U$46)</f>
        <v>0.222222222222222</v>
      </c>
      <c r="X43" s="160"/>
      <c r="Y43" s="135" t="s">
        <v>1401</v>
      </c>
      <c r="Z43" s="132" t="n">
        <f aca="false">COUNTIFS(LIBRO_SOCIOS!V:V,"&gt;0",LIBRO_SOCIOS!V:V,"&lt;11",LIBRO_SOCIOS!M:M,"ASCAZ HOSPITALARIA",LIBRO_SOCIOS!T:T,"h")</f>
        <v>2</v>
      </c>
      <c r="AA43" s="133" t="n">
        <f aca="false">(Z43/$Z$46)</f>
        <v>0.0487804878048781</v>
      </c>
      <c r="AC43" s="160"/>
      <c r="AD43" s="135" t="s">
        <v>1401</v>
      </c>
      <c r="AE43" s="132" t="n">
        <f aca="false">U43+Z43</f>
        <v>4</v>
      </c>
      <c r="AF43" s="133" t="n">
        <f aca="false">(AE43/$AE$46)</f>
        <v>0.08</v>
      </c>
      <c r="AH43" s="161"/>
      <c r="AK43" s="162"/>
      <c r="AL43" s="135" t="s">
        <v>1401</v>
      </c>
      <c r="AM43" s="132" t="n">
        <f aca="false">C43+U43</f>
        <v>6</v>
      </c>
      <c r="AN43" s="133" t="n">
        <f aca="false">(AM43/$AM$46)</f>
        <v>0.352941176470588</v>
      </c>
      <c r="AP43" s="160"/>
      <c r="AQ43" s="135" t="s">
        <v>1401</v>
      </c>
      <c r="AR43" s="132" t="n">
        <f aca="false">Z43+H43</f>
        <v>3</v>
      </c>
      <c r="AS43" s="133" t="n">
        <f aca="false">(AR43/$AR$46)</f>
        <v>0.0384615384615385</v>
      </c>
      <c r="AU43" s="160"/>
      <c r="AV43" s="135" t="s">
        <v>1401</v>
      </c>
      <c r="AW43" s="132" t="n">
        <f aca="false">AM43+AR43</f>
        <v>9</v>
      </c>
      <c r="AX43" s="133" t="n">
        <f aca="false">(AW43/$AW$46)</f>
        <v>0.0947368421052632</v>
      </c>
      <c r="AZ43" s="161"/>
      <c r="BB43" s="158"/>
    </row>
    <row r="44" customFormat="false" ht="15" hidden="false" customHeight="true" outlineLevel="0" collapsed="false">
      <c r="A44" s="162"/>
      <c r="F44" s="160"/>
      <c r="I44" s="149"/>
      <c r="J44" s="149"/>
      <c r="K44" s="160"/>
      <c r="P44" s="161"/>
      <c r="S44" s="162"/>
      <c r="V44" s="149"/>
      <c r="X44" s="160"/>
      <c r="AA44" s="149"/>
      <c r="AB44" s="149"/>
      <c r="AC44" s="160"/>
      <c r="AH44" s="161"/>
      <c r="AK44" s="162"/>
      <c r="AP44" s="160"/>
      <c r="AS44" s="149"/>
      <c r="AT44" s="149"/>
      <c r="AU44" s="160"/>
      <c r="AZ44" s="161"/>
      <c r="BB44" s="158"/>
    </row>
    <row r="45" customFormat="false" ht="15" hidden="false" customHeight="true" outlineLevel="0" collapsed="false">
      <c r="A45" s="162"/>
      <c r="B45" s="132"/>
      <c r="C45" s="132"/>
      <c r="D45" s="133"/>
      <c r="E45" s="133"/>
      <c r="F45" s="160"/>
      <c r="G45" s="132"/>
      <c r="H45" s="132"/>
      <c r="I45" s="136"/>
      <c r="J45" s="133"/>
      <c r="K45" s="160"/>
      <c r="L45" s="132"/>
      <c r="M45" s="132"/>
      <c r="N45" s="133"/>
      <c r="O45" s="133"/>
      <c r="P45" s="161"/>
      <c r="S45" s="162"/>
      <c r="T45" s="132"/>
      <c r="U45" s="132"/>
      <c r="V45" s="133"/>
      <c r="W45" s="133"/>
      <c r="X45" s="160"/>
      <c r="Y45" s="132"/>
      <c r="Z45" s="132"/>
      <c r="AA45" s="136"/>
      <c r="AB45" s="133"/>
      <c r="AC45" s="160"/>
      <c r="AD45" s="132"/>
      <c r="AE45" s="132"/>
      <c r="AF45" s="133"/>
      <c r="AG45" s="133"/>
      <c r="AH45" s="161"/>
      <c r="AK45" s="162"/>
      <c r="AL45" s="132"/>
      <c r="AM45" s="132"/>
      <c r="AN45" s="133"/>
      <c r="AO45" s="133"/>
      <c r="AP45" s="160"/>
      <c r="AQ45" s="132"/>
      <c r="AR45" s="132"/>
      <c r="AS45" s="136"/>
      <c r="AT45" s="133"/>
      <c r="AU45" s="160"/>
      <c r="AV45" s="132"/>
      <c r="AW45" s="132"/>
      <c r="AX45" s="133"/>
      <c r="AY45" s="133"/>
      <c r="AZ45" s="161"/>
      <c r="BB45" s="158"/>
    </row>
    <row r="46" customFormat="false" ht="15" hidden="false" customHeight="true" outlineLevel="0" collapsed="false">
      <c r="A46" s="162"/>
      <c r="B46" s="132" t="s">
        <v>1394</v>
      </c>
      <c r="C46" s="132" t="n">
        <f aca="false">SUM(C35:C43)</f>
        <v>8</v>
      </c>
      <c r="D46" s="133"/>
      <c r="E46" s="136"/>
      <c r="F46" s="160"/>
      <c r="G46" s="132" t="s">
        <v>1394</v>
      </c>
      <c r="H46" s="132" t="n">
        <f aca="false">SUM(H35:H43)</f>
        <v>37</v>
      </c>
      <c r="I46" s="136"/>
      <c r="J46" s="136"/>
      <c r="K46" s="160"/>
      <c r="L46" s="132" t="s">
        <v>1394</v>
      </c>
      <c r="M46" s="132" t="n">
        <f aca="false">SUM(M35:M43)</f>
        <v>45</v>
      </c>
      <c r="N46" s="136"/>
      <c r="O46" s="136"/>
      <c r="P46" s="161"/>
      <c r="S46" s="162"/>
      <c r="T46" s="132" t="s">
        <v>1394</v>
      </c>
      <c r="U46" s="132" t="n">
        <f aca="false">SUM(U35:U43)</f>
        <v>9</v>
      </c>
      <c r="V46" s="133"/>
      <c r="W46" s="136"/>
      <c r="X46" s="160"/>
      <c r="Y46" s="132" t="s">
        <v>1394</v>
      </c>
      <c r="Z46" s="132" t="n">
        <f aca="false">SUM(Z35:Z43)</f>
        <v>41</v>
      </c>
      <c r="AA46" s="136"/>
      <c r="AB46" s="136"/>
      <c r="AC46" s="160"/>
      <c r="AD46" s="132" t="s">
        <v>1394</v>
      </c>
      <c r="AE46" s="132" t="n">
        <f aca="false">SUM(AE35:AE43)</f>
        <v>50</v>
      </c>
      <c r="AF46" s="136"/>
      <c r="AG46" s="136"/>
      <c r="AH46" s="161"/>
      <c r="AK46" s="162"/>
      <c r="AL46" s="132" t="s">
        <v>1394</v>
      </c>
      <c r="AM46" s="132" t="n">
        <f aca="false">SUM(AM35:AM43)</f>
        <v>17</v>
      </c>
      <c r="AN46" s="133"/>
      <c r="AO46" s="136"/>
      <c r="AP46" s="160"/>
      <c r="AQ46" s="132" t="s">
        <v>1394</v>
      </c>
      <c r="AR46" s="132" t="n">
        <f aca="false">SUM(AR35:AR43)</f>
        <v>78</v>
      </c>
      <c r="AS46" s="136"/>
      <c r="AT46" s="136"/>
      <c r="AU46" s="160"/>
      <c r="AV46" s="132" t="s">
        <v>1394</v>
      </c>
      <c r="AW46" s="132" t="n">
        <f aca="false">AM46+AR46</f>
        <v>95</v>
      </c>
      <c r="AX46" s="136"/>
      <c r="AY46" s="136"/>
      <c r="AZ46" s="161"/>
      <c r="BB46" s="158"/>
    </row>
    <row r="47" customFormat="false" ht="15" hidden="false" customHeight="true" outlineLevel="0" collapsed="false">
      <c r="A47" s="162"/>
      <c r="B47" s="132"/>
      <c r="C47" s="141"/>
      <c r="D47" s="136"/>
      <c r="E47" s="136"/>
      <c r="F47" s="160"/>
      <c r="G47" s="132"/>
      <c r="H47" s="132"/>
      <c r="I47" s="136"/>
      <c r="J47" s="136"/>
      <c r="K47" s="160"/>
      <c r="L47" s="132"/>
      <c r="M47" s="141"/>
      <c r="N47" s="136"/>
      <c r="O47" s="136"/>
      <c r="P47" s="161"/>
      <c r="S47" s="162"/>
      <c r="T47" s="132"/>
      <c r="U47" s="141"/>
      <c r="V47" s="136"/>
      <c r="W47" s="136"/>
      <c r="X47" s="160"/>
      <c r="Y47" s="132"/>
      <c r="Z47" s="132"/>
      <c r="AA47" s="136"/>
      <c r="AB47" s="136"/>
      <c r="AC47" s="160"/>
      <c r="AD47" s="132"/>
      <c r="AE47" s="141"/>
      <c r="AF47" s="136"/>
      <c r="AG47" s="136"/>
      <c r="AH47" s="161"/>
      <c r="AK47" s="162"/>
      <c r="AL47" s="132"/>
      <c r="AM47" s="141"/>
      <c r="AN47" s="136"/>
      <c r="AO47" s="136"/>
      <c r="AP47" s="160"/>
      <c r="AQ47" s="132"/>
      <c r="AR47" s="132"/>
      <c r="AS47" s="136"/>
      <c r="AT47" s="136"/>
      <c r="AU47" s="160"/>
      <c r="AV47" s="132"/>
      <c r="AW47" s="141"/>
      <c r="AX47" s="136"/>
      <c r="AY47" s="136"/>
      <c r="AZ47" s="161"/>
      <c r="BB47" s="158"/>
    </row>
    <row r="48" customFormat="false" ht="15" hidden="false" customHeight="true" outlineLevel="0" collapsed="false">
      <c r="A48" s="162"/>
      <c r="B48" s="132"/>
      <c r="C48" s="132" t="s">
        <v>1421</v>
      </c>
      <c r="D48" s="136"/>
      <c r="E48" s="136"/>
      <c r="F48" s="160"/>
      <c r="G48" s="132"/>
      <c r="H48" s="132" t="s">
        <v>1421</v>
      </c>
      <c r="I48" s="136"/>
      <c r="J48" s="136"/>
      <c r="K48" s="160"/>
      <c r="L48" s="132"/>
      <c r="M48" s="132" t="s">
        <v>1421</v>
      </c>
      <c r="N48" s="136"/>
      <c r="O48" s="136"/>
      <c r="P48" s="161"/>
      <c r="S48" s="162"/>
      <c r="T48" s="132"/>
      <c r="U48" s="132" t="s">
        <v>1421</v>
      </c>
      <c r="V48" s="136"/>
      <c r="W48" s="136"/>
      <c r="X48" s="160"/>
      <c r="Y48" s="132"/>
      <c r="Z48" s="132" t="s">
        <v>1421</v>
      </c>
      <c r="AA48" s="136"/>
      <c r="AB48" s="136"/>
      <c r="AC48" s="160"/>
      <c r="AD48" s="132"/>
      <c r="AE48" s="132" t="s">
        <v>1421</v>
      </c>
      <c r="AF48" s="136"/>
      <c r="AG48" s="136"/>
      <c r="AH48" s="161"/>
      <c r="AK48" s="162"/>
      <c r="AL48" s="132"/>
      <c r="AM48" s="132" t="s">
        <v>1421</v>
      </c>
      <c r="AN48" s="136"/>
      <c r="AO48" s="136"/>
      <c r="AP48" s="160"/>
      <c r="AQ48" s="132"/>
      <c r="AR48" s="132" t="s">
        <v>1421</v>
      </c>
      <c r="AS48" s="136"/>
      <c r="AT48" s="136"/>
      <c r="AU48" s="160"/>
      <c r="AV48" s="132"/>
      <c r="AW48" s="132" t="s">
        <v>1421</v>
      </c>
      <c r="AX48" s="136"/>
      <c r="AY48" s="136"/>
      <c r="AZ48" s="161"/>
      <c r="BB48" s="158"/>
    </row>
    <row r="49" customFormat="false" ht="15" hidden="false" customHeight="true" outlineLevel="0" collapsed="false">
      <c r="A49" s="162"/>
      <c r="B49" s="132"/>
      <c r="C49" s="150" t="n">
        <f aca="false">((5*C43)+(15*C42)+(25*C41)+(35*C40)+(45*C39)+(55*C38)+(65*C37)+(75*C36)+(85*C35))/C46</f>
        <v>16.25</v>
      </c>
      <c r="D49" s="136"/>
      <c r="E49" s="136"/>
      <c r="F49" s="160"/>
      <c r="G49" s="132"/>
      <c r="H49" s="150" t="n">
        <f aca="false">((5*H43)+(15*H42)+(25*H41)+(35*H40)+(45*H39)+(55*H38)+(65*H37)+(75*H36)+(85*H35))/H46</f>
        <v>39.8648648648649</v>
      </c>
      <c r="I49" s="136"/>
      <c r="J49" s="136"/>
      <c r="K49" s="160"/>
      <c r="L49" s="132"/>
      <c r="M49" s="150" t="n">
        <f aca="false">((5*M43)+(15*M42)+(25*M41)+(35*M40)+(45*M39)+(55*M38)+(65*M37)+(75*M36)+(85*M35))/M46</f>
        <v>35.6666666666667</v>
      </c>
      <c r="N49" s="136"/>
      <c r="O49" s="136"/>
      <c r="P49" s="161"/>
      <c r="S49" s="162"/>
      <c r="T49" s="132"/>
      <c r="U49" s="150" t="n">
        <f aca="false">((5*U43)+(15*U42)+(25*U41)+(35*U40)+(45*U39)+(55*U38)+(65*U37)+(75*U36)+(85*U35))/U46</f>
        <v>40.5555555555556</v>
      </c>
      <c r="V49" s="136"/>
      <c r="W49" s="136"/>
      <c r="X49" s="160"/>
      <c r="Y49" s="132"/>
      <c r="Z49" s="150" t="n">
        <f aca="false">((5*Z43)+(15*Z42)+(25*Z41)+(35*Z40)+(45*Z39)+(55*Z38)+(65*Z37)+(75*Z36)+(85*Z35))/Z46</f>
        <v>44.2682926829268</v>
      </c>
      <c r="AA49" s="136"/>
      <c r="AB49" s="136"/>
      <c r="AC49" s="160"/>
      <c r="AD49" s="132"/>
      <c r="AE49" s="150" t="n">
        <f aca="false">((5*AE43)+(15*AE42)+(25*AE41)+(35*AE40)+(45*AE39)+(55*AE38)+(65*AE37)+(75*AE36)+(85*AE35))/AE46</f>
        <v>43.6</v>
      </c>
      <c r="AF49" s="136"/>
      <c r="AG49" s="136"/>
      <c r="AH49" s="161"/>
      <c r="AK49" s="162"/>
      <c r="AL49" s="132"/>
      <c r="AM49" s="150" t="n">
        <f aca="false">((5*AM43)+(15*AM42)+(25*AM41)+(35*AM40)+(45*AM39)+(55*AM38)+(65*AM37)+(75*AM36)+(85*AM35))/AM46</f>
        <v>29.1176470588235</v>
      </c>
      <c r="AN49" s="136"/>
      <c r="AO49" s="136"/>
      <c r="AP49" s="160"/>
      <c r="AQ49" s="132"/>
      <c r="AR49" s="150" t="n">
        <f aca="false">((5*AR43)+(15*AR42)+(25*AR41)+(35*AR40)+(45*AR39)+(55*AR38)+(65*AR37)+(75*AR36)+(85*AR35))/AR46</f>
        <v>42.1794871794872</v>
      </c>
      <c r="AS49" s="136"/>
      <c r="AT49" s="136"/>
      <c r="AU49" s="160"/>
      <c r="AV49" s="132"/>
      <c r="AW49" s="150" t="n">
        <f aca="false">((5*AW43)+(15*AW42)+(25*AW41)+(35*AW40)+(45*AW39)+(55*AW38)+(65*AW37)+(75*AW36)+(85*AW35))/AW46</f>
        <v>39.8421052631579</v>
      </c>
      <c r="AX49" s="136"/>
      <c r="AY49" s="136"/>
      <c r="AZ49" s="161"/>
      <c r="BB49" s="158"/>
    </row>
    <row r="50" customFormat="false" ht="15.75" hidden="false" customHeight="true" outlineLevel="0" collapsed="false">
      <c r="A50" s="163"/>
      <c r="B50" s="164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6"/>
      <c r="S50" s="163"/>
      <c r="T50" s="164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6"/>
      <c r="AK50" s="163"/>
      <c r="AL50" s="164"/>
      <c r="AM50" s="165"/>
      <c r="AN50" s="165"/>
      <c r="AO50" s="165"/>
      <c r="AP50" s="165"/>
      <c r="AQ50" s="165"/>
      <c r="AR50" s="165"/>
      <c r="AS50" s="165"/>
      <c r="AT50" s="165"/>
      <c r="AU50" s="165"/>
      <c r="AV50" s="165"/>
      <c r="AW50" s="165"/>
      <c r="AX50" s="165"/>
      <c r="AY50" s="165"/>
      <c r="AZ50" s="166"/>
      <c r="BB50" s="158"/>
    </row>
    <row r="53" customFormat="false" ht="15.75" hidden="false" customHeight="false" outlineLevel="0" collapsed="false"/>
    <row r="54" customFormat="false" ht="15" hidden="false" customHeight="true" outlineLevel="0" collapsed="false">
      <c r="A54" s="167"/>
      <c r="B54" s="168" t="s">
        <v>61</v>
      </c>
      <c r="C54" s="168"/>
      <c r="D54" s="169" t="n">
        <f aca="false">C67/M67</f>
        <v>0.15</v>
      </c>
      <c r="E54" s="169"/>
      <c r="F54" s="170"/>
      <c r="G54" s="168" t="s">
        <v>36</v>
      </c>
      <c r="H54" s="168"/>
      <c r="I54" s="169" t="n">
        <f aca="false">H67/M67</f>
        <v>0.85</v>
      </c>
      <c r="J54" s="169"/>
      <c r="K54" s="170"/>
      <c r="L54" s="168" t="s">
        <v>1394</v>
      </c>
      <c r="M54" s="168"/>
      <c r="N54" s="171" t="n">
        <f aca="false">I54+D54</f>
        <v>1</v>
      </c>
      <c r="O54" s="171"/>
      <c r="P54" s="172"/>
      <c r="S54" s="167"/>
      <c r="T54" s="168" t="s">
        <v>61</v>
      </c>
      <c r="U54" s="168"/>
      <c r="V54" s="169" t="n">
        <f aca="false">U67/AE67</f>
        <v>0.161764705882353</v>
      </c>
      <c r="W54" s="169"/>
      <c r="X54" s="170"/>
      <c r="Y54" s="168" t="s">
        <v>36</v>
      </c>
      <c r="Z54" s="168"/>
      <c r="AA54" s="169" t="n">
        <f aca="false">Z67/AE67</f>
        <v>0.838235294117647</v>
      </c>
      <c r="AB54" s="169"/>
      <c r="AC54" s="170"/>
      <c r="AD54" s="168" t="s">
        <v>1394</v>
      </c>
      <c r="AE54" s="168"/>
      <c r="AF54" s="171" t="n">
        <f aca="false">AA54+V54</f>
        <v>1</v>
      </c>
      <c r="AG54" s="171"/>
      <c r="AH54" s="172"/>
      <c r="AK54" s="167"/>
      <c r="AL54" s="168" t="s">
        <v>61</v>
      </c>
      <c r="AM54" s="168"/>
      <c r="AN54" s="169" t="n">
        <f aca="false">AM67/AW67</f>
        <v>0.157407407407407</v>
      </c>
      <c r="AO54" s="169"/>
      <c r="AP54" s="170"/>
      <c r="AQ54" s="168" t="s">
        <v>36</v>
      </c>
      <c r="AR54" s="168"/>
      <c r="AS54" s="169" t="n">
        <f aca="false">AR67/AW67</f>
        <v>0.842592592592593</v>
      </c>
      <c r="AT54" s="169"/>
      <c r="AU54" s="170"/>
      <c r="AV54" s="168" t="s">
        <v>1394</v>
      </c>
      <c r="AW54" s="168"/>
      <c r="AX54" s="171" t="n">
        <f aca="false">AS54+AN54</f>
        <v>1</v>
      </c>
      <c r="AY54" s="171"/>
      <c r="AZ54" s="172"/>
      <c r="BB54" s="173" t="n">
        <f aca="false">AW67/AW25</f>
        <v>0.532019704433498</v>
      </c>
    </row>
    <row r="55" customFormat="false" ht="15" hidden="false" customHeight="true" outlineLevel="0" collapsed="false">
      <c r="A55" s="174"/>
      <c r="B55" s="168"/>
      <c r="C55" s="168"/>
      <c r="D55" s="169"/>
      <c r="E55" s="169"/>
      <c r="F55" s="175"/>
      <c r="G55" s="168"/>
      <c r="H55" s="168"/>
      <c r="I55" s="169"/>
      <c r="J55" s="169"/>
      <c r="K55" s="175"/>
      <c r="L55" s="168"/>
      <c r="M55" s="168"/>
      <c r="N55" s="171"/>
      <c r="O55" s="171"/>
      <c r="P55" s="176"/>
      <c r="S55" s="174"/>
      <c r="T55" s="168"/>
      <c r="U55" s="168"/>
      <c r="V55" s="169"/>
      <c r="W55" s="169"/>
      <c r="X55" s="175"/>
      <c r="Y55" s="168"/>
      <c r="Z55" s="168"/>
      <c r="AA55" s="169"/>
      <c r="AB55" s="169"/>
      <c r="AC55" s="175"/>
      <c r="AD55" s="168"/>
      <c r="AE55" s="168"/>
      <c r="AF55" s="171"/>
      <c r="AG55" s="171"/>
      <c r="AH55" s="176"/>
      <c r="AK55" s="174"/>
      <c r="AL55" s="168"/>
      <c r="AM55" s="168"/>
      <c r="AN55" s="169"/>
      <c r="AO55" s="169"/>
      <c r="AP55" s="175"/>
      <c r="AQ55" s="168"/>
      <c r="AR55" s="168"/>
      <c r="AS55" s="169"/>
      <c r="AT55" s="169"/>
      <c r="AU55" s="175"/>
      <c r="AV55" s="168"/>
      <c r="AW55" s="168"/>
      <c r="AX55" s="171"/>
      <c r="AY55" s="171"/>
      <c r="AZ55" s="176"/>
      <c r="BB55" s="173"/>
    </row>
    <row r="56" customFormat="false" ht="15" hidden="false" customHeight="false" outlineLevel="0" collapsed="false">
      <c r="A56" s="177"/>
      <c r="B56" s="132" t="s">
        <v>1422</v>
      </c>
      <c r="C56" s="132" t="n">
        <f aca="false">COUNTIFS(LIBRO_SOCIOS!V:V,"&gt;80",LIBRO_SOCIOS!M:M,"ZITRON-ASCAZ ambulatoria",LIBRO_SOCIOS!T:T,"m")</f>
        <v>0</v>
      </c>
      <c r="D56" s="133" t="n">
        <f aca="false">(C56/$C$46)</f>
        <v>0</v>
      </c>
      <c r="E56" s="133" t="n">
        <f aca="false">E57+D56</f>
        <v>0.75</v>
      </c>
      <c r="F56" s="175"/>
      <c r="G56" s="132" t="s">
        <v>1422</v>
      </c>
      <c r="H56" s="132" t="n">
        <f aca="false">COUNTIFS(LIBRO_SOCIOS!V:V,"&gt;80",LIBRO_SOCIOS!M:M,"ZITRON-ASCAZ HOSPITALARIA",LIBRO_SOCIOS!T:T,"m")</f>
        <v>0</v>
      </c>
      <c r="I56" s="133" t="n">
        <f aca="false">(H56/$H$46)</f>
        <v>0</v>
      </c>
      <c r="J56" s="133" t="n">
        <f aca="false">J57+I56</f>
        <v>0.918918918918919</v>
      </c>
      <c r="K56" s="175"/>
      <c r="L56" s="132" t="s">
        <v>1422</v>
      </c>
      <c r="M56" s="132" t="n">
        <f aca="false">C56+H56</f>
        <v>0</v>
      </c>
      <c r="N56" s="133" t="n">
        <f aca="false">(M56/$M$46)</f>
        <v>0</v>
      </c>
      <c r="O56" s="133" t="n">
        <f aca="false">O57+N56</f>
        <v>0.888888888888889</v>
      </c>
      <c r="P56" s="176"/>
      <c r="S56" s="177"/>
      <c r="T56" s="132" t="s">
        <v>1422</v>
      </c>
      <c r="U56" s="132" t="n">
        <f aca="false">COUNTIFS(LIBRO_SOCIOS!V:V,"&gt;80",LIBRO_SOCIOS!M:M,"ASCAZ ambulatoria",LIBRO_SOCIOS!T:T,"m")</f>
        <v>0</v>
      </c>
      <c r="V56" s="133" t="n">
        <f aca="false">(U56/$U$46)</f>
        <v>0</v>
      </c>
      <c r="W56" s="133" t="n">
        <f aca="false">W57+V56</f>
        <v>1.22222222222222</v>
      </c>
      <c r="X56" s="175"/>
      <c r="Y56" s="132" t="s">
        <v>1422</v>
      </c>
      <c r="Z56" s="132" t="n">
        <f aca="false">COUNTIFS(LIBRO_SOCIOS!V:V,"&gt;80",LIBRO_SOCIOS!M:M,"ASCAZ HOSPITALARIA",LIBRO_SOCIOS!T:T,"m")</f>
        <v>1</v>
      </c>
      <c r="AA56" s="133" t="n">
        <f aca="false">(Z56/$Z$46)</f>
        <v>0.024390243902439</v>
      </c>
      <c r="AB56" s="133" t="n">
        <f aca="false">AB57+AA56</f>
        <v>1.39024390243902</v>
      </c>
      <c r="AC56" s="175"/>
      <c r="AD56" s="132" t="s">
        <v>1422</v>
      </c>
      <c r="AE56" s="132" t="n">
        <f aca="false">U56+Z56</f>
        <v>1</v>
      </c>
      <c r="AF56" s="133" t="n">
        <f aca="false">(AE56/$AE$46)</f>
        <v>0.02</v>
      </c>
      <c r="AG56" s="133" t="n">
        <f aca="false">AG57+AF56</f>
        <v>1.36</v>
      </c>
      <c r="AH56" s="176"/>
      <c r="AK56" s="177"/>
      <c r="AL56" s="132" t="s">
        <v>1422</v>
      </c>
      <c r="AM56" s="132" t="n">
        <f aca="false">C56+U56</f>
        <v>0</v>
      </c>
      <c r="AN56" s="133" t="n">
        <f aca="false">(AM56/$AM$46)</f>
        <v>0</v>
      </c>
      <c r="AO56" s="133" t="n">
        <f aca="false">AO57+AN56</f>
        <v>1</v>
      </c>
      <c r="AP56" s="175"/>
      <c r="AQ56" s="132" t="s">
        <v>1422</v>
      </c>
      <c r="AR56" s="132" t="n">
        <f aca="false">Z56+H56</f>
        <v>1</v>
      </c>
      <c r="AS56" s="133" t="n">
        <f aca="false">(AR56/$AR$46)</f>
        <v>0.0128205128205128</v>
      </c>
      <c r="AT56" s="133" t="n">
        <f aca="false">AT57+AS56</f>
        <v>1.16666666666667</v>
      </c>
      <c r="AU56" s="175"/>
      <c r="AV56" s="132" t="s">
        <v>1422</v>
      </c>
      <c r="AW56" s="132" t="n">
        <f aca="false">AM56+AR56</f>
        <v>1</v>
      </c>
      <c r="AX56" s="133" t="n">
        <f aca="false">(AW56/$AW$46)</f>
        <v>0.0105263157894737</v>
      </c>
      <c r="AY56" s="133" t="n">
        <f aca="false">AY57+AX56</f>
        <v>1.13684210526316</v>
      </c>
      <c r="AZ56" s="176"/>
      <c r="BB56" s="173"/>
    </row>
    <row r="57" customFormat="false" ht="15" hidden="false" customHeight="false" outlineLevel="0" collapsed="false">
      <c r="A57" s="177"/>
      <c r="B57" s="132" t="s">
        <v>1423</v>
      </c>
      <c r="C57" s="132" t="n">
        <f aca="false">COUNTIFS(LIBRO_SOCIOS!V:V,"&gt;70",LIBRO_SOCIOS!V:V,"&lt;81",LIBRO_SOCIOS!M:M,"ZITRON-ASCAZ ambulatoria",LIBRO_SOCIOS!T:T,"m")</f>
        <v>0</v>
      </c>
      <c r="D57" s="133" t="n">
        <f aca="false">(C57/$C$46)</f>
        <v>0</v>
      </c>
      <c r="E57" s="133" t="n">
        <f aca="false">E58+D57</f>
        <v>0.75</v>
      </c>
      <c r="F57" s="175"/>
      <c r="G57" s="132" t="s">
        <v>1423</v>
      </c>
      <c r="H57" s="132" t="n">
        <f aca="false">COUNTIFS(LIBRO_SOCIOS!V:V,"&gt;70",LIBRO_SOCIOS!V:V,"&lt;81",LIBRO_SOCIOS!M:M,"ZITRON-ASCAZ HOSPITALARIA",LIBRO_SOCIOS!T:T,"m")</f>
        <v>0</v>
      </c>
      <c r="I57" s="133" t="n">
        <f aca="false">(H57/$H$46)</f>
        <v>0</v>
      </c>
      <c r="J57" s="133" t="n">
        <f aca="false">J58+I57</f>
        <v>0.918918918918919</v>
      </c>
      <c r="K57" s="175"/>
      <c r="L57" s="132" t="s">
        <v>1423</v>
      </c>
      <c r="M57" s="132" t="n">
        <f aca="false">C57+H57</f>
        <v>0</v>
      </c>
      <c r="N57" s="133" t="n">
        <f aca="false">(M57/$M$46)</f>
        <v>0</v>
      </c>
      <c r="O57" s="133" t="n">
        <f aca="false">O58+N57</f>
        <v>0.888888888888889</v>
      </c>
      <c r="P57" s="176"/>
      <c r="S57" s="177"/>
      <c r="T57" s="132" t="s">
        <v>1423</v>
      </c>
      <c r="U57" s="132" t="n">
        <f aca="false">COUNTIFS(LIBRO_SOCIOS!V:V,"&gt;70",LIBRO_SOCIOS!V:V,"&lt;81",LIBRO_SOCIOS!M:M,"ASCAZ ambulatoria",LIBRO_SOCIOS!T:T,"m")</f>
        <v>0</v>
      </c>
      <c r="V57" s="133" t="n">
        <f aca="false">(U57/$U$46)</f>
        <v>0</v>
      </c>
      <c r="W57" s="133" t="n">
        <f aca="false">W58+V57</f>
        <v>1.22222222222222</v>
      </c>
      <c r="X57" s="175"/>
      <c r="Y57" s="132" t="s">
        <v>1423</v>
      </c>
      <c r="Z57" s="132" t="n">
        <f aca="false">COUNTIFS(LIBRO_SOCIOS!V:V,"&gt;70",LIBRO_SOCIOS!V:V,"&lt;81",LIBRO_SOCIOS!M:M,"ASCAZ HOSPITALARIA",LIBRO_SOCIOS!T:T,"m")</f>
        <v>2</v>
      </c>
      <c r="AA57" s="133" t="n">
        <f aca="false">(Z57/$Z$46)</f>
        <v>0.0487804878048781</v>
      </c>
      <c r="AB57" s="133" t="n">
        <f aca="false">AB58+AA57</f>
        <v>1.36585365853659</v>
      </c>
      <c r="AC57" s="175"/>
      <c r="AD57" s="132" t="s">
        <v>1423</v>
      </c>
      <c r="AE57" s="132" t="n">
        <f aca="false">U57+Z57</f>
        <v>2</v>
      </c>
      <c r="AF57" s="133" t="n">
        <f aca="false">(AE57/$AE$46)</f>
        <v>0.04</v>
      </c>
      <c r="AG57" s="133" t="n">
        <f aca="false">AG58+AF57</f>
        <v>1.34</v>
      </c>
      <c r="AH57" s="176"/>
      <c r="AK57" s="177"/>
      <c r="AL57" s="132" t="s">
        <v>1423</v>
      </c>
      <c r="AM57" s="132" t="n">
        <f aca="false">C57+U57</f>
        <v>0</v>
      </c>
      <c r="AN57" s="133" t="n">
        <f aca="false">(AM57/$AM$46)</f>
        <v>0</v>
      </c>
      <c r="AO57" s="133" t="n">
        <f aca="false">AO58+AN57</f>
        <v>1</v>
      </c>
      <c r="AP57" s="175"/>
      <c r="AQ57" s="132" t="s">
        <v>1423</v>
      </c>
      <c r="AR57" s="132" t="n">
        <f aca="false">Z57+H57</f>
        <v>2</v>
      </c>
      <c r="AS57" s="133" t="n">
        <f aca="false">(AR57/$AR$46)</f>
        <v>0.0256410256410256</v>
      </c>
      <c r="AT57" s="133" t="n">
        <f aca="false">AT58+AS57</f>
        <v>1.15384615384615</v>
      </c>
      <c r="AU57" s="175"/>
      <c r="AV57" s="132" t="s">
        <v>1423</v>
      </c>
      <c r="AW57" s="132" t="n">
        <f aca="false">AM57+AR57</f>
        <v>2</v>
      </c>
      <c r="AX57" s="133" t="n">
        <f aca="false">(AW57/$AW$46)</f>
        <v>0.0210526315789474</v>
      </c>
      <c r="AY57" s="133" t="n">
        <f aca="false">AY58+AX57</f>
        <v>1.12631578947368</v>
      </c>
      <c r="AZ57" s="176"/>
      <c r="BB57" s="173"/>
    </row>
    <row r="58" customFormat="false" ht="15" hidden="false" customHeight="false" outlineLevel="0" collapsed="false">
      <c r="A58" s="177"/>
      <c r="B58" s="132" t="s">
        <v>1424</v>
      </c>
      <c r="C58" s="132" t="n">
        <f aca="false">COUNTIFS(LIBRO_SOCIOS!V:V,"&gt;60",LIBRO_SOCIOS!V:V,"&lt;71",LIBRO_SOCIOS!M:M,"ZITRON-ASCAZ ambulatoria",LIBRO_SOCIOS!T:T,"m")</f>
        <v>0</v>
      </c>
      <c r="D58" s="133" t="n">
        <f aca="false">(C58/$C$46)</f>
        <v>0</v>
      </c>
      <c r="E58" s="133" t="n">
        <f aca="false">E59+D58</f>
        <v>0.75</v>
      </c>
      <c r="F58" s="175"/>
      <c r="G58" s="132" t="s">
        <v>1424</v>
      </c>
      <c r="H58" s="132" t="n">
        <f aca="false">COUNTIFS(LIBRO_SOCIOS!V:V,"&gt;60",LIBRO_SOCIOS!V:V,"&lt;71",LIBRO_SOCIOS!M:M,"ZITRON-ASCAZ HOSPITALARIA",LIBRO_SOCIOS!T:T,"m")</f>
        <v>3</v>
      </c>
      <c r="I58" s="133" t="n">
        <f aca="false">(H58/$H$46)</f>
        <v>0.0810810810810811</v>
      </c>
      <c r="J58" s="133" t="n">
        <f aca="false">J59+I58</f>
        <v>0.918918918918919</v>
      </c>
      <c r="K58" s="175"/>
      <c r="L58" s="132" t="s">
        <v>1424</v>
      </c>
      <c r="M58" s="132" t="n">
        <f aca="false">C58+H58</f>
        <v>3</v>
      </c>
      <c r="N58" s="133" t="n">
        <f aca="false">(M58/$M$46)</f>
        <v>0.0666666666666667</v>
      </c>
      <c r="O58" s="133" t="n">
        <f aca="false">O59+N58</f>
        <v>0.888888888888889</v>
      </c>
      <c r="P58" s="176"/>
      <c r="S58" s="177"/>
      <c r="T58" s="132" t="s">
        <v>1424</v>
      </c>
      <c r="U58" s="132" t="n">
        <f aca="false">COUNTIFS(LIBRO_SOCIOS!V:V,"&gt;60",LIBRO_SOCIOS!V:V,"&lt;71",LIBRO_SOCIOS!M:M,"ASCAZ ambulatoria",LIBRO_SOCIOS!T:T,"m")</f>
        <v>5</v>
      </c>
      <c r="V58" s="133" t="n">
        <f aca="false">(U58/$U$46)</f>
        <v>0.555555555555556</v>
      </c>
      <c r="W58" s="133" t="n">
        <f aca="false">W59+V58</f>
        <v>1.22222222222222</v>
      </c>
      <c r="X58" s="175"/>
      <c r="Y58" s="132" t="s">
        <v>1424</v>
      </c>
      <c r="Z58" s="132" t="n">
        <f aca="false">COUNTIFS(LIBRO_SOCIOS!V:V,"&gt;60",LIBRO_SOCIOS!V:V,"&lt;71",LIBRO_SOCIOS!M:M,"ASCAZ HOSPITALARIA",LIBRO_SOCIOS!T:T,"m")</f>
        <v>9</v>
      </c>
      <c r="AA58" s="133" t="n">
        <f aca="false">(Z58/$Z$46)</f>
        <v>0.219512195121951</v>
      </c>
      <c r="AB58" s="133" t="n">
        <f aca="false">AB59+AA58</f>
        <v>1.31707317073171</v>
      </c>
      <c r="AC58" s="175"/>
      <c r="AD58" s="132" t="s">
        <v>1424</v>
      </c>
      <c r="AE58" s="132" t="n">
        <f aca="false">U58+Z58</f>
        <v>14</v>
      </c>
      <c r="AF58" s="133" t="n">
        <f aca="false">(AE58/$AE$46)</f>
        <v>0.28</v>
      </c>
      <c r="AG58" s="133" t="n">
        <f aca="false">AG59+AF58</f>
        <v>1.3</v>
      </c>
      <c r="AH58" s="176"/>
      <c r="AK58" s="177"/>
      <c r="AL58" s="132" t="s">
        <v>1424</v>
      </c>
      <c r="AM58" s="132" t="n">
        <f aca="false">C58+U58</f>
        <v>5</v>
      </c>
      <c r="AN58" s="133" t="n">
        <f aca="false">(AM58/$AM$46)</f>
        <v>0.294117647058823</v>
      </c>
      <c r="AO58" s="133" t="n">
        <f aca="false">AO59+AN58</f>
        <v>1</v>
      </c>
      <c r="AP58" s="175"/>
      <c r="AQ58" s="132" t="s">
        <v>1424</v>
      </c>
      <c r="AR58" s="132" t="n">
        <f aca="false">Z58+H58</f>
        <v>12</v>
      </c>
      <c r="AS58" s="133" t="n">
        <f aca="false">(AR58/$AR$46)</f>
        <v>0.153846153846154</v>
      </c>
      <c r="AT58" s="133" t="n">
        <f aca="false">AT59+AS58</f>
        <v>1.12820512820513</v>
      </c>
      <c r="AU58" s="175"/>
      <c r="AV58" s="132" t="s">
        <v>1424</v>
      </c>
      <c r="AW58" s="132" t="n">
        <f aca="false">AM58+AR58</f>
        <v>17</v>
      </c>
      <c r="AX58" s="133" t="n">
        <f aca="false">(AW58/$AW$46)</f>
        <v>0.178947368421053</v>
      </c>
      <c r="AY58" s="133" t="n">
        <f aca="false">AY59+AX58</f>
        <v>1.10526315789474</v>
      </c>
      <c r="AZ58" s="176"/>
      <c r="BB58" s="173"/>
    </row>
    <row r="59" customFormat="false" ht="15" hidden="false" customHeight="false" outlineLevel="0" collapsed="false">
      <c r="A59" s="177"/>
      <c r="B59" s="132" t="s">
        <v>1425</v>
      </c>
      <c r="C59" s="132" t="n">
        <f aca="false">COUNTIFS(LIBRO_SOCIOS!V:V,"&gt;50",LIBRO_SOCIOS!V:V,"&lt;61",LIBRO_SOCIOS!M:M,"ZITRON-ASCAZ ambulatoria",LIBRO_SOCIOS!T:T,"m")</f>
        <v>0</v>
      </c>
      <c r="D59" s="133" t="n">
        <f aca="false">(C59/$C$46)</f>
        <v>0</v>
      </c>
      <c r="E59" s="133" t="n">
        <f aca="false">E60+D59</f>
        <v>0.75</v>
      </c>
      <c r="F59" s="175"/>
      <c r="G59" s="132" t="s">
        <v>1425</v>
      </c>
      <c r="H59" s="132" t="n">
        <f aca="false">COUNTIFS(LIBRO_SOCIOS!V:V,"&gt;50",LIBRO_SOCIOS!V:V,"&lt;61",LIBRO_SOCIOS!M:M,"ZITRON-ASCAZ HOSPITALARIA",LIBRO_SOCIOS!T:T,"m")</f>
        <v>3</v>
      </c>
      <c r="I59" s="133" t="n">
        <f aca="false">(H59/$H$46)</f>
        <v>0.0810810810810811</v>
      </c>
      <c r="J59" s="133" t="n">
        <f aca="false">J60+I59</f>
        <v>0.837837837837838</v>
      </c>
      <c r="K59" s="175"/>
      <c r="L59" s="132" t="s">
        <v>1425</v>
      </c>
      <c r="M59" s="132" t="n">
        <f aca="false">C59+H59</f>
        <v>3</v>
      </c>
      <c r="N59" s="133" t="n">
        <f aca="false">(M59/$M$46)</f>
        <v>0.0666666666666667</v>
      </c>
      <c r="O59" s="133" t="n">
        <f aca="false">O60+N59</f>
        <v>0.822222222222222</v>
      </c>
      <c r="P59" s="176"/>
      <c r="S59" s="177"/>
      <c r="T59" s="132" t="s">
        <v>1425</v>
      </c>
      <c r="U59" s="132" t="n">
        <f aca="false">COUNTIFS(LIBRO_SOCIOS!V:V,"&gt;50",LIBRO_SOCIOS!V:V,"&lt;61",LIBRO_SOCIOS!M:M,"ASCAZ ambulatoria",LIBRO_SOCIOS!T:T,"m")</f>
        <v>1</v>
      </c>
      <c r="V59" s="133" t="n">
        <f aca="false">(U59/$U$46)</f>
        <v>0.111111111111111</v>
      </c>
      <c r="W59" s="133" t="n">
        <f aca="false">W60+V59</f>
        <v>0.666666666666667</v>
      </c>
      <c r="X59" s="175"/>
      <c r="Y59" s="132" t="s">
        <v>1425</v>
      </c>
      <c r="Z59" s="132" t="n">
        <f aca="false">COUNTIFS(LIBRO_SOCIOS!V:V,"&gt;50",LIBRO_SOCIOS!V:V,"&lt;61",LIBRO_SOCIOS!M:M,"ASCAZ HOSPITALARIA",LIBRO_SOCIOS!T:T,"m")</f>
        <v>11</v>
      </c>
      <c r="AA59" s="133" t="n">
        <f aca="false">(Z59/$Z$46)</f>
        <v>0.268292682926829</v>
      </c>
      <c r="AB59" s="133" t="n">
        <f aca="false">AB60+AA59</f>
        <v>1.09756097560976</v>
      </c>
      <c r="AC59" s="175"/>
      <c r="AD59" s="132" t="s">
        <v>1425</v>
      </c>
      <c r="AE59" s="132" t="n">
        <f aca="false">U59+Z59</f>
        <v>12</v>
      </c>
      <c r="AF59" s="133" t="n">
        <f aca="false">(AE59/$AE$46)</f>
        <v>0.24</v>
      </c>
      <c r="AG59" s="133" t="n">
        <f aca="false">AG60+AF59</f>
        <v>1.02</v>
      </c>
      <c r="AH59" s="176"/>
      <c r="AK59" s="177"/>
      <c r="AL59" s="132" t="s">
        <v>1425</v>
      </c>
      <c r="AM59" s="132" t="n">
        <f aca="false">C59+U59</f>
        <v>1</v>
      </c>
      <c r="AN59" s="133" t="n">
        <f aca="false">(AM59/$AM$46)</f>
        <v>0.0588235294117647</v>
      </c>
      <c r="AO59" s="133" t="n">
        <f aca="false">AO60+AN59</f>
        <v>0.705882352941176</v>
      </c>
      <c r="AP59" s="175"/>
      <c r="AQ59" s="132" t="s">
        <v>1425</v>
      </c>
      <c r="AR59" s="132" t="n">
        <f aca="false">Z59+H59</f>
        <v>14</v>
      </c>
      <c r="AS59" s="133" t="n">
        <f aca="false">(AR59/$AR$46)</f>
        <v>0.179487179487179</v>
      </c>
      <c r="AT59" s="133" t="n">
        <f aca="false">AT60+AS59</f>
        <v>0.974358974358974</v>
      </c>
      <c r="AU59" s="175"/>
      <c r="AV59" s="132" t="s">
        <v>1425</v>
      </c>
      <c r="AW59" s="132" t="n">
        <f aca="false">AM59+AR59</f>
        <v>15</v>
      </c>
      <c r="AX59" s="133" t="n">
        <f aca="false">(AW59/$AW$46)</f>
        <v>0.157894736842105</v>
      </c>
      <c r="AY59" s="133" t="n">
        <f aca="false">AY60+AX59</f>
        <v>0.926315789473684</v>
      </c>
      <c r="AZ59" s="176"/>
      <c r="BB59" s="173"/>
    </row>
    <row r="60" customFormat="false" ht="15" hidden="false" customHeight="false" outlineLevel="0" collapsed="false">
      <c r="A60" s="177"/>
      <c r="B60" s="132" t="s">
        <v>1397</v>
      </c>
      <c r="C60" s="132" t="n">
        <f aca="false">COUNTIFS(LIBRO_SOCIOS!V:V,"&gt;40",LIBRO_SOCIOS!V:V,"&lt;51",LIBRO_SOCIOS!M:M,"ZITRON-ASCAZ ambulatoria",LIBRO_SOCIOS!T:T,"m")</f>
        <v>1</v>
      </c>
      <c r="D60" s="133" t="n">
        <f aca="false">(C60/$C$46)</f>
        <v>0.125</v>
      </c>
      <c r="E60" s="133" t="n">
        <f aca="false">E61+D60</f>
        <v>0.75</v>
      </c>
      <c r="F60" s="175"/>
      <c r="G60" s="132" t="s">
        <v>1397</v>
      </c>
      <c r="H60" s="132" t="n">
        <f aca="false">COUNTIFS(LIBRO_SOCIOS!V:V,"&gt;40",LIBRO_SOCIOS!V:V,"&lt;51",LIBRO_SOCIOS!M:M,"ZITRON-ASCAZ HOSPITALARIA",LIBRO_SOCIOS!T:T,"m")</f>
        <v>8</v>
      </c>
      <c r="I60" s="133" t="n">
        <f aca="false">(H60/$H$46)</f>
        <v>0.216216216216216</v>
      </c>
      <c r="J60" s="133" t="n">
        <f aca="false">J61+I60</f>
        <v>0.756756756756757</v>
      </c>
      <c r="K60" s="175"/>
      <c r="L60" s="132" t="s">
        <v>1397</v>
      </c>
      <c r="M60" s="132" t="n">
        <f aca="false">C60+H60</f>
        <v>9</v>
      </c>
      <c r="N60" s="133" t="n">
        <f aca="false">(M60/$M$46)</f>
        <v>0.2</v>
      </c>
      <c r="O60" s="133" t="n">
        <f aca="false">O61+N60</f>
        <v>0.755555555555556</v>
      </c>
      <c r="P60" s="176"/>
      <c r="S60" s="177"/>
      <c r="T60" s="132" t="s">
        <v>1397</v>
      </c>
      <c r="U60" s="132" t="n">
        <f aca="false">COUNTIFS(LIBRO_SOCIOS!V:V,"&gt;40",LIBRO_SOCIOS!V:V,"&lt;51",LIBRO_SOCIOS!M:M,"ASCAZ ambulatoria",LIBRO_SOCIOS!T:T,"m")</f>
        <v>0</v>
      </c>
      <c r="V60" s="133" t="n">
        <f aca="false">(U60/$U$46)</f>
        <v>0</v>
      </c>
      <c r="W60" s="133" t="n">
        <f aca="false">W61+V60</f>
        <v>0.555555555555556</v>
      </c>
      <c r="X60" s="175"/>
      <c r="Y60" s="132" t="s">
        <v>1397</v>
      </c>
      <c r="Z60" s="132" t="n">
        <f aca="false">COUNTIFS(LIBRO_SOCIOS!V:V,"&gt;40",LIBRO_SOCIOS!V:V,"&lt;51",LIBRO_SOCIOS!M:M,"ASCAZ HOSPITALARIA",LIBRO_SOCIOS!T:T,"m")</f>
        <v>19</v>
      </c>
      <c r="AA60" s="133" t="n">
        <f aca="false">(Z60/$Z$46)</f>
        <v>0.463414634146341</v>
      </c>
      <c r="AB60" s="133" t="n">
        <f aca="false">AB61+AA60</f>
        <v>0.829268292682927</v>
      </c>
      <c r="AC60" s="175"/>
      <c r="AD60" s="132" t="s">
        <v>1397</v>
      </c>
      <c r="AE60" s="132" t="n">
        <f aca="false">U60+Z60</f>
        <v>19</v>
      </c>
      <c r="AF60" s="133" t="n">
        <f aca="false">(AE60/$AE$46)</f>
        <v>0.38</v>
      </c>
      <c r="AG60" s="133" t="n">
        <f aca="false">AG61+AF60</f>
        <v>0.78</v>
      </c>
      <c r="AH60" s="176"/>
      <c r="AK60" s="177"/>
      <c r="AL60" s="132" t="s">
        <v>1397</v>
      </c>
      <c r="AM60" s="132" t="n">
        <f aca="false">C60+U60</f>
        <v>1</v>
      </c>
      <c r="AN60" s="133" t="n">
        <f aca="false">(AM60/$AM$46)</f>
        <v>0.0588235294117647</v>
      </c>
      <c r="AO60" s="133" t="n">
        <f aca="false">AO61+AN60</f>
        <v>0.647058823529412</v>
      </c>
      <c r="AP60" s="175"/>
      <c r="AQ60" s="132" t="s">
        <v>1397</v>
      </c>
      <c r="AR60" s="132" t="n">
        <f aca="false">Z60+H60</f>
        <v>27</v>
      </c>
      <c r="AS60" s="133" t="n">
        <f aca="false">(AR60/$AR$46)</f>
        <v>0.346153846153846</v>
      </c>
      <c r="AT60" s="133" t="n">
        <f aca="false">AT61+AS60</f>
        <v>0.794871794871795</v>
      </c>
      <c r="AU60" s="175"/>
      <c r="AV60" s="132" t="s">
        <v>1397</v>
      </c>
      <c r="AW60" s="132" t="n">
        <f aca="false">AM60+AR60</f>
        <v>28</v>
      </c>
      <c r="AX60" s="133" t="n">
        <f aca="false">(AW60/$AW$46)</f>
        <v>0.294736842105263</v>
      </c>
      <c r="AY60" s="133" t="n">
        <f aca="false">AY61+AX60</f>
        <v>0.768421052631579</v>
      </c>
      <c r="AZ60" s="176"/>
      <c r="BB60" s="173"/>
    </row>
    <row r="61" customFormat="false" ht="15" hidden="false" customHeight="false" outlineLevel="0" collapsed="false">
      <c r="A61" s="177"/>
      <c r="B61" s="132" t="s">
        <v>1398</v>
      </c>
      <c r="C61" s="132" t="n">
        <f aca="false">COUNTIFS(LIBRO_SOCIOS!V:V,"&gt;30",LIBRO_SOCIOS!V:V,"&lt;41",LIBRO_SOCIOS!M:M,"ZITRON-ASCAZ ambulatoria",LIBRO_SOCIOS!T:T,"m")</f>
        <v>0</v>
      </c>
      <c r="D61" s="133" t="n">
        <f aca="false">(C61/$C$46)</f>
        <v>0</v>
      </c>
      <c r="E61" s="133" t="n">
        <f aca="false">E62+D61</f>
        <v>0.625</v>
      </c>
      <c r="F61" s="175"/>
      <c r="G61" s="132" t="s">
        <v>1398</v>
      </c>
      <c r="H61" s="132" t="n">
        <f aca="false">COUNTIFS(LIBRO_SOCIOS!V:V,"&gt;30",LIBRO_SOCIOS!V:V,"&lt;41",LIBRO_SOCIOS!M:M,"ZITRON-ASCAZ HOSPITALARIA",LIBRO_SOCIOS!T:T,"m")</f>
        <v>13</v>
      </c>
      <c r="I61" s="133" t="n">
        <f aca="false">(H61/$H$46)</f>
        <v>0.351351351351351</v>
      </c>
      <c r="J61" s="133" t="n">
        <f aca="false">J62+I61</f>
        <v>0.540540540540541</v>
      </c>
      <c r="K61" s="175"/>
      <c r="L61" s="132" t="s">
        <v>1398</v>
      </c>
      <c r="M61" s="132" t="n">
        <f aca="false">C61+H61</f>
        <v>13</v>
      </c>
      <c r="N61" s="133" t="n">
        <f aca="false">(M61/$M$46)</f>
        <v>0.288888888888889</v>
      </c>
      <c r="O61" s="133" t="n">
        <f aca="false">O62+N61</f>
        <v>0.555555555555556</v>
      </c>
      <c r="P61" s="176"/>
      <c r="S61" s="177"/>
      <c r="T61" s="132" t="s">
        <v>1398</v>
      </c>
      <c r="U61" s="132" t="n">
        <f aca="false">COUNTIFS(LIBRO_SOCIOS!V:V,"&gt;30",LIBRO_SOCIOS!V:V,"&lt;41",LIBRO_SOCIOS!M:M,"ASCAZ ambulatoria",LIBRO_SOCIOS!T:T,"m")</f>
        <v>2</v>
      </c>
      <c r="V61" s="133" t="n">
        <f aca="false">(U61/$U$46)</f>
        <v>0.222222222222222</v>
      </c>
      <c r="W61" s="133" t="n">
        <f aca="false">W62+V61</f>
        <v>0.555555555555556</v>
      </c>
      <c r="X61" s="175"/>
      <c r="Y61" s="132" t="s">
        <v>1398</v>
      </c>
      <c r="Z61" s="132" t="n">
        <f aca="false">COUNTIFS(LIBRO_SOCIOS!V:V,"&gt;30",LIBRO_SOCIOS!V:V,"&lt;41",LIBRO_SOCIOS!M:M,"ASCAZ HOSPITALARIA",LIBRO_SOCIOS!T:T,"m")</f>
        <v>10</v>
      </c>
      <c r="AA61" s="133" t="n">
        <f aca="false">(Z61/$Z$46)</f>
        <v>0.24390243902439</v>
      </c>
      <c r="AB61" s="133" t="n">
        <f aca="false">AB62+AA61</f>
        <v>0.365853658536585</v>
      </c>
      <c r="AC61" s="175"/>
      <c r="AD61" s="132" t="s">
        <v>1398</v>
      </c>
      <c r="AE61" s="132" t="n">
        <f aca="false">U61+Z61</f>
        <v>12</v>
      </c>
      <c r="AF61" s="133" t="n">
        <f aca="false">(AE61/$AE$46)</f>
        <v>0.24</v>
      </c>
      <c r="AG61" s="133" t="n">
        <f aca="false">AG62+AF61</f>
        <v>0.4</v>
      </c>
      <c r="AH61" s="176"/>
      <c r="AK61" s="177"/>
      <c r="AL61" s="132" t="s">
        <v>1398</v>
      </c>
      <c r="AM61" s="132" t="n">
        <f aca="false">C61+U61</f>
        <v>2</v>
      </c>
      <c r="AN61" s="133" t="n">
        <f aca="false">(AM61/$AM$46)</f>
        <v>0.117647058823529</v>
      </c>
      <c r="AO61" s="133" t="n">
        <f aca="false">AO62+AN61</f>
        <v>0.588235294117647</v>
      </c>
      <c r="AP61" s="175"/>
      <c r="AQ61" s="132" t="s">
        <v>1398</v>
      </c>
      <c r="AR61" s="132" t="n">
        <f aca="false">Z61+H61</f>
        <v>23</v>
      </c>
      <c r="AS61" s="133" t="n">
        <f aca="false">(AR61/$AR$46)</f>
        <v>0.294871794871795</v>
      </c>
      <c r="AT61" s="133" t="n">
        <f aca="false">AT62+AS61</f>
        <v>0.448717948717949</v>
      </c>
      <c r="AU61" s="175"/>
      <c r="AV61" s="132" t="s">
        <v>1398</v>
      </c>
      <c r="AW61" s="132" t="n">
        <f aca="false">AM61+AR61</f>
        <v>25</v>
      </c>
      <c r="AX61" s="133" t="n">
        <f aca="false">(AW61/$AW$46)</f>
        <v>0.263157894736842</v>
      </c>
      <c r="AY61" s="133" t="n">
        <f aca="false">AY62+AX61</f>
        <v>0.473684210526316</v>
      </c>
      <c r="AZ61" s="176"/>
      <c r="BB61" s="173"/>
    </row>
    <row r="62" customFormat="false" ht="15" hidden="false" customHeight="false" outlineLevel="0" collapsed="false">
      <c r="A62" s="177"/>
      <c r="B62" s="132" t="s">
        <v>1399</v>
      </c>
      <c r="C62" s="132" t="n">
        <f aca="false">COUNTIFS(LIBRO_SOCIOS!V:V,"&gt;20",LIBRO_SOCIOS!V:V,"&lt;31",LIBRO_SOCIOS!M:M,"ZITRON-ASCAZ ambulatoria",LIBRO_SOCIOS!T:T,"m")</f>
        <v>0</v>
      </c>
      <c r="D62" s="133" t="n">
        <f aca="false">(C62/$C$46)</f>
        <v>0</v>
      </c>
      <c r="E62" s="133" t="n">
        <f aca="false">E63+D62</f>
        <v>0.625</v>
      </c>
      <c r="F62" s="175"/>
      <c r="G62" s="132" t="s">
        <v>1399</v>
      </c>
      <c r="H62" s="132" t="n">
        <f aca="false">COUNTIFS(LIBRO_SOCIOS!V:V,"&gt;20",LIBRO_SOCIOS!V:V,"&lt;31",LIBRO_SOCIOS!M:M,"ZITRON-ASCAZ HOSPITALARIA",LIBRO_SOCIOS!T:T,"m")</f>
        <v>1</v>
      </c>
      <c r="I62" s="133" t="n">
        <f aca="false">(H62/$H$46)</f>
        <v>0.027027027027027</v>
      </c>
      <c r="J62" s="133" t="n">
        <f aca="false">J63+I62</f>
        <v>0.189189189189189</v>
      </c>
      <c r="K62" s="175"/>
      <c r="L62" s="132" t="s">
        <v>1399</v>
      </c>
      <c r="M62" s="132" t="n">
        <f aca="false">C62+H62</f>
        <v>1</v>
      </c>
      <c r="N62" s="133" t="n">
        <f aca="false">(M62/$M$46)</f>
        <v>0.0222222222222222</v>
      </c>
      <c r="O62" s="133" t="n">
        <f aca="false">O63+N62</f>
        <v>0.266666666666667</v>
      </c>
      <c r="P62" s="176"/>
      <c r="S62" s="177"/>
      <c r="T62" s="132" t="s">
        <v>1399</v>
      </c>
      <c r="U62" s="132" t="n">
        <f aca="false">COUNTIFS(LIBRO_SOCIOS!V:V,"&gt;20",LIBRO_SOCIOS!V:V,"&lt;31",LIBRO_SOCIOS!M:M,"ASCAZ ambulatoria",LIBRO_SOCIOS!T:T,"m")</f>
        <v>2</v>
      </c>
      <c r="V62" s="133" t="n">
        <f aca="false">(U62/$U$46)</f>
        <v>0.222222222222222</v>
      </c>
      <c r="W62" s="133" t="n">
        <f aca="false">W63+V62</f>
        <v>0.333333333333333</v>
      </c>
      <c r="X62" s="175"/>
      <c r="Y62" s="132" t="s">
        <v>1399</v>
      </c>
      <c r="Z62" s="132" t="n">
        <f aca="false">COUNTIFS(LIBRO_SOCIOS!V:V,"&gt;20",LIBRO_SOCIOS!V:V,"&lt;31",LIBRO_SOCIOS!M:M,"ASCAZ HOSPITALARIA",LIBRO_SOCIOS!T:T,"m")</f>
        <v>1</v>
      </c>
      <c r="AA62" s="133" t="n">
        <f aca="false">(Z62/$Z$46)</f>
        <v>0.024390243902439</v>
      </c>
      <c r="AB62" s="133" t="n">
        <f aca="false">AB63+AA62</f>
        <v>0.121951219512195</v>
      </c>
      <c r="AC62" s="175"/>
      <c r="AD62" s="132" t="s">
        <v>1399</v>
      </c>
      <c r="AE62" s="132" t="n">
        <f aca="false">U62+Z62</f>
        <v>3</v>
      </c>
      <c r="AF62" s="133" t="n">
        <f aca="false">(AE62/$AE$46)</f>
        <v>0.06</v>
      </c>
      <c r="AG62" s="133" t="n">
        <f aca="false">AG63+AF62</f>
        <v>0.16</v>
      </c>
      <c r="AH62" s="176"/>
      <c r="AK62" s="177"/>
      <c r="AL62" s="132" t="s">
        <v>1399</v>
      </c>
      <c r="AM62" s="132" t="n">
        <f aca="false">C62+U62</f>
        <v>2</v>
      </c>
      <c r="AN62" s="133" t="n">
        <f aca="false">(AM62/$AM$46)</f>
        <v>0.117647058823529</v>
      </c>
      <c r="AO62" s="133" t="n">
        <f aca="false">AO63+AN62</f>
        <v>0.470588235294118</v>
      </c>
      <c r="AP62" s="175"/>
      <c r="AQ62" s="132" t="s">
        <v>1399</v>
      </c>
      <c r="AR62" s="132" t="n">
        <f aca="false">Z62+H62</f>
        <v>2</v>
      </c>
      <c r="AS62" s="133" t="n">
        <f aca="false">(AR62/$AR$46)</f>
        <v>0.0256410256410256</v>
      </c>
      <c r="AT62" s="133" t="n">
        <f aca="false">AT63+AS62</f>
        <v>0.153846153846154</v>
      </c>
      <c r="AU62" s="175"/>
      <c r="AV62" s="132" t="s">
        <v>1399</v>
      </c>
      <c r="AW62" s="132" t="n">
        <f aca="false">AM62+AR62</f>
        <v>4</v>
      </c>
      <c r="AX62" s="133" t="n">
        <f aca="false">(AW62/$AW$46)</f>
        <v>0.0421052631578947</v>
      </c>
      <c r="AY62" s="133" t="n">
        <f aca="false">AY63+AX62</f>
        <v>0.210526315789474</v>
      </c>
      <c r="AZ62" s="176"/>
      <c r="BB62" s="173"/>
    </row>
    <row r="63" customFormat="false" ht="15" hidden="false" customHeight="false" outlineLevel="0" collapsed="false">
      <c r="A63" s="177"/>
      <c r="B63" s="134" t="s">
        <v>1400</v>
      </c>
      <c r="C63" s="132" t="n">
        <f aca="false">COUNTIFS(LIBRO_SOCIOS!V:V,"&gt;10",LIBRO_SOCIOS!V:V,"&lt;21",LIBRO_SOCIOS!M:M,"ZITRON-ASCAZ ambulatoria",LIBRO_SOCIOS!T:T,"m")</f>
        <v>1</v>
      </c>
      <c r="D63" s="133" t="n">
        <f aca="false">(C63/$C$46)</f>
        <v>0.125</v>
      </c>
      <c r="E63" s="133" t="n">
        <f aca="false">D64+D63</f>
        <v>0.625</v>
      </c>
      <c r="F63" s="175"/>
      <c r="G63" s="134" t="s">
        <v>1400</v>
      </c>
      <c r="H63" s="132" t="n">
        <f aca="false">COUNTIFS(LIBRO_SOCIOS!V:V,"&gt;10",LIBRO_SOCIOS!V:V,"&lt;21",LIBRO_SOCIOS!M:M,"ZITRON-ASCAZ HOSPITALARIA",LIBRO_SOCIOS!T:T,"m")</f>
        <v>2</v>
      </c>
      <c r="I63" s="133" t="n">
        <f aca="false">(H63/$H$46)</f>
        <v>0.0540540540540541</v>
      </c>
      <c r="J63" s="133" t="n">
        <f aca="false">I64+I63</f>
        <v>0.162162162162162</v>
      </c>
      <c r="K63" s="175"/>
      <c r="L63" s="134" t="s">
        <v>1400</v>
      </c>
      <c r="M63" s="132" t="n">
        <f aca="false">C63+H63</f>
        <v>3</v>
      </c>
      <c r="N63" s="133" t="n">
        <f aca="false">(M63/$M$46)</f>
        <v>0.0666666666666667</v>
      </c>
      <c r="O63" s="133" t="n">
        <f aca="false">N64+N63</f>
        <v>0.244444444444444</v>
      </c>
      <c r="P63" s="176"/>
      <c r="S63" s="177"/>
      <c r="T63" s="134" t="s">
        <v>1400</v>
      </c>
      <c r="U63" s="132" t="n">
        <f aca="false">COUNTIFS(LIBRO_SOCIOS!V:V,"&gt;10",LIBRO_SOCIOS!V:V,"&lt;21",LIBRO_SOCIOS!M:M,"ASCAZ ambulatoria",LIBRO_SOCIOS!T:T,"m")</f>
        <v>0</v>
      </c>
      <c r="V63" s="133" t="n">
        <f aca="false">(U63/$U$46)</f>
        <v>0</v>
      </c>
      <c r="W63" s="133" t="n">
        <f aca="false">V64+V63</f>
        <v>0.111111111111111</v>
      </c>
      <c r="X63" s="175"/>
      <c r="Y63" s="134" t="s">
        <v>1400</v>
      </c>
      <c r="Z63" s="132" t="n">
        <f aca="false">COUNTIFS(LIBRO_SOCIOS!V:V,"&gt;10",LIBRO_SOCIOS!V:V,"&lt;21",LIBRO_SOCIOS!M:M,"ASCAZ HOSPITALARIA",LIBRO_SOCIOS!T:T,"m")</f>
        <v>2</v>
      </c>
      <c r="AA63" s="133" t="n">
        <f aca="false">(Z63/$Z$46)</f>
        <v>0.0487804878048781</v>
      </c>
      <c r="AB63" s="133" t="n">
        <f aca="false">AA64+AA63</f>
        <v>0.0975609756097561</v>
      </c>
      <c r="AC63" s="175"/>
      <c r="AD63" s="134" t="s">
        <v>1400</v>
      </c>
      <c r="AE63" s="132" t="n">
        <f aca="false">U63+Z63</f>
        <v>2</v>
      </c>
      <c r="AF63" s="133" t="n">
        <f aca="false">(AE63/$AE$46)</f>
        <v>0.04</v>
      </c>
      <c r="AG63" s="133" t="n">
        <f aca="false">AF64+AF63</f>
        <v>0.1</v>
      </c>
      <c r="AH63" s="176"/>
      <c r="AK63" s="177"/>
      <c r="AL63" s="134" t="s">
        <v>1400</v>
      </c>
      <c r="AM63" s="132" t="n">
        <f aca="false">C63+U63</f>
        <v>1</v>
      </c>
      <c r="AN63" s="133" t="n">
        <f aca="false">(AM63/$AM$46)</f>
        <v>0.0588235294117647</v>
      </c>
      <c r="AO63" s="133" t="n">
        <f aca="false">AN64+AN63</f>
        <v>0.352941176470588</v>
      </c>
      <c r="AP63" s="175"/>
      <c r="AQ63" s="134" t="s">
        <v>1400</v>
      </c>
      <c r="AR63" s="132" t="n">
        <f aca="false">Z63+H63</f>
        <v>4</v>
      </c>
      <c r="AS63" s="133" t="n">
        <f aca="false">(AR63/$AR$46)</f>
        <v>0.0512820512820513</v>
      </c>
      <c r="AT63" s="133" t="n">
        <f aca="false">AS64+AS63</f>
        <v>0.128205128205128</v>
      </c>
      <c r="AU63" s="175"/>
      <c r="AV63" s="134" t="s">
        <v>1400</v>
      </c>
      <c r="AW63" s="132" t="n">
        <f aca="false">AM63+AR63</f>
        <v>5</v>
      </c>
      <c r="AX63" s="133" t="n">
        <f aca="false">(AW63/$AW$46)</f>
        <v>0.0526315789473684</v>
      </c>
      <c r="AY63" s="133" t="n">
        <f aca="false">AX64+AX63</f>
        <v>0.168421052631579</v>
      </c>
      <c r="AZ63" s="176"/>
      <c r="BB63" s="173"/>
    </row>
    <row r="64" customFormat="false" ht="15" hidden="false" customHeight="false" outlineLevel="0" collapsed="false">
      <c r="A64" s="177"/>
      <c r="B64" s="135" t="s">
        <v>1401</v>
      </c>
      <c r="C64" s="132" t="n">
        <f aca="false">COUNTIFS(LIBRO_SOCIOS!V:V,"&gt;0",LIBRO_SOCIOS!V:V,"&lt;11",LIBRO_SOCIOS!M:M,"ZITRON-ASCAZ ambulatoria",LIBRO_SOCIOS!T:T,"m")</f>
        <v>4</v>
      </c>
      <c r="D64" s="133" t="n">
        <f aca="false">(C64/$C$46)</f>
        <v>0.5</v>
      </c>
      <c r="F64" s="175"/>
      <c r="G64" s="135" t="s">
        <v>1401</v>
      </c>
      <c r="H64" s="132" t="n">
        <f aca="false">COUNTIFS(LIBRO_SOCIOS!V:V,"&gt;0",LIBRO_SOCIOS!V:V,"&lt;11",LIBRO_SOCIOS!M:M,"ZITRON-ASCAZ HOSPITALARIA",LIBRO_SOCIOS!T:T,"m")</f>
        <v>4</v>
      </c>
      <c r="I64" s="133" t="n">
        <f aca="false">(H64/$H$46)</f>
        <v>0.108108108108108</v>
      </c>
      <c r="K64" s="175"/>
      <c r="L64" s="135" t="s">
        <v>1401</v>
      </c>
      <c r="M64" s="132" t="n">
        <f aca="false">C64+H64</f>
        <v>8</v>
      </c>
      <c r="N64" s="133" t="n">
        <f aca="false">(M64/$M$46)</f>
        <v>0.177777777777778</v>
      </c>
      <c r="P64" s="176"/>
      <c r="S64" s="177"/>
      <c r="T64" s="135" t="s">
        <v>1401</v>
      </c>
      <c r="U64" s="132" t="n">
        <f aca="false">COUNTIFS(LIBRO_SOCIOS!V:V,"&gt;0",LIBRO_SOCIOS!V:V,"&lt;11",LIBRO_SOCIOS!M:M,"ASCAZ ambulatoria",LIBRO_SOCIOS!T:T,"m")</f>
        <v>1</v>
      </c>
      <c r="V64" s="133" t="n">
        <f aca="false">(U64/$U$46)</f>
        <v>0.111111111111111</v>
      </c>
      <c r="X64" s="175"/>
      <c r="Y64" s="135" t="s">
        <v>1401</v>
      </c>
      <c r="Z64" s="132" t="n">
        <f aca="false">COUNTIFS(LIBRO_SOCIOS!V:V,"&gt;0",LIBRO_SOCIOS!V:V,"&lt;11",LIBRO_SOCIOS!M:M,"ASCAZ HOSPITALARIA",LIBRO_SOCIOS!T:T,"m")</f>
        <v>2</v>
      </c>
      <c r="AA64" s="133" t="n">
        <f aca="false">(Z64/$Z$46)</f>
        <v>0.0487804878048781</v>
      </c>
      <c r="AC64" s="175"/>
      <c r="AD64" s="135" t="s">
        <v>1401</v>
      </c>
      <c r="AE64" s="132" t="n">
        <f aca="false">U64+Z64</f>
        <v>3</v>
      </c>
      <c r="AF64" s="133" t="n">
        <f aca="false">(AE64/$AE$46)</f>
        <v>0.06</v>
      </c>
      <c r="AH64" s="176"/>
      <c r="AK64" s="177"/>
      <c r="AL64" s="135" t="s">
        <v>1401</v>
      </c>
      <c r="AM64" s="132" t="n">
        <f aca="false">C64+U64</f>
        <v>5</v>
      </c>
      <c r="AN64" s="133" t="n">
        <f aca="false">(AM64/$AM$46)</f>
        <v>0.294117647058823</v>
      </c>
      <c r="AP64" s="175"/>
      <c r="AQ64" s="135" t="s">
        <v>1401</v>
      </c>
      <c r="AR64" s="132" t="n">
        <f aca="false">Z64+H64</f>
        <v>6</v>
      </c>
      <c r="AS64" s="133" t="n">
        <f aca="false">(AR64/$AR$46)</f>
        <v>0.0769230769230769</v>
      </c>
      <c r="AU64" s="175"/>
      <c r="AV64" s="135" t="s">
        <v>1401</v>
      </c>
      <c r="AW64" s="132" t="n">
        <f aca="false">AM64+AR64</f>
        <v>11</v>
      </c>
      <c r="AX64" s="133" t="n">
        <f aca="false">(AW64/$AW$46)</f>
        <v>0.115789473684211</v>
      </c>
      <c r="AZ64" s="176"/>
      <c r="BB64" s="173"/>
    </row>
    <row r="65" customFormat="false" ht="15" hidden="false" customHeight="false" outlineLevel="0" collapsed="false">
      <c r="A65" s="177"/>
      <c r="F65" s="175"/>
      <c r="I65" s="149"/>
      <c r="J65" s="149"/>
      <c r="K65" s="175"/>
      <c r="P65" s="176"/>
      <c r="S65" s="177"/>
      <c r="X65" s="175"/>
      <c r="AA65" s="149"/>
      <c r="AB65" s="149"/>
      <c r="AC65" s="175"/>
      <c r="AH65" s="176"/>
      <c r="AK65" s="177"/>
      <c r="AP65" s="175"/>
      <c r="AS65" s="149"/>
      <c r="AT65" s="149"/>
      <c r="AU65" s="175"/>
      <c r="AZ65" s="176"/>
      <c r="BB65" s="173"/>
    </row>
    <row r="66" customFormat="false" ht="15" hidden="false" customHeight="false" outlineLevel="0" collapsed="false">
      <c r="A66" s="177"/>
      <c r="B66" s="132"/>
      <c r="C66" s="132"/>
      <c r="D66" s="133"/>
      <c r="E66" s="133"/>
      <c r="F66" s="175"/>
      <c r="G66" s="132"/>
      <c r="H66" s="132"/>
      <c r="I66" s="136"/>
      <c r="J66" s="133"/>
      <c r="K66" s="175"/>
      <c r="L66" s="132"/>
      <c r="M66" s="132"/>
      <c r="N66" s="133"/>
      <c r="O66" s="133"/>
      <c r="P66" s="176"/>
      <c r="S66" s="177"/>
      <c r="T66" s="132"/>
      <c r="U66" s="132"/>
      <c r="V66" s="133"/>
      <c r="W66" s="133"/>
      <c r="X66" s="175"/>
      <c r="Y66" s="132"/>
      <c r="Z66" s="132"/>
      <c r="AA66" s="136"/>
      <c r="AB66" s="133"/>
      <c r="AC66" s="175"/>
      <c r="AD66" s="132"/>
      <c r="AE66" s="132"/>
      <c r="AF66" s="133"/>
      <c r="AG66" s="133"/>
      <c r="AH66" s="176"/>
      <c r="AK66" s="177"/>
      <c r="AL66" s="132"/>
      <c r="AM66" s="132"/>
      <c r="AN66" s="133"/>
      <c r="AO66" s="133"/>
      <c r="AP66" s="175"/>
      <c r="AQ66" s="132"/>
      <c r="AR66" s="132"/>
      <c r="AS66" s="136"/>
      <c r="AT66" s="133"/>
      <c r="AU66" s="175"/>
      <c r="AV66" s="132"/>
      <c r="AW66" s="132"/>
      <c r="AX66" s="133"/>
      <c r="AY66" s="133"/>
      <c r="AZ66" s="176"/>
      <c r="BB66" s="173"/>
    </row>
    <row r="67" customFormat="false" ht="15" hidden="false" customHeight="false" outlineLevel="0" collapsed="false">
      <c r="A67" s="177"/>
      <c r="B67" s="132" t="s">
        <v>1394</v>
      </c>
      <c r="C67" s="132" t="n">
        <f aca="false">SUM(C56:C64)</f>
        <v>6</v>
      </c>
      <c r="D67" s="133"/>
      <c r="E67" s="136"/>
      <c r="F67" s="175"/>
      <c r="G67" s="132" t="s">
        <v>1394</v>
      </c>
      <c r="H67" s="132" t="n">
        <f aca="false">SUM(H56:H64)</f>
        <v>34</v>
      </c>
      <c r="I67" s="136"/>
      <c r="J67" s="136"/>
      <c r="K67" s="175"/>
      <c r="L67" s="132" t="s">
        <v>1394</v>
      </c>
      <c r="M67" s="132" t="n">
        <f aca="false">SUM(M56:M64)</f>
        <v>40</v>
      </c>
      <c r="N67" s="136"/>
      <c r="O67" s="136"/>
      <c r="P67" s="176"/>
      <c r="S67" s="177"/>
      <c r="T67" s="132" t="s">
        <v>1394</v>
      </c>
      <c r="U67" s="132" t="n">
        <f aca="false">SUM(U56:U64)</f>
        <v>11</v>
      </c>
      <c r="V67" s="133"/>
      <c r="W67" s="136"/>
      <c r="X67" s="175"/>
      <c r="Y67" s="132" t="s">
        <v>1394</v>
      </c>
      <c r="Z67" s="132" t="n">
        <f aca="false">SUM(Z56:Z64)</f>
        <v>57</v>
      </c>
      <c r="AA67" s="136"/>
      <c r="AB67" s="136"/>
      <c r="AC67" s="175"/>
      <c r="AD67" s="132" t="s">
        <v>1394</v>
      </c>
      <c r="AE67" s="132" t="n">
        <f aca="false">SUM(AE56:AE64)</f>
        <v>68</v>
      </c>
      <c r="AF67" s="136"/>
      <c r="AG67" s="136"/>
      <c r="AH67" s="176"/>
      <c r="AK67" s="177"/>
      <c r="AL67" s="132" t="s">
        <v>1394</v>
      </c>
      <c r="AM67" s="132" t="n">
        <f aca="false">SUM(AM56:AM64)</f>
        <v>17</v>
      </c>
      <c r="AN67" s="133"/>
      <c r="AO67" s="136"/>
      <c r="AP67" s="175"/>
      <c r="AQ67" s="132" t="s">
        <v>1394</v>
      </c>
      <c r="AR67" s="132" t="n">
        <f aca="false">SUM(AR56:AR64)</f>
        <v>91</v>
      </c>
      <c r="AS67" s="136"/>
      <c r="AT67" s="136"/>
      <c r="AU67" s="175"/>
      <c r="AV67" s="132" t="s">
        <v>1394</v>
      </c>
      <c r="AW67" s="132" t="n">
        <f aca="false">AM67+AR67</f>
        <v>108</v>
      </c>
      <c r="AX67" s="136"/>
      <c r="AY67" s="136"/>
      <c r="AZ67" s="176"/>
      <c r="BB67" s="173"/>
    </row>
    <row r="68" customFormat="false" ht="15" hidden="false" customHeight="false" outlineLevel="0" collapsed="false">
      <c r="A68" s="177"/>
      <c r="B68" s="132"/>
      <c r="C68" s="141"/>
      <c r="D68" s="136"/>
      <c r="E68" s="136"/>
      <c r="F68" s="175"/>
      <c r="G68" s="132"/>
      <c r="H68" s="132"/>
      <c r="I68" s="136"/>
      <c r="J68" s="136"/>
      <c r="K68" s="175"/>
      <c r="L68" s="132"/>
      <c r="M68" s="141"/>
      <c r="N68" s="136"/>
      <c r="O68" s="136"/>
      <c r="P68" s="176"/>
      <c r="S68" s="177"/>
      <c r="T68" s="132"/>
      <c r="U68" s="141"/>
      <c r="V68" s="136"/>
      <c r="W68" s="136"/>
      <c r="X68" s="175"/>
      <c r="Y68" s="132"/>
      <c r="Z68" s="132"/>
      <c r="AA68" s="136"/>
      <c r="AB68" s="136"/>
      <c r="AC68" s="175"/>
      <c r="AD68" s="132"/>
      <c r="AE68" s="141"/>
      <c r="AF68" s="136"/>
      <c r="AG68" s="136"/>
      <c r="AH68" s="176"/>
      <c r="AK68" s="177"/>
      <c r="AL68" s="132"/>
      <c r="AM68" s="141"/>
      <c r="AN68" s="136"/>
      <c r="AO68" s="136"/>
      <c r="AP68" s="175"/>
      <c r="AQ68" s="132"/>
      <c r="AR68" s="132"/>
      <c r="AS68" s="136"/>
      <c r="AT68" s="136"/>
      <c r="AU68" s="175"/>
      <c r="AV68" s="132"/>
      <c r="AW68" s="141"/>
      <c r="AX68" s="136"/>
      <c r="AY68" s="136"/>
      <c r="AZ68" s="176"/>
      <c r="BB68" s="173"/>
    </row>
    <row r="69" customFormat="false" ht="15" hidden="false" customHeight="false" outlineLevel="0" collapsed="false">
      <c r="A69" s="177"/>
      <c r="B69" s="132"/>
      <c r="C69" s="132" t="s">
        <v>1421</v>
      </c>
      <c r="D69" s="136"/>
      <c r="E69" s="136"/>
      <c r="F69" s="175"/>
      <c r="G69" s="132"/>
      <c r="H69" s="132" t="s">
        <v>1421</v>
      </c>
      <c r="I69" s="136"/>
      <c r="J69" s="136"/>
      <c r="K69" s="175"/>
      <c r="L69" s="132"/>
      <c r="M69" s="132" t="s">
        <v>1421</v>
      </c>
      <c r="N69" s="136"/>
      <c r="O69" s="136"/>
      <c r="P69" s="176"/>
      <c r="S69" s="177"/>
      <c r="T69" s="132"/>
      <c r="U69" s="132" t="s">
        <v>1421</v>
      </c>
      <c r="V69" s="136"/>
      <c r="W69" s="136"/>
      <c r="X69" s="175"/>
      <c r="Y69" s="132"/>
      <c r="Z69" s="132" t="s">
        <v>1421</v>
      </c>
      <c r="AA69" s="136"/>
      <c r="AB69" s="136"/>
      <c r="AC69" s="175"/>
      <c r="AD69" s="132"/>
      <c r="AE69" s="132" t="s">
        <v>1421</v>
      </c>
      <c r="AF69" s="136"/>
      <c r="AG69" s="136"/>
      <c r="AH69" s="176"/>
      <c r="AK69" s="177"/>
      <c r="AL69" s="132"/>
      <c r="AM69" s="132" t="s">
        <v>1421</v>
      </c>
      <c r="AN69" s="136"/>
      <c r="AO69" s="136"/>
      <c r="AP69" s="175"/>
      <c r="AQ69" s="132"/>
      <c r="AR69" s="132" t="s">
        <v>1421</v>
      </c>
      <c r="AS69" s="136"/>
      <c r="AT69" s="136"/>
      <c r="AU69" s="175"/>
      <c r="AV69" s="132"/>
      <c r="AW69" s="132" t="s">
        <v>1421</v>
      </c>
      <c r="AX69" s="136"/>
      <c r="AY69" s="136"/>
      <c r="AZ69" s="176"/>
      <c r="BB69" s="173"/>
    </row>
    <row r="70" customFormat="false" ht="15" hidden="false" customHeight="false" outlineLevel="0" collapsed="false">
      <c r="A70" s="177"/>
      <c r="B70" s="132"/>
      <c r="C70" s="150" t="n">
        <f aca="false">((5*C64)+(15*C63)+(25*C62)+(35*C61)+(45*C60)+(55*C59)+(65*C58)+(75*C57)+(85*C56))/C67</f>
        <v>13.3333333333333</v>
      </c>
      <c r="D70" s="136"/>
      <c r="E70" s="136"/>
      <c r="F70" s="175"/>
      <c r="G70" s="132"/>
      <c r="H70" s="150" t="n">
        <f aca="false">((5*H64)+(15*H63)+(25*H62)+(35*H61)+(45*H60)+(55*H59)+(65*H58)+(75*H57)+(85*H56))/H67</f>
        <v>36.7647058823529</v>
      </c>
      <c r="I70" s="136"/>
      <c r="J70" s="136"/>
      <c r="K70" s="175"/>
      <c r="L70" s="132"/>
      <c r="M70" s="150" t="n">
        <f aca="false">((5*M64)+(15*M63)+(25*M62)+(35*M61)+(45*M60)+(55*M59)+(65*M58)+(75*M57)+(85*M56))/M67</f>
        <v>33.25</v>
      </c>
      <c r="N70" s="136"/>
      <c r="O70" s="136"/>
      <c r="P70" s="176"/>
      <c r="S70" s="177"/>
      <c r="T70" s="132"/>
      <c r="U70" s="150" t="n">
        <f aca="false">((5*U64)+(15*U63)+(25*U62)+(35*U61)+(45*U60)+(55*U59)+(65*U58)+(75*U57)+(85*U56))/U67</f>
        <v>45.9090909090909</v>
      </c>
      <c r="V70" s="136"/>
      <c r="W70" s="136"/>
      <c r="X70" s="175"/>
      <c r="Y70" s="132"/>
      <c r="Z70" s="150" t="n">
        <f aca="false">((5*Z64)+(15*Z63)+(25*Z62)+(35*Z61)+(45*Z60)+(55*Z59)+(65*Z58)+(75*Z57)+(85*Z56))/Z67</f>
        <v>47.280701754386</v>
      </c>
      <c r="AA70" s="136"/>
      <c r="AB70" s="136"/>
      <c r="AC70" s="175"/>
      <c r="AD70" s="132"/>
      <c r="AE70" s="150" t="n">
        <f aca="false">((5*AE64)+(15*AE63)+(25*AE62)+(35*AE61)+(45*AE60)+(55*AE59)+(65*AE58)+(75*AE57)+(85*AE56))/AE67</f>
        <v>47.0588235294118</v>
      </c>
      <c r="AF70" s="136"/>
      <c r="AG70" s="136"/>
      <c r="AH70" s="176"/>
      <c r="AK70" s="177"/>
      <c r="AL70" s="132"/>
      <c r="AM70" s="150" t="n">
        <f aca="false">((5*AM64)+(15*AM63)+(25*AM62)+(35*AM61)+(45*AM60)+(55*AM59)+(65*AM58)+(75*AM57)+(85*AM56))/AM67</f>
        <v>34.4117647058824</v>
      </c>
      <c r="AN70" s="136"/>
      <c r="AO70" s="136"/>
      <c r="AP70" s="175"/>
      <c r="AQ70" s="132"/>
      <c r="AR70" s="150" t="n">
        <f aca="false">((5*AR64)+(15*AR63)+(25*AR62)+(35*AR61)+(45*AR60)+(55*AR59)+(65*AR58)+(75*AR57)+(85*AR56))/AR67</f>
        <v>43.3516483516484</v>
      </c>
      <c r="AS70" s="136"/>
      <c r="AT70" s="136"/>
      <c r="AU70" s="175"/>
      <c r="AV70" s="132"/>
      <c r="AW70" s="150" t="n">
        <f aca="false">((5*AW64)+(15*AW63)+(25*AW62)+(35*AW61)+(45*AW60)+(55*AW59)+(65*AW58)+(75*AW57)+(85*AW56))/AW67</f>
        <v>41.9444444444444</v>
      </c>
      <c r="AX70" s="136"/>
      <c r="AY70" s="136"/>
      <c r="AZ70" s="176"/>
      <c r="BB70" s="173"/>
    </row>
    <row r="71" customFormat="false" ht="15.75" hidden="false" customHeight="false" outlineLevel="0" collapsed="false">
      <c r="A71" s="178"/>
      <c r="B71" s="179"/>
      <c r="C71" s="180"/>
      <c r="D71" s="180"/>
      <c r="E71" s="180"/>
      <c r="F71" s="180"/>
      <c r="G71" s="180"/>
      <c r="H71" s="180"/>
      <c r="I71" s="180"/>
      <c r="J71" s="180"/>
      <c r="K71" s="180"/>
      <c r="L71" s="180"/>
      <c r="M71" s="180"/>
      <c r="N71" s="180"/>
      <c r="O71" s="180"/>
      <c r="P71" s="181"/>
      <c r="S71" s="178"/>
      <c r="T71" s="179"/>
      <c r="U71" s="180"/>
      <c r="V71" s="180"/>
      <c r="W71" s="180"/>
      <c r="X71" s="180"/>
      <c r="Y71" s="180"/>
      <c r="Z71" s="180"/>
      <c r="AA71" s="180"/>
      <c r="AB71" s="180"/>
      <c r="AC71" s="180"/>
      <c r="AD71" s="180"/>
      <c r="AE71" s="180"/>
      <c r="AF71" s="180"/>
      <c r="AG71" s="180"/>
      <c r="AH71" s="181"/>
      <c r="AK71" s="178"/>
      <c r="AL71" s="179"/>
      <c r="AM71" s="180"/>
      <c r="AN71" s="180"/>
      <c r="AO71" s="180"/>
      <c r="AP71" s="180"/>
      <c r="AQ71" s="180"/>
      <c r="AR71" s="180"/>
      <c r="AS71" s="180"/>
      <c r="AT71" s="180"/>
      <c r="AU71" s="180"/>
      <c r="AV71" s="180"/>
      <c r="AW71" s="180"/>
      <c r="AX71" s="180"/>
      <c r="AY71" s="180"/>
      <c r="AZ71" s="181"/>
      <c r="BB71" s="173"/>
    </row>
  </sheetData>
  <sheetProtection sheet="true" objects="true" scenarios="true"/>
  <mergeCells count="59">
    <mergeCell ref="A1:P1"/>
    <mergeCell ref="S1:AH1"/>
    <mergeCell ref="AK1:AZ1"/>
    <mergeCell ref="B3:C4"/>
    <mergeCell ref="D3:E4"/>
    <mergeCell ref="G3:H4"/>
    <mergeCell ref="I3:J4"/>
    <mergeCell ref="L3:M4"/>
    <mergeCell ref="N3:O4"/>
    <mergeCell ref="T3:U4"/>
    <mergeCell ref="V3:W4"/>
    <mergeCell ref="Y3:Z4"/>
    <mergeCell ref="AA3:AB4"/>
    <mergeCell ref="AD3:AE4"/>
    <mergeCell ref="AF3:AG4"/>
    <mergeCell ref="AL3:AM4"/>
    <mergeCell ref="AN3:AO4"/>
    <mergeCell ref="AQ3:AR4"/>
    <mergeCell ref="AS3:AT4"/>
    <mergeCell ref="AV3:AW4"/>
    <mergeCell ref="AX3:AY4"/>
    <mergeCell ref="B33:C34"/>
    <mergeCell ref="D33:E34"/>
    <mergeCell ref="G33:H34"/>
    <mergeCell ref="I33:J34"/>
    <mergeCell ref="L33:M34"/>
    <mergeCell ref="N33:O34"/>
    <mergeCell ref="T33:U34"/>
    <mergeCell ref="V33:W34"/>
    <mergeCell ref="Y33:Z34"/>
    <mergeCell ref="AA33:AB34"/>
    <mergeCell ref="AD33:AE34"/>
    <mergeCell ref="AF33:AG34"/>
    <mergeCell ref="AL33:AM34"/>
    <mergeCell ref="AN33:AO34"/>
    <mergeCell ref="AQ33:AR34"/>
    <mergeCell ref="AS33:AT34"/>
    <mergeCell ref="AV33:AW34"/>
    <mergeCell ref="AX33:AY34"/>
    <mergeCell ref="BB33:BB50"/>
    <mergeCell ref="B54:C55"/>
    <mergeCell ref="D54:E55"/>
    <mergeCell ref="G54:H55"/>
    <mergeCell ref="I54:J55"/>
    <mergeCell ref="L54:M55"/>
    <mergeCell ref="N54:O55"/>
    <mergeCell ref="T54:U55"/>
    <mergeCell ref="V54:W55"/>
    <mergeCell ref="Y54:Z55"/>
    <mergeCell ref="AA54:AB55"/>
    <mergeCell ref="AD54:AE55"/>
    <mergeCell ref="AF54:AG55"/>
    <mergeCell ref="AL54:AM55"/>
    <mergeCell ref="AN54:AO55"/>
    <mergeCell ref="AQ54:AR55"/>
    <mergeCell ref="AS54:AT55"/>
    <mergeCell ref="AV54:AW55"/>
    <mergeCell ref="AX54:AY55"/>
    <mergeCell ref="BB54:BB7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LibreOffice/6.0.2.1$MacOSX_X86_64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2018-01-09T14:19:01Z</dcterms:created>
  <dc:creator>Jose Carlos</dc:creator>
  <dc:description/>
  <dc:language>es-ES</dc:language>
  <cp:lastModifiedBy/>
  <cp:lastPrinted>2018-02-01T18:33:37Z</cp:lastPrinted>
  <dcterms:modified xsi:type="dcterms:W3CDTF">2018-03-10T22:19:42Z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